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Mater Academy of Northern Nevada (MANN)\Campus Amendment - 2023\Attachments\"/>
    </mc:Choice>
  </mc:AlternateContent>
  <bookViews>
    <workbookView xWindow="-28920" yWindow="-120" windowWidth="29040" windowHeight="15840" tabRatio="897" firstSheet="1" activeTab="8"/>
  </bookViews>
  <sheets>
    <sheet name="Sheet2" sheetId="38" r:id="rId1"/>
    <sheet name="FY24" sheetId="19" r:id="rId2"/>
    <sheet name="FY25" sheetId="35" r:id="rId3"/>
    <sheet name="FY26" sheetId="36" r:id="rId4"/>
    <sheet name="FY27" sheetId="40" r:id="rId5"/>
    <sheet name="FY28" sheetId="41" r:id="rId6"/>
    <sheet name="FY29" sheetId="42" r:id="rId7"/>
    <sheet name="FY30" sheetId="49" r:id="rId8"/>
    <sheet name="System 6-Year" sheetId="43" r:id="rId9"/>
    <sheet name="B&amp;G Campus 6-Year" sheetId="44" r:id="rId10"/>
    <sheet name="New Campus 6-Year" sheetId="45" r:id="rId11"/>
    <sheet name="Enrollment Tables - Systemwide" sheetId="47" r:id="rId12"/>
    <sheet name="Enrollment Tables - New Campus" sheetId="46" r:id="rId13"/>
    <sheet name="Staffing Tables" sheetId="48" r:id="rId14"/>
    <sheet name="Funding" sheetId="37" r:id="rId15"/>
    <sheet name="Oct 1" sheetId="20" r:id="rId16"/>
    <sheet name="Rent" sheetId="21" r:id="rId17"/>
    <sheet name="FFE2" sheetId="39" r:id="rId18"/>
    <sheet name="SPED" sheetId="23" r:id="rId19"/>
    <sheet name="Updated SPED" sheetId="34" r:id="rId20"/>
    <sheet name="Food" sheetId="32" r:id="rId21"/>
    <sheet name="Sheet1" sheetId="33" r:id="rId22"/>
    <sheet name="Insurance" sheetId="24" r:id="rId23"/>
    <sheet name="Utilities" sheetId="25" r:id="rId24"/>
  </sheets>
  <definedNames>
    <definedName name="_Toc4075975" localSheetId="13">'Staffing Tables'!$B$47</definedName>
    <definedName name="_Toc4075978" localSheetId="12">'Enrollment Tables - New Campus'!$B$8</definedName>
    <definedName name="_Toc4075978" localSheetId="11">'Enrollment Tables - Systemwide'!$B$8</definedName>
    <definedName name="_xlnm.Print_Area" localSheetId="9">'B&amp;G Campus 6-Year'!$A$1:$H$221</definedName>
    <definedName name="_xlnm.Print_Area" localSheetId="12">'Enrollment Tables - New Campus'!$A$1:$I$74</definedName>
    <definedName name="_xlnm.Print_Area" localSheetId="11">'Enrollment Tables - Systemwide'!$A$1:$I$74</definedName>
    <definedName name="_xlnm.Print_Area" localSheetId="1">'FY24'!$A$1:$J$239</definedName>
    <definedName name="_xlnm.Print_Area" localSheetId="10">'New Campus 6-Year'!$A$1:$H$221</definedName>
    <definedName name="_xlnm.Print_Area" localSheetId="0">Sheet2!$A$1:$J$32</definedName>
    <definedName name="_xlnm.Print_Area" localSheetId="13">'Staffing Tables'!$A$1:$I$131</definedName>
    <definedName name="_xlnm.Print_Area" localSheetId="8">'System 6-Year'!$A$1:$H$239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43" l="1"/>
  <c r="O32" i="43"/>
  <c r="M9" i="44"/>
  <c r="N9" i="44"/>
  <c r="O9" i="44"/>
  <c r="P9" i="44"/>
  <c r="L9" i="44"/>
  <c r="S216" i="49" l="1"/>
  <c r="I216" i="49"/>
  <c r="S215" i="49"/>
  <c r="I215" i="49"/>
  <c r="S214" i="49"/>
  <c r="I214" i="49"/>
  <c r="S213" i="49"/>
  <c r="I213" i="49"/>
  <c r="B212" i="49"/>
  <c r="I212" i="49" s="1"/>
  <c r="R208" i="49"/>
  <c r="Q208" i="49"/>
  <c r="P208" i="49"/>
  <c r="O208" i="49"/>
  <c r="N208" i="49"/>
  <c r="M208" i="49"/>
  <c r="H208" i="49"/>
  <c r="G208" i="49"/>
  <c r="F208" i="49"/>
  <c r="E208" i="49"/>
  <c r="D208" i="49"/>
  <c r="C208" i="49"/>
  <c r="B208" i="49"/>
  <c r="L207" i="49"/>
  <c r="S207" i="49" s="1"/>
  <c r="I207" i="49"/>
  <c r="S206" i="49"/>
  <c r="L206" i="49"/>
  <c r="I206" i="49"/>
  <c r="S205" i="49"/>
  <c r="I205" i="49"/>
  <c r="S204" i="49"/>
  <c r="I204" i="49"/>
  <c r="L203" i="49"/>
  <c r="S203" i="49" s="1"/>
  <c r="B203" i="49"/>
  <c r="I203" i="49" s="1"/>
  <c r="L202" i="49"/>
  <c r="S202" i="49" s="1"/>
  <c r="I202" i="49"/>
  <c r="L201" i="49"/>
  <c r="S201" i="49" s="1"/>
  <c r="I201" i="49"/>
  <c r="L200" i="49"/>
  <c r="S200" i="49" s="1"/>
  <c r="I200" i="49"/>
  <c r="S199" i="49"/>
  <c r="L199" i="49"/>
  <c r="I199" i="49"/>
  <c r="L198" i="49"/>
  <c r="S198" i="49" s="1"/>
  <c r="B198" i="49"/>
  <c r="I198" i="49" s="1"/>
  <c r="S197" i="49"/>
  <c r="R197" i="49"/>
  <c r="Q197" i="49"/>
  <c r="P197" i="49"/>
  <c r="O197" i="49"/>
  <c r="N197" i="49"/>
  <c r="M197" i="49"/>
  <c r="L197" i="49"/>
  <c r="I197" i="49"/>
  <c r="H197" i="49"/>
  <c r="G197" i="49"/>
  <c r="F197" i="49"/>
  <c r="E197" i="49"/>
  <c r="D197" i="49"/>
  <c r="C197" i="49"/>
  <c r="B197" i="49"/>
  <c r="R196" i="49"/>
  <c r="Q196" i="49"/>
  <c r="P196" i="49"/>
  <c r="O196" i="49"/>
  <c r="M196" i="49"/>
  <c r="H196" i="49"/>
  <c r="G196" i="49"/>
  <c r="F196" i="49"/>
  <c r="E196" i="49"/>
  <c r="C196" i="49"/>
  <c r="S194" i="49"/>
  <c r="I194" i="49"/>
  <c r="S193" i="49"/>
  <c r="I193" i="49"/>
  <c r="S192" i="49"/>
  <c r="I192" i="49"/>
  <c r="S191" i="49"/>
  <c r="I191" i="49"/>
  <c r="S190" i="49"/>
  <c r="I190" i="49"/>
  <c r="S189" i="49"/>
  <c r="I189" i="49"/>
  <c r="S188" i="49"/>
  <c r="I188" i="49"/>
  <c r="B187" i="49"/>
  <c r="I187" i="49" s="1"/>
  <c r="S186" i="49"/>
  <c r="I186" i="49"/>
  <c r="S185" i="49"/>
  <c r="I185" i="49"/>
  <c r="S184" i="49"/>
  <c r="I184" i="49"/>
  <c r="D182" i="49"/>
  <c r="I182" i="49" s="1"/>
  <c r="S181" i="49"/>
  <c r="I181" i="49"/>
  <c r="B181" i="49"/>
  <c r="S180" i="49"/>
  <c r="I180" i="49"/>
  <c r="S179" i="49"/>
  <c r="L179" i="49"/>
  <c r="I179" i="49"/>
  <c r="B178" i="49"/>
  <c r="I178" i="49" s="1"/>
  <c r="S177" i="49"/>
  <c r="I177" i="49"/>
  <c r="B177" i="49"/>
  <c r="S176" i="49"/>
  <c r="I176" i="49"/>
  <c r="B176" i="49"/>
  <c r="S175" i="49"/>
  <c r="I175" i="49"/>
  <c r="S174" i="49"/>
  <c r="I174" i="49"/>
  <c r="L173" i="49"/>
  <c r="S173" i="49" s="1"/>
  <c r="B173" i="49"/>
  <c r="I173" i="49" s="1"/>
  <c r="L172" i="49"/>
  <c r="S172" i="49" s="1"/>
  <c r="B172" i="49"/>
  <c r="I172" i="49" s="1"/>
  <c r="S171" i="49"/>
  <c r="R171" i="49"/>
  <c r="Q171" i="49"/>
  <c r="P171" i="49"/>
  <c r="O171" i="49"/>
  <c r="N171" i="49"/>
  <c r="M171" i="49"/>
  <c r="L171" i="49"/>
  <c r="I171" i="49"/>
  <c r="H171" i="49"/>
  <c r="G171" i="49"/>
  <c r="F171" i="49"/>
  <c r="E171" i="49"/>
  <c r="D171" i="49"/>
  <c r="C171" i="49"/>
  <c r="B171" i="49"/>
  <c r="O170" i="49"/>
  <c r="E170" i="49"/>
  <c r="S169" i="49"/>
  <c r="I169" i="49"/>
  <c r="S165" i="49"/>
  <c r="I165" i="49"/>
  <c r="B164" i="49"/>
  <c r="I164" i="49" s="1"/>
  <c r="S163" i="49"/>
  <c r="I163" i="49"/>
  <c r="S162" i="49"/>
  <c r="I162" i="49"/>
  <c r="S159" i="49"/>
  <c r="I159" i="49"/>
  <c r="S158" i="49"/>
  <c r="I158" i="49"/>
  <c r="C157" i="49"/>
  <c r="I157" i="49" s="1"/>
  <c r="L156" i="49"/>
  <c r="S156" i="49" s="1"/>
  <c r="B156" i="49"/>
  <c r="I156" i="49" s="1"/>
  <c r="S155" i="49"/>
  <c r="R155" i="49"/>
  <c r="Q155" i="49"/>
  <c r="P155" i="49"/>
  <c r="O155" i="49"/>
  <c r="N155" i="49"/>
  <c r="M155" i="49"/>
  <c r="L155" i="49"/>
  <c r="I155" i="49"/>
  <c r="H155" i="49"/>
  <c r="G155" i="49"/>
  <c r="F155" i="49"/>
  <c r="E155" i="49"/>
  <c r="D155" i="49"/>
  <c r="C155" i="49"/>
  <c r="B155" i="49"/>
  <c r="R154" i="49"/>
  <c r="Q154" i="49"/>
  <c r="P154" i="49"/>
  <c r="O154" i="49"/>
  <c r="O210" i="49" s="1"/>
  <c r="N154" i="49"/>
  <c r="H154" i="49"/>
  <c r="G154" i="49"/>
  <c r="F154" i="49"/>
  <c r="E154" i="49"/>
  <c r="E210" i="49" s="1"/>
  <c r="D154" i="49"/>
  <c r="S152" i="49"/>
  <c r="I152" i="49"/>
  <c r="M151" i="49"/>
  <c r="M154" i="49" s="1"/>
  <c r="L151" i="49"/>
  <c r="S151" i="49" s="1"/>
  <c r="I151" i="49"/>
  <c r="C151" i="49"/>
  <c r="C154" i="49" s="1"/>
  <c r="B151" i="49"/>
  <c r="B149" i="49"/>
  <c r="I149" i="49" s="1"/>
  <c r="B148" i="49"/>
  <c r="I148" i="49" s="1"/>
  <c r="S146" i="49"/>
  <c r="I146" i="49"/>
  <c r="S145" i="49"/>
  <c r="I145" i="49"/>
  <c r="B144" i="49"/>
  <c r="I144" i="49" s="1"/>
  <c r="S143" i="49"/>
  <c r="R143" i="49"/>
  <c r="Q143" i="49"/>
  <c r="P143" i="49"/>
  <c r="O143" i="49"/>
  <c r="N143" i="49"/>
  <c r="M143" i="49"/>
  <c r="L143" i="49"/>
  <c r="I143" i="49"/>
  <c r="H143" i="49"/>
  <c r="G143" i="49"/>
  <c r="F143" i="49"/>
  <c r="E143" i="49"/>
  <c r="D143" i="49"/>
  <c r="C143" i="49"/>
  <c r="B143" i="49"/>
  <c r="R140" i="49"/>
  <c r="H140" i="49"/>
  <c r="E140" i="49"/>
  <c r="D140" i="49"/>
  <c r="S139" i="49"/>
  <c r="I139" i="49"/>
  <c r="S138" i="49"/>
  <c r="I138" i="49"/>
  <c r="S137" i="49"/>
  <c r="I137" i="49"/>
  <c r="C137" i="49"/>
  <c r="O135" i="49"/>
  <c r="G135" i="49"/>
  <c r="F135" i="49"/>
  <c r="E135" i="49"/>
  <c r="C135" i="49"/>
  <c r="F132" i="49"/>
  <c r="P131" i="49"/>
  <c r="L131" i="49"/>
  <c r="H131" i="49"/>
  <c r="F131" i="49"/>
  <c r="R130" i="49"/>
  <c r="R131" i="49" s="1"/>
  <c r="Q130" i="49"/>
  <c r="Q131" i="49" s="1"/>
  <c r="Q132" i="49" s="1"/>
  <c r="P130" i="49"/>
  <c r="O130" i="49"/>
  <c r="O140" i="49" s="1"/>
  <c r="N130" i="49"/>
  <c r="N131" i="49" s="1"/>
  <c r="M130" i="49"/>
  <c r="L130" i="49"/>
  <c r="S130" i="49" s="1"/>
  <c r="H130" i="49"/>
  <c r="G130" i="49"/>
  <c r="G131" i="49" s="1"/>
  <c r="F130" i="49"/>
  <c r="E130" i="49"/>
  <c r="D130" i="49"/>
  <c r="D131" i="49" s="1"/>
  <c r="C130" i="49"/>
  <c r="C140" i="49" s="1"/>
  <c r="B130" i="49"/>
  <c r="B131" i="49" s="1"/>
  <c r="M129" i="49"/>
  <c r="M131" i="49" s="1"/>
  <c r="I129" i="49"/>
  <c r="C129" i="49"/>
  <c r="S128" i="49"/>
  <c r="I128" i="49"/>
  <c r="S127" i="49"/>
  <c r="I127" i="49"/>
  <c r="S126" i="49"/>
  <c r="I126" i="49"/>
  <c r="S125" i="49"/>
  <c r="I125" i="49"/>
  <c r="S124" i="49"/>
  <c r="C124" i="49"/>
  <c r="C131" i="49" s="1"/>
  <c r="S123" i="49"/>
  <c r="I123" i="49"/>
  <c r="R121" i="49"/>
  <c r="R132" i="49" s="1"/>
  <c r="Q121" i="49"/>
  <c r="N121" i="49"/>
  <c r="N132" i="49" s="1"/>
  <c r="H121" i="49"/>
  <c r="H132" i="49" s="1"/>
  <c r="G121" i="49"/>
  <c r="G132" i="49" s="1"/>
  <c r="F121" i="49"/>
  <c r="S120" i="49"/>
  <c r="I120" i="49"/>
  <c r="L119" i="49"/>
  <c r="S119" i="49" s="1"/>
  <c r="B119" i="49"/>
  <c r="I119" i="49" s="1"/>
  <c r="P118" i="49"/>
  <c r="P121" i="49" s="1"/>
  <c r="P132" i="49" s="1"/>
  <c r="O118" i="49"/>
  <c r="N118" i="49"/>
  <c r="M118" i="49"/>
  <c r="L118" i="49"/>
  <c r="F118" i="49"/>
  <c r="E118" i="49"/>
  <c r="D118" i="49"/>
  <c r="D121" i="49" s="1"/>
  <c r="C118" i="49"/>
  <c r="B118" i="49"/>
  <c r="I118" i="49" s="1"/>
  <c r="L117" i="49"/>
  <c r="S117" i="49" s="1"/>
  <c r="B117" i="49"/>
  <c r="I117" i="49" s="1"/>
  <c r="L116" i="49"/>
  <c r="S116" i="49" s="1"/>
  <c r="B116" i="49"/>
  <c r="I116" i="49" s="1"/>
  <c r="M115" i="49"/>
  <c r="S115" i="49" s="1"/>
  <c r="C115" i="49"/>
  <c r="C121" i="49" s="1"/>
  <c r="C132" i="49" s="1"/>
  <c r="L114" i="49"/>
  <c r="S114" i="49" s="1"/>
  <c r="L113" i="49"/>
  <c r="S113" i="49" s="1"/>
  <c r="I113" i="49"/>
  <c r="L112" i="49"/>
  <c r="S112" i="49" s="1"/>
  <c r="I112" i="49"/>
  <c r="B112" i="49"/>
  <c r="L111" i="49"/>
  <c r="S111" i="49" s="1"/>
  <c r="I111" i="49"/>
  <c r="B111" i="49"/>
  <c r="S110" i="49"/>
  <c r="I110" i="49"/>
  <c r="S109" i="49"/>
  <c r="L109" i="49"/>
  <c r="I109" i="49"/>
  <c r="L108" i="49"/>
  <c r="S108" i="49" s="1"/>
  <c r="B108" i="49"/>
  <c r="I108" i="49" s="1"/>
  <c r="L107" i="49"/>
  <c r="S107" i="49" s="1"/>
  <c r="B107" i="49"/>
  <c r="I107" i="49" s="1"/>
  <c r="S105" i="49"/>
  <c r="R105" i="49"/>
  <c r="Q105" i="49"/>
  <c r="P105" i="49"/>
  <c r="O105" i="49"/>
  <c r="N105" i="49"/>
  <c r="M105" i="49"/>
  <c r="L105" i="49"/>
  <c r="I105" i="49"/>
  <c r="H105" i="49"/>
  <c r="G105" i="49"/>
  <c r="F105" i="49"/>
  <c r="E105" i="49"/>
  <c r="D105" i="49"/>
  <c r="C105" i="49"/>
  <c r="B105" i="49"/>
  <c r="R103" i="49"/>
  <c r="P103" i="49"/>
  <c r="O103" i="49"/>
  <c r="N103" i="49"/>
  <c r="M103" i="49"/>
  <c r="L103" i="49"/>
  <c r="E103" i="49"/>
  <c r="D103" i="49"/>
  <c r="C103" i="49"/>
  <c r="B103" i="49"/>
  <c r="S102" i="49"/>
  <c r="I102" i="49"/>
  <c r="S101" i="49"/>
  <c r="I101" i="49"/>
  <c r="R100" i="49"/>
  <c r="S100" i="49" s="1"/>
  <c r="Q100" i="49"/>
  <c r="Q103" i="49" s="1"/>
  <c r="P100" i="49"/>
  <c r="H100" i="49"/>
  <c r="H103" i="49" s="1"/>
  <c r="G100" i="49"/>
  <c r="G103" i="49" s="1"/>
  <c r="F100" i="49"/>
  <c r="F103" i="49" s="1"/>
  <c r="S99" i="49"/>
  <c r="I99" i="49"/>
  <c r="N96" i="49"/>
  <c r="M96" i="49"/>
  <c r="L96" i="49"/>
  <c r="D96" i="49"/>
  <c r="C96" i="49"/>
  <c r="B96" i="49"/>
  <c r="S95" i="49"/>
  <c r="I95" i="49"/>
  <c r="S94" i="49"/>
  <c r="I94" i="49"/>
  <c r="S92" i="49"/>
  <c r="I92" i="49"/>
  <c r="R90" i="49"/>
  <c r="Q90" i="49"/>
  <c r="P90" i="49"/>
  <c r="M90" i="49"/>
  <c r="L90" i="49"/>
  <c r="H90" i="49"/>
  <c r="G90" i="49"/>
  <c r="F90" i="49"/>
  <c r="C90" i="49"/>
  <c r="B90" i="49"/>
  <c r="S88" i="49"/>
  <c r="I88" i="49"/>
  <c r="S87" i="49"/>
  <c r="I87" i="49"/>
  <c r="S86" i="49"/>
  <c r="I86" i="49"/>
  <c r="S85" i="49"/>
  <c r="I85" i="49"/>
  <c r="D84" i="49"/>
  <c r="I84" i="49" s="1"/>
  <c r="D83" i="49"/>
  <c r="D90" i="49" s="1"/>
  <c r="D97" i="49" s="1"/>
  <c r="S82" i="49"/>
  <c r="M82" i="49"/>
  <c r="C82" i="49"/>
  <c r="I82" i="49" s="1"/>
  <c r="R80" i="49"/>
  <c r="Q80" i="49"/>
  <c r="P80" i="49"/>
  <c r="N80" i="49"/>
  <c r="H80" i="49"/>
  <c r="G80" i="49"/>
  <c r="F80" i="49"/>
  <c r="D80" i="49"/>
  <c r="M79" i="49"/>
  <c r="S79" i="49" s="1"/>
  <c r="C79" i="49"/>
  <c r="C80" i="49" s="1"/>
  <c r="C97" i="49" s="1"/>
  <c r="S78" i="49"/>
  <c r="I78" i="49"/>
  <c r="S77" i="49"/>
  <c r="L77" i="49"/>
  <c r="B77" i="49"/>
  <c r="I77" i="49" s="1"/>
  <c r="L76" i="49"/>
  <c r="S76" i="49" s="1"/>
  <c r="B76" i="49"/>
  <c r="I76" i="49" s="1"/>
  <c r="L75" i="49"/>
  <c r="S75" i="49" s="1"/>
  <c r="B75" i="49"/>
  <c r="I75" i="49" s="1"/>
  <c r="S72" i="49"/>
  <c r="R72" i="49"/>
  <c r="Q72" i="49"/>
  <c r="P72" i="49"/>
  <c r="O72" i="49"/>
  <c r="N72" i="49"/>
  <c r="M72" i="49"/>
  <c r="L72" i="49"/>
  <c r="I72" i="49"/>
  <c r="H72" i="49"/>
  <c r="G72" i="49"/>
  <c r="F72" i="49"/>
  <c r="E72" i="49"/>
  <c r="D72" i="49"/>
  <c r="C72" i="49"/>
  <c r="B72" i="49"/>
  <c r="R64" i="49"/>
  <c r="Q64" i="49"/>
  <c r="P64" i="49"/>
  <c r="O64" i="49"/>
  <c r="G64" i="49"/>
  <c r="F64" i="49"/>
  <c r="D64" i="49"/>
  <c r="C64" i="49"/>
  <c r="C65" i="49" s="1"/>
  <c r="B64" i="49"/>
  <c r="O63" i="49"/>
  <c r="O65" i="49" s="1"/>
  <c r="O134" i="49" s="1"/>
  <c r="M63" i="49"/>
  <c r="L63" i="49"/>
  <c r="H63" i="49"/>
  <c r="G63" i="49"/>
  <c r="G65" i="49" s="1"/>
  <c r="F63" i="49"/>
  <c r="F65" i="49" s="1"/>
  <c r="E63" i="49"/>
  <c r="C63" i="49"/>
  <c r="R61" i="49"/>
  <c r="Q61" i="49"/>
  <c r="P61" i="49"/>
  <c r="O61" i="49"/>
  <c r="N61" i="49"/>
  <c r="N64" i="49" s="1"/>
  <c r="M61" i="49"/>
  <c r="M64" i="49" s="1"/>
  <c r="M65" i="49" s="1"/>
  <c r="L61" i="49"/>
  <c r="L64" i="49" s="1"/>
  <c r="L65" i="49" s="1"/>
  <c r="H61" i="49"/>
  <c r="H64" i="49" s="1"/>
  <c r="G61" i="49"/>
  <c r="F61" i="49"/>
  <c r="E61" i="49"/>
  <c r="E64" i="49" s="1"/>
  <c r="D61" i="49"/>
  <c r="C61" i="49"/>
  <c r="B61" i="49"/>
  <c r="S60" i="49"/>
  <c r="I60" i="49"/>
  <c r="S59" i="49"/>
  <c r="I59" i="49"/>
  <c r="S58" i="49"/>
  <c r="I58" i="49"/>
  <c r="S57" i="49"/>
  <c r="I57" i="49"/>
  <c r="S56" i="49"/>
  <c r="I56" i="49"/>
  <c r="S55" i="49"/>
  <c r="I55" i="49"/>
  <c r="S54" i="49"/>
  <c r="I54" i="49"/>
  <c r="S53" i="49"/>
  <c r="I53" i="49"/>
  <c r="S52" i="49"/>
  <c r="I52" i="49"/>
  <c r="S51" i="49"/>
  <c r="I51" i="49"/>
  <c r="S50" i="49"/>
  <c r="I50" i="49"/>
  <c r="S49" i="49"/>
  <c r="I49" i="49"/>
  <c r="S48" i="49"/>
  <c r="I48" i="49"/>
  <c r="S47" i="49"/>
  <c r="I47" i="49"/>
  <c r="S46" i="49"/>
  <c r="I46" i="49"/>
  <c r="S45" i="49"/>
  <c r="I45" i="49"/>
  <c r="S44" i="49"/>
  <c r="I44" i="49"/>
  <c r="S43" i="49"/>
  <c r="I43" i="49"/>
  <c r="S42" i="49"/>
  <c r="I42" i="49"/>
  <c r="S41" i="49"/>
  <c r="I41" i="49"/>
  <c r="S40" i="49"/>
  <c r="I40" i="49"/>
  <c r="S39" i="49"/>
  <c r="S61" i="49" s="1"/>
  <c r="S64" i="49" s="1"/>
  <c r="I39" i="49"/>
  <c r="I61" i="49" s="1"/>
  <c r="I64" i="49" s="1"/>
  <c r="S38" i="49"/>
  <c r="R38" i="49"/>
  <c r="Q38" i="49"/>
  <c r="P38" i="49"/>
  <c r="O38" i="49"/>
  <c r="N38" i="49"/>
  <c r="M38" i="49"/>
  <c r="L38" i="49"/>
  <c r="I38" i="49"/>
  <c r="H38" i="49"/>
  <c r="G38" i="49"/>
  <c r="F38" i="49"/>
  <c r="E38" i="49"/>
  <c r="D38" i="49"/>
  <c r="C38" i="49"/>
  <c r="B38" i="49"/>
  <c r="R36" i="49"/>
  <c r="R135" i="49" s="1"/>
  <c r="Q36" i="49"/>
  <c r="Q140" i="49" s="1"/>
  <c r="P36" i="49"/>
  <c r="P140" i="49" s="1"/>
  <c r="N36" i="49"/>
  <c r="N140" i="49" s="1"/>
  <c r="M36" i="49"/>
  <c r="M140" i="49" s="1"/>
  <c r="L36" i="49"/>
  <c r="L140" i="49" s="1"/>
  <c r="H36" i="49"/>
  <c r="H135" i="49" s="1"/>
  <c r="G36" i="49"/>
  <c r="G140" i="49" s="1"/>
  <c r="F36" i="49"/>
  <c r="F140" i="49" s="1"/>
  <c r="D36" i="49"/>
  <c r="D135" i="49" s="1"/>
  <c r="C36" i="49"/>
  <c r="B36" i="49"/>
  <c r="B140" i="49" s="1"/>
  <c r="I140" i="49" s="1"/>
  <c r="S35" i="49"/>
  <c r="I35" i="49"/>
  <c r="S34" i="49"/>
  <c r="I34" i="49"/>
  <c r="S33" i="49"/>
  <c r="I33" i="49"/>
  <c r="S32" i="49"/>
  <c r="I32" i="49"/>
  <c r="S31" i="49"/>
  <c r="I31" i="49"/>
  <c r="S30" i="49"/>
  <c r="I30" i="49"/>
  <c r="S29" i="49"/>
  <c r="I29" i="49"/>
  <c r="T28" i="49"/>
  <c r="S28" i="49"/>
  <c r="I28" i="49"/>
  <c r="S27" i="49"/>
  <c r="T27" i="49" s="1"/>
  <c r="I27" i="49"/>
  <c r="I36" i="49" s="1"/>
  <c r="I63" i="49" s="1"/>
  <c r="S26" i="49"/>
  <c r="R26" i="49"/>
  <c r="Q26" i="49"/>
  <c r="P26" i="49"/>
  <c r="O26" i="49"/>
  <c r="N26" i="49"/>
  <c r="M26" i="49"/>
  <c r="L26" i="49"/>
  <c r="I26" i="49"/>
  <c r="H26" i="49"/>
  <c r="G26" i="49"/>
  <c r="F26" i="49"/>
  <c r="E26" i="49"/>
  <c r="D26" i="49"/>
  <c r="C26" i="49"/>
  <c r="B26" i="49"/>
  <c r="S24" i="49"/>
  <c r="I24" i="49"/>
  <c r="S23" i="49"/>
  <c r="I23" i="49"/>
  <c r="S22" i="49"/>
  <c r="I22" i="49"/>
  <c r="S21" i="49"/>
  <c r="I21" i="49"/>
  <c r="S20" i="49"/>
  <c r="I20" i="49"/>
  <c r="J28" i="49" s="1"/>
  <c r="S19" i="49"/>
  <c r="R19" i="49"/>
  <c r="Q19" i="49"/>
  <c r="P19" i="49"/>
  <c r="O19" i="49"/>
  <c r="N19" i="49"/>
  <c r="M19" i="49"/>
  <c r="L19" i="49"/>
  <c r="I19" i="49"/>
  <c r="H19" i="49"/>
  <c r="G19" i="49"/>
  <c r="F19" i="49"/>
  <c r="E19" i="49"/>
  <c r="D19" i="49"/>
  <c r="C19" i="49"/>
  <c r="B19" i="49"/>
  <c r="T17" i="49"/>
  <c r="R17" i="49"/>
  <c r="Q17" i="49"/>
  <c r="P17" i="49"/>
  <c r="N17" i="49"/>
  <c r="M17" i="49"/>
  <c r="H17" i="49"/>
  <c r="G17" i="49"/>
  <c r="F17" i="49"/>
  <c r="D17" i="49"/>
  <c r="C17" i="49"/>
  <c r="B17" i="49"/>
  <c r="D183" i="49" s="1"/>
  <c r="S16" i="49"/>
  <c r="J16" i="49"/>
  <c r="I16" i="49"/>
  <c r="S15" i="49"/>
  <c r="J15" i="49"/>
  <c r="J17" i="49" s="1"/>
  <c r="I15" i="49"/>
  <c r="I17" i="49" s="1"/>
  <c r="S14" i="49"/>
  <c r="J14" i="49"/>
  <c r="I14" i="49"/>
  <c r="S13" i="49"/>
  <c r="I13" i="49"/>
  <c r="S12" i="49"/>
  <c r="I12" i="49"/>
  <c r="S11" i="49"/>
  <c r="I11" i="49"/>
  <c r="S10" i="49"/>
  <c r="I10" i="49"/>
  <c r="S9" i="49"/>
  <c r="L9" i="49"/>
  <c r="I9" i="49"/>
  <c r="S8" i="49"/>
  <c r="L8" i="49"/>
  <c r="I8" i="49"/>
  <c r="L7" i="49"/>
  <c r="S7" i="49" s="1"/>
  <c r="I7" i="49"/>
  <c r="L6" i="49"/>
  <c r="S6" i="49" s="1"/>
  <c r="I6" i="49"/>
  <c r="S5" i="49"/>
  <c r="L5" i="49"/>
  <c r="I5" i="49"/>
  <c r="S4" i="49"/>
  <c r="S17" i="49" s="1"/>
  <c r="L4" i="49"/>
  <c r="L17" i="49" s="1"/>
  <c r="I4" i="49"/>
  <c r="S217" i="42"/>
  <c r="I217" i="42"/>
  <c r="S216" i="42"/>
  <c r="I216" i="42"/>
  <c r="S215" i="42"/>
  <c r="I215" i="42"/>
  <c r="S214" i="42"/>
  <c r="I214" i="42"/>
  <c r="S213" i="42"/>
  <c r="I213" i="42"/>
  <c r="R208" i="42"/>
  <c r="Q208" i="42"/>
  <c r="P208" i="42"/>
  <c r="O208" i="42"/>
  <c r="N208" i="42"/>
  <c r="M208" i="42"/>
  <c r="H208" i="42"/>
  <c r="G208" i="42"/>
  <c r="F208" i="42"/>
  <c r="E208" i="42"/>
  <c r="D208" i="42"/>
  <c r="C208" i="42"/>
  <c r="L207" i="42"/>
  <c r="S207" i="42" s="1"/>
  <c r="I207" i="42"/>
  <c r="S206" i="42"/>
  <c r="L206" i="42"/>
  <c r="I206" i="42"/>
  <c r="S205" i="42"/>
  <c r="I205" i="42"/>
  <c r="S204" i="42"/>
  <c r="I204" i="42"/>
  <c r="L203" i="42"/>
  <c r="S203" i="42" s="1"/>
  <c r="B203" i="42"/>
  <c r="I203" i="42" s="1"/>
  <c r="L202" i="42"/>
  <c r="S202" i="42" s="1"/>
  <c r="I202" i="42"/>
  <c r="S201" i="42"/>
  <c r="I201" i="42"/>
  <c r="S200" i="42"/>
  <c r="I200" i="42"/>
  <c r="S199" i="42"/>
  <c r="I199" i="42"/>
  <c r="S198" i="42"/>
  <c r="B198" i="42"/>
  <c r="I198" i="42" s="1"/>
  <c r="I208" i="42" s="1"/>
  <c r="S197" i="42"/>
  <c r="R197" i="42"/>
  <c r="Q197" i="42"/>
  <c r="P197" i="42"/>
  <c r="O197" i="42"/>
  <c r="N197" i="42"/>
  <c r="M197" i="42"/>
  <c r="L197" i="42"/>
  <c r="I197" i="42"/>
  <c r="H197" i="42"/>
  <c r="G197" i="42"/>
  <c r="F197" i="42"/>
  <c r="E197" i="42"/>
  <c r="D197" i="42"/>
  <c r="C197" i="42"/>
  <c r="B197" i="42"/>
  <c r="R196" i="42"/>
  <c r="Q196" i="42"/>
  <c r="P196" i="42"/>
  <c r="O196" i="42"/>
  <c r="M196" i="42"/>
  <c r="H196" i="42"/>
  <c r="G196" i="42"/>
  <c r="F196" i="42"/>
  <c r="E196" i="42"/>
  <c r="C196" i="42"/>
  <c r="S194" i="42"/>
  <c r="I194" i="42"/>
  <c r="S193" i="42"/>
  <c r="I193" i="42"/>
  <c r="S192" i="42"/>
  <c r="I192" i="42"/>
  <c r="S191" i="42"/>
  <c r="I191" i="42"/>
  <c r="S190" i="42"/>
  <c r="I190" i="42"/>
  <c r="S189" i="42"/>
  <c r="I189" i="42"/>
  <c r="S188" i="42"/>
  <c r="I188" i="42"/>
  <c r="S186" i="42"/>
  <c r="I186" i="42"/>
  <c r="S185" i="42"/>
  <c r="I185" i="42"/>
  <c r="S184" i="42"/>
  <c r="I184" i="42"/>
  <c r="S181" i="42"/>
  <c r="B181" i="42"/>
  <c r="I181" i="42" s="1"/>
  <c r="S180" i="42"/>
  <c r="I180" i="42"/>
  <c r="S179" i="42"/>
  <c r="L179" i="42"/>
  <c r="I179" i="42"/>
  <c r="S177" i="42"/>
  <c r="B177" i="42"/>
  <c r="I177" i="42" s="1"/>
  <c r="S176" i="42"/>
  <c r="L176" i="42"/>
  <c r="I176" i="42"/>
  <c r="B176" i="42"/>
  <c r="S175" i="42"/>
  <c r="I175" i="42"/>
  <c r="S174" i="42"/>
  <c r="I174" i="42"/>
  <c r="S173" i="42"/>
  <c r="L173" i="42"/>
  <c r="B173" i="42"/>
  <c r="I173" i="42" s="1"/>
  <c r="S172" i="42"/>
  <c r="L172" i="42"/>
  <c r="I172" i="42"/>
  <c r="B172" i="42"/>
  <c r="S171" i="42"/>
  <c r="R171" i="42"/>
  <c r="Q171" i="42"/>
  <c r="P171" i="42"/>
  <c r="O171" i="42"/>
  <c r="N171" i="42"/>
  <c r="M171" i="42"/>
  <c r="L171" i="42"/>
  <c r="I171" i="42"/>
  <c r="H171" i="42"/>
  <c r="G171" i="42"/>
  <c r="F171" i="42"/>
  <c r="E171" i="42"/>
  <c r="D171" i="42"/>
  <c r="C171" i="42"/>
  <c r="B171" i="42"/>
  <c r="O170" i="42"/>
  <c r="O210" i="42" s="1"/>
  <c r="E170" i="42"/>
  <c r="S169" i="42"/>
  <c r="I169" i="42"/>
  <c r="S165" i="42"/>
  <c r="I165" i="42"/>
  <c r="S163" i="42"/>
  <c r="I163" i="42"/>
  <c r="S162" i="42"/>
  <c r="I162" i="42"/>
  <c r="S159" i="42"/>
  <c r="I159" i="42"/>
  <c r="S158" i="42"/>
  <c r="I158" i="42"/>
  <c r="S156" i="42"/>
  <c r="L156" i="42"/>
  <c r="B156" i="42"/>
  <c r="I156" i="42" s="1"/>
  <c r="S155" i="42"/>
  <c r="R155" i="42"/>
  <c r="Q155" i="42"/>
  <c r="P155" i="42"/>
  <c r="O155" i="42"/>
  <c r="N155" i="42"/>
  <c r="M155" i="42"/>
  <c r="L155" i="42"/>
  <c r="I155" i="42"/>
  <c r="H155" i="42"/>
  <c r="G155" i="42"/>
  <c r="F155" i="42"/>
  <c r="E155" i="42"/>
  <c r="D155" i="42"/>
  <c r="C155" i="42"/>
  <c r="B155" i="42"/>
  <c r="R154" i="42"/>
  <c r="Q154" i="42"/>
  <c r="P154" i="42"/>
  <c r="O154" i="42"/>
  <c r="N154" i="42"/>
  <c r="M154" i="42"/>
  <c r="H154" i="42"/>
  <c r="G154" i="42"/>
  <c r="F154" i="42"/>
  <c r="E154" i="42"/>
  <c r="E210" i="42" s="1"/>
  <c r="D154" i="42"/>
  <c r="S152" i="42"/>
  <c r="I152" i="42"/>
  <c r="M151" i="42"/>
  <c r="L151" i="42"/>
  <c r="S151" i="42" s="1"/>
  <c r="C151" i="42"/>
  <c r="I151" i="42" s="1"/>
  <c r="B151" i="42"/>
  <c r="S146" i="42"/>
  <c r="I146" i="42"/>
  <c r="S145" i="42"/>
  <c r="I145" i="42"/>
  <c r="S143" i="42"/>
  <c r="R143" i="42"/>
  <c r="Q143" i="42"/>
  <c r="P143" i="42"/>
  <c r="O143" i="42"/>
  <c r="N143" i="42"/>
  <c r="M143" i="42"/>
  <c r="L143" i="42"/>
  <c r="I143" i="42"/>
  <c r="H143" i="42"/>
  <c r="G143" i="42"/>
  <c r="F143" i="42"/>
  <c r="E143" i="42"/>
  <c r="D143" i="42"/>
  <c r="C143" i="42"/>
  <c r="B143" i="42"/>
  <c r="R140" i="42"/>
  <c r="Q140" i="42"/>
  <c r="O140" i="42"/>
  <c r="E140" i="42"/>
  <c r="D140" i="42"/>
  <c r="C140" i="42"/>
  <c r="S139" i="42"/>
  <c r="I139" i="42"/>
  <c r="S138" i="42"/>
  <c r="I138" i="42"/>
  <c r="S137" i="42"/>
  <c r="I137" i="42"/>
  <c r="C137" i="42"/>
  <c r="R135" i="42"/>
  <c r="O135" i="42"/>
  <c r="M135" i="42"/>
  <c r="F135" i="42"/>
  <c r="E135" i="42"/>
  <c r="D135" i="42"/>
  <c r="Q131" i="42"/>
  <c r="P131" i="42"/>
  <c r="H131" i="42"/>
  <c r="G131" i="42"/>
  <c r="F131" i="42"/>
  <c r="B131" i="42"/>
  <c r="R130" i="42"/>
  <c r="R131" i="42" s="1"/>
  <c r="Q130" i="42"/>
  <c r="P130" i="42"/>
  <c r="O130" i="42"/>
  <c r="N130" i="42"/>
  <c r="N131" i="42" s="1"/>
  <c r="M130" i="42"/>
  <c r="L130" i="42"/>
  <c r="S130" i="42" s="1"/>
  <c r="H130" i="42"/>
  <c r="G130" i="42"/>
  <c r="F130" i="42"/>
  <c r="E130" i="42"/>
  <c r="D130" i="42"/>
  <c r="D131" i="42" s="1"/>
  <c r="C130" i="42"/>
  <c r="I130" i="42" s="1"/>
  <c r="B130" i="42"/>
  <c r="M129" i="42"/>
  <c r="M131" i="42" s="1"/>
  <c r="C129" i="42"/>
  <c r="I129" i="42" s="1"/>
  <c r="S128" i="42"/>
  <c r="I128" i="42"/>
  <c r="S127" i="42"/>
  <c r="I127" i="42"/>
  <c r="S126" i="42"/>
  <c r="I126" i="42"/>
  <c r="S125" i="42"/>
  <c r="I125" i="42"/>
  <c r="S124" i="42"/>
  <c r="C124" i="42"/>
  <c r="C131" i="42" s="1"/>
  <c r="S123" i="42"/>
  <c r="I123" i="42"/>
  <c r="R121" i="42"/>
  <c r="R132" i="42" s="1"/>
  <c r="Q121" i="42"/>
  <c r="Q132" i="42" s="1"/>
  <c r="H121" i="42"/>
  <c r="H132" i="42" s="1"/>
  <c r="G121" i="42"/>
  <c r="G132" i="42" s="1"/>
  <c r="F121" i="42"/>
  <c r="F132" i="42" s="1"/>
  <c r="N120" i="42"/>
  <c r="S120" i="42" s="1"/>
  <c r="I120" i="42"/>
  <c r="S119" i="42"/>
  <c r="L119" i="42"/>
  <c r="B119" i="42"/>
  <c r="I119" i="42" s="1"/>
  <c r="P118" i="42"/>
  <c r="P121" i="42" s="1"/>
  <c r="P132" i="42" s="1"/>
  <c r="O118" i="42"/>
  <c r="N118" i="42"/>
  <c r="N121" i="42" s="1"/>
  <c r="N132" i="42" s="1"/>
  <c r="M118" i="42"/>
  <c r="L118" i="42"/>
  <c r="I118" i="42"/>
  <c r="F118" i="42"/>
  <c r="D118" i="42"/>
  <c r="D121" i="42" s="1"/>
  <c r="C118" i="42"/>
  <c r="B118" i="42"/>
  <c r="L117" i="42"/>
  <c r="S117" i="42" s="1"/>
  <c r="I117" i="42"/>
  <c r="B117" i="42"/>
  <c r="L116" i="42"/>
  <c r="S116" i="42" s="1"/>
  <c r="B116" i="42"/>
  <c r="I116" i="42" s="1"/>
  <c r="M115" i="42"/>
  <c r="S115" i="42" s="1"/>
  <c r="L114" i="42"/>
  <c r="S114" i="42" s="1"/>
  <c r="L113" i="42"/>
  <c r="S113" i="42" s="1"/>
  <c r="I113" i="42"/>
  <c r="S112" i="42"/>
  <c r="L112" i="42"/>
  <c r="I112" i="42"/>
  <c r="B112" i="42"/>
  <c r="L111" i="42"/>
  <c r="S111" i="42" s="1"/>
  <c r="B111" i="42"/>
  <c r="I111" i="42" s="1"/>
  <c r="S110" i="42"/>
  <c r="I110" i="42"/>
  <c r="S109" i="42"/>
  <c r="L109" i="42"/>
  <c r="I109" i="42"/>
  <c r="L108" i="42"/>
  <c r="S108" i="42" s="1"/>
  <c r="B108" i="42"/>
  <c r="I108" i="42" s="1"/>
  <c r="L107" i="42"/>
  <c r="S107" i="42" s="1"/>
  <c r="I107" i="42"/>
  <c r="B107" i="42"/>
  <c r="S105" i="42"/>
  <c r="R105" i="42"/>
  <c r="Q105" i="42"/>
  <c r="P105" i="42"/>
  <c r="O105" i="42"/>
  <c r="N105" i="42"/>
  <c r="M105" i="42"/>
  <c r="L105" i="42"/>
  <c r="I105" i="42"/>
  <c r="H105" i="42"/>
  <c r="G105" i="42"/>
  <c r="F105" i="42"/>
  <c r="E105" i="42"/>
  <c r="D105" i="42"/>
  <c r="C105" i="42"/>
  <c r="B105" i="42"/>
  <c r="R103" i="42"/>
  <c r="O103" i="42"/>
  <c r="N103" i="42"/>
  <c r="M103" i="42"/>
  <c r="L103" i="42"/>
  <c r="G103" i="42"/>
  <c r="F103" i="42"/>
  <c r="E103" i="42"/>
  <c r="D103" i="42"/>
  <c r="C103" i="42"/>
  <c r="B103" i="42"/>
  <c r="S102" i="42"/>
  <c r="I102" i="42"/>
  <c r="S101" i="42"/>
  <c r="I101" i="42"/>
  <c r="R100" i="42"/>
  <c r="Q100" i="42"/>
  <c r="Q103" i="42" s="1"/>
  <c r="P100" i="42"/>
  <c r="S100" i="42" s="1"/>
  <c r="H100" i="42"/>
  <c r="H103" i="42" s="1"/>
  <c r="G100" i="42"/>
  <c r="F100" i="42"/>
  <c r="S99" i="42"/>
  <c r="S103" i="42" s="1"/>
  <c r="I99" i="42"/>
  <c r="N96" i="42"/>
  <c r="M96" i="42"/>
  <c r="L96" i="42"/>
  <c r="D96" i="42"/>
  <c r="C96" i="42"/>
  <c r="B96" i="42"/>
  <c r="S95" i="42"/>
  <c r="I95" i="42"/>
  <c r="S94" i="42"/>
  <c r="I94" i="42"/>
  <c r="S92" i="42"/>
  <c r="I92" i="42"/>
  <c r="R90" i="42"/>
  <c r="Q90" i="42"/>
  <c r="P90" i="42"/>
  <c r="M90" i="42"/>
  <c r="L90" i="42"/>
  <c r="H90" i="42"/>
  <c r="G90" i="42"/>
  <c r="F90" i="42"/>
  <c r="B90" i="42"/>
  <c r="S88" i="42"/>
  <c r="I88" i="42"/>
  <c r="S87" i="42"/>
  <c r="I87" i="42"/>
  <c r="S86" i="42"/>
  <c r="I86" i="42"/>
  <c r="S85" i="42"/>
  <c r="I85" i="42"/>
  <c r="D83" i="42"/>
  <c r="I83" i="42" s="1"/>
  <c r="S82" i="42"/>
  <c r="M82" i="42"/>
  <c r="I82" i="42"/>
  <c r="C82" i="42"/>
  <c r="C90" i="42" s="1"/>
  <c r="C97" i="42" s="1"/>
  <c r="R80" i="42"/>
  <c r="Q80" i="42"/>
  <c r="P80" i="42"/>
  <c r="N80" i="42"/>
  <c r="H80" i="42"/>
  <c r="G80" i="42"/>
  <c r="F80" i="42"/>
  <c r="D80" i="42"/>
  <c r="C80" i="42"/>
  <c r="M79" i="42"/>
  <c r="S79" i="42" s="1"/>
  <c r="I79" i="42"/>
  <c r="C79" i="42"/>
  <c r="S78" i="42"/>
  <c r="I78" i="42"/>
  <c r="S77" i="42"/>
  <c r="L77" i="42"/>
  <c r="I77" i="42"/>
  <c r="B77" i="42"/>
  <c r="L76" i="42"/>
  <c r="S76" i="42" s="1"/>
  <c r="B76" i="42"/>
  <c r="I76" i="42" s="1"/>
  <c r="S75" i="42"/>
  <c r="L75" i="42"/>
  <c r="B75" i="42"/>
  <c r="I75" i="42" s="1"/>
  <c r="S72" i="42"/>
  <c r="R72" i="42"/>
  <c r="Q72" i="42"/>
  <c r="P72" i="42"/>
  <c r="O72" i="42"/>
  <c r="N72" i="42"/>
  <c r="M72" i="42"/>
  <c r="L72" i="42"/>
  <c r="I72" i="42"/>
  <c r="H72" i="42"/>
  <c r="G72" i="42"/>
  <c r="F72" i="42"/>
  <c r="E72" i="42"/>
  <c r="D72" i="42"/>
  <c r="C72" i="42"/>
  <c r="B72" i="42"/>
  <c r="Q64" i="42"/>
  <c r="P64" i="42"/>
  <c r="O64" i="42"/>
  <c r="N64" i="42"/>
  <c r="H64" i="42"/>
  <c r="F64" i="42"/>
  <c r="C64" i="42"/>
  <c r="B64" i="42"/>
  <c r="B65" i="42" s="1"/>
  <c r="R63" i="42"/>
  <c r="O63" i="42"/>
  <c r="O65" i="42" s="1"/>
  <c r="O134" i="42" s="1"/>
  <c r="L63" i="42"/>
  <c r="G63" i="42"/>
  <c r="G65" i="42" s="1"/>
  <c r="F63" i="42"/>
  <c r="F65" i="42" s="1"/>
  <c r="E63" i="42"/>
  <c r="C63" i="42"/>
  <c r="C65" i="42" s="1"/>
  <c r="B63" i="42"/>
  <c r="R61" i="42"/>
  <c r="R64" i="42" s="1"/>
  <c r="R65" i="42" s="1"/>
  <c r="Q61" i="42"/>
  <c r="P61" i="42"/>
  <c r="O61" i="42"/>
  <c r="N61" i="42"/>
  <c r="M61" i="42"/>
  <c r="M64" i="42" s="1"/>
  <c r="L61" i="42"/>
  <c r="L64" i="42" s="1"/>
  <c r="L65" i="42" s="1"/>
  <c r="I61" i="42"/>
  <c r="I64" i="42" s="1"/>
  <c r="H61" i="42"/>
  <c r="G61" i="42"/>
  <c r="G64" i="42" s="1"/>
  <c r="F61" i="42"/>
  <c r="E61" i="42"/>
  <c r="E64" i="42" s="1"/>
  <c r="D61" i="42"/>
  <c r="D64" i="42" s="1"/>
  <c r="C61" i="42"/>
  <c r="B61" i="42"/>
  <c r="S60" i="42"/>
  <c r="I60" i="42"/>
  <c r="S59" i="42"/>
  <c r="I59" i="42"/>
  <c r="S58" i="42"/>
  <c r="I58" i="42"/>
  <c r="S57" i="42"/>
  <c r="I57" i="42"/>
  <c r="S56" i="42"/>
  <c r="I56" i="42"/>
  <c r="S55" i="42"/>
  <c r="I55" i="42"/>
  <c r="S54" i="42"/>
  <c r="I54" i="42"/>
  <c r="S53" i="42"/>
  <c r="I53" i="42"/>
  <c r="S52" i="42"/>
  <c r="I52" i="42"/>
  <c r="S51" i="42"/>
  <c r="I51" i="42"/>
  <c r="S50" i="42"/>
  <c r="I50" i="42"/>
  <c r="S49" i="42"/>
  <c r="I49" i="42"/>
  <c r="S48" i="42"/>
  <c r="I48" i="42"/>
  <c r="S47" i="42"/>
  <c r="I47" i="42"/>
  <c r="S46" i="42"/>
  <c r="I46" i="42"/>
  <c r="S45" i="42"/>
  <c r="I45" i="42"/>
  <c r="S44" i="42"/>
  <c r="I44" i="42"/>
  <c r="S43" i="42"/>
  <c r="I43" i="42"/>
  <c r="S42" i="42"/>
  <c r="I42" i="42"/>
  <c r="S41" i="42"/>
  <c r="I41" i="42"/>
  <c r="S40" i="42"/>
  <c r="I40" i="42"/>
  <c r="S39" i="42"/>
  <c r="S61" i="42" s="1"/>
  <c r="S64" i="42" s="1"/>
  <c r="I39" i="42"/>
  <c r="S38" i="42"/>
  <c r="R38" i="42"/>
  <c r="Q38" i="42"/>
  <c r="P38" i="42"/>
  <c r="O38" i="42"/>
  <c r="N38" i="42"/>
  <c r="M38" i="42"/>
  <c r="L38" i="42"/>
  <c r="I38" i="42"/>
  <c r="H38" i="42"/>
  <c r="G38" i="42"/>
  <c r="F38" i="42"/>
  <c r="E38" i="42"/>
  <c r="D38" i="42"/>
  <c r="C38" i="42"/>
  <c r="B38" i="42"/>
  <c r="R36" i="42"/>
  <c r="Q36" i="42"/>
  <c r="Q135" i="42" s="1"/>
  <c r="P36" i="42"/>
  <c r="P140" i="42" s="1"/>
  <c r="N36" i="42"/>
  <c r="N140" i="42" s="1"/>
  <c r="M36" i="42"/>
  <c r="M140" i="42" s="1"/>
  <c r="L36" i="42"/>
  <c r="L140" i="42" s="1"/>
  <c r="H36" i="42"/>
  <c r="H140" i="42" s="1"/>
  <c r="G36" i="42"/>
  <c r="G140" i="42" s="1"/>
  <c r="F36" i="42"/>
  <c r="F140" i="42" s="1"/>
  <c r="D36" i="42"/>
  <c r="D63" i="42" s="1"/>
  <c r="D65" i="42" s="1"/>
  <c r="C36" i="42"/>
  <c r="C135" i="42" s="1"/>
  <c r="B36" i="42"/>
  <c r="B140" i="42" s="1"/>
  <c r="S35" i="42"/>
  <c r="I35" i="42"/>
  <c r="S34" i="42"/>
  <c r="I34" i="42"/>
  <c r="S33" i="42"/>
  <c r="I33" i="42"/>
  <c r="S32" i="42"/>
  <c r="I32" i="42"/>
  <c r="S31" i="42"/>
  <c r="I31" i="42"/>
  <c r="S30" i="42"/>
  <c r="I30" i="42"/>
  <c r="S29" i="42"/>
  <c r="I29" i="42"/>
  <c r="T28" i="42"/>
  <c r="S28" i="42"/>
  <c r="J28" i="42"/>
  <c r="I28" i="42"/>
  <c r="S27" i="42"/>
  <c r="T27" i="42" s="1"/>
  <c r="I27" i="42"/>
  <c r="I36" i="42" s="1"/>
  <c r="I63" i="42" s="1"/>
  <c r="I65" i="42" s="1"/>
  <c r="S26" i="42"/>
  <c r="R26" i="42"/>
  <c r="Q26" i="42"/>
  <c r="P26" i="42"/>
  <c r="O26" i="42"/>
  <c r="N26" i="42"/>
  <c r="M26" i="42"/>
  <c r="L26" i="42"/>
  <c r="I26" i="42"/>
  <c r="H26" i="42"/>
  <c r="G26" i="42"/>
  <c r="F26" i="42"/>
  <c r="E26" i="42"/>
  <c r="D26" i="42"/>
  <c r="C26" i="42"/>
  <c r="B26" i="42"/>
  <c r="S24" i="42"/>
  <c r="I24" i="42"/>
  <c r="S23" i="42"/>
  <c r="I23" i="42"/>
  <c r="S22" i="42"/>
  <c r="I22" i="42"/>
  <c r="S21" i="42"/>
  <c r="I21" i="42"/>
  <c r="S20" i="42"/>
  <c r="I20" i="42"/>
  <c r="S19" i="42"/>
  <c r="R19" i="42"/>
  <c r="Q19" i="42"/>
  <c r="P19" i="42"/>
  <c r="O19" i="42"/>
  <c r="N19" i="42"/>
  <c r="M19" i="42"/>
  <c r="L19" i="42"/>
  <c r="I19" i="42"/>
  <c r="H19" i="42"/>
  <c r="G19" i="42"/>
  <c r="F19" i="42"/>
  <c r="E19" i="42"/>
  <c r="D19" i="42"/>
  <c r="C19" i="42"/>
  <c r="B19" i="42"/>
  <c r="T17" i="42"/>
  <c r="R17" i="42"/>
  <c r="Q17" i="42"/>
  <c r="P17" i="42"/>
  <c r="N17" i="42"/>
  <c r="M17" i="42"/>
  <c r="H17" i="42"/>
  <c r="G17" i="42"/>
  <c r="F17" i="42"/>
  <c r="D17" i="42"/>
  <c r="C17" i="42"/>
  <c r="B17" i="42"/>
  <c r="C157" i="42" s="1"/>
  <c r="S16" i="42"/>
  <c r="J16" i="42"/>
  <c r="I16" i="42"/>
  <c r="S15" i="42"/>
  <c r="J15" i="42"/>
  <c r="J17" i="42" s="1"/>
  <c r="I15" i="42"/>
  <c r="I17" i="42" s="1"/>
  <c r="S14" i="42"/>
  <c r="J14" i="42"/>
  <c r="I14" i="42"/>
  <c r="S13" i="42"/>
  <c r="I13" i="42"/>
  <c r="S12" i="42"/>
  <c r="I12" i="42"/>
  <c r="S11" i="42"/>
  <c r="I11" i="42"/>
  <c r="S10" i="42"/>
  <c r="I10" i="42"/>
  <c r="L9" i="42"/>
  <c r="S9" i="42" s="1"/>
  <c r="I9" i="42"/>
  <c r="S8" i="42"/>
  <c r="L8" i="42"/>
  <c r="I8" i="42"/>
  <c r="S7" i="42"/>
  <c r="L7" i="42"/>
  <c r="I7" i="42"/>
  <c r="L6" i="42"/>
  <c r="S6" i="42" s="1"/>
  <c r="I6" i="42"/>
  <c r="L5" i="42"/>
  <c r="S5" i="42" s="1"/>
  <c r="I5" i="42"/>
  <c r="S4" i="42"/>
  <c r="S17" i="42" s="1"/>
  <c r="L4" i="42"/>
  <c r="L17" i="42" s="1"/>
  <c r="I4" i="42"/>
  <c r="S216" i="41"/>
  <c r="I216" i="41"/>
  <c r="S215" i="41"/>
  <c r="I215" i="41"/>
  <c r="S214" i="41"/>
  <c r="I214" i="41"/>
  <c r="S213" i="41"/>
  <c r="I213" i="41"/>
  <c r="B212" i="41"/>
  <c r="I212" i="41" s="1"/>
  <c r="R208" i="41"/>
  <c r="Q208" i="41"/>
  <c r="P208" i="41"/>
  <c r="O208" i="41"/>
  <c r="N208" i="41"/>
  <c r="M208" i="41"/>
  <c r="H208" i="41"/>
  <c r="G208" i="41"/>
  <c r="F208" i="41"/>
  <c r="E208" i="41"/>
  <c r="D208" i="41"/>
  <c r="C208" i="41"/>
  <c r="L207" i="41"/>
  <c r="S207" i="41" s="1"/>
  <c r="I207" i="41"/>
  <c r="S206" i="41"/>
  <c r="L206" i="41"/>
  <c r="I206" i="41"/>
  <c r="S205" i="41"/>
  <c r="I205" i="41"/>
  <c r="S204" i="41"/>
  <c r="I204" i="41"/>
  <c r="L203" i="41"/>
  <c r="S203" i="41" s="1"/>
  <c r="B203" i="41"/>
  <c r="I203" i="41" s="1"/>
  <c r="L202" i="41"/>
  <c r="S202" i="41" s="1"/>
  <c r="I202" i="41"/>
  <c r="L201" i="41"/>
  <c r="S201" i="41" s="1"/>
  <c r="I201" i="41"/>
  <c r="S200" i="41"/>
  <c r="I200" i="41"/>
  <c r="S199" i="41"/>
  <c r="L199" i="41"/>
  <c r="I199" i="41"/>
  <c r="S198" i="41"/>
  <c r="B198" i="41"/>
  <c r="B208" i="41" s="1"/>
  <c r="S197" i="41"/>
  <c r="R197" i="41"/>
  <c r="Q197" i="41"/>
  <c r="P197" i="41"/>
  <c r="O197" i="41"/>
  <c r="N197" i="41"/>
  <c r="M197" i="41"/>
  <c r="L197" i="41"/>
  <c r="I197" i="41"/>
  <c r="H197" i="41"/>
  <c r="G197" i="41"/>
  <c r="F197" i="41"/>
  <c r="E197" i="41"/>
  <c r="D197" i="41"/>
  <c r="C197" i="41"/>
  <c r="B197" i="41"/>
  <c r="R196" i="41"/>
  <c r="Q196" i="41"/>
  <c r="P196" i="41"/>
  <c r="O196" i="41"/>
  <c r="M196" i="41"/>
  <c r="H196" i="41"/>
  <c r="G196" i="41"/>
  <c r="F196" i="41"/>
  <c r="E196" i="41"/>
  <c r="C196" i="41"/>
  <c r="S194" i="41"/>
  <c r="I194" i="41"/>
  <c r="S193" i="41"/>
  <c r="I193" i="41"/>
  <c r="S192" i="41"/>
  <c r="I192" i="41"/>
  <c r="S191" i="41"/>
  <c r="I191" i="41"/>
  <c r="S190" i="41"/>
  <c r="I190" i="41"/>
  <c r="S189" i="41"/>
  <c r="I189" i="41"/>
  <c r="S188" i="41"/>
  <c r="I188" i="41"/>
  <c r="S186" i="41"/>
  <c r="I186" i="41"/>
  <c r="S185" i="41"/>
  <c r="I185" i="41"/>
  <c r="S184" i="41"/>
  <c r="I184" i="41"/>
  <c r="S181" i="41"/>
  <c r="I181" i="41"/>
  <c r="B181" i="41"/>
  <c r="S180" i="41"/>
  <c r="I180" i="41"/>
  <c r="L179" i="41"/>
  <c r="S179" i="41" s="1"/>
  <c r="I179" i="41"/>
  <c r="S177" i="41"/>
  <c r="I177" i="41"/>
  <c r="B177" i="41"/>
  <c r="S176" i="41"/>
  <c r="L176" i="41"/>
  <c r="I176" i="41"/>
  <c r="B176" i="41"/>
  <c r="S175" i="41"/>
  <c r="I175" i="41"/>
  <c r="S174" i="41"/>
  <c r="I174" i="41"/>
  <c r="S173" i="41"/>
  <c r="L173" i="41"/>
  <c r="I173" i="41"/>
  <c r="B173" i="41"/>
  <c r="S172" i="41"/>
  <c r="L172" i="41"/>
  <c r="I172" i="41"/>
  <c r="B172" i="41"/>
  <c r="S171" i="41"/>
  <c r="R171" i="41"/>
  <c r="Q171" i="41"/>
  <c r="P171" i="41"/>
  <c r="O171" i="41"/>
  <c r="N171" i="41"/>
  <c r="M171" i="41"/>
  <c r="L171" i="41"/>
  <c r="I171" i="41"/>
  <c r="H171" i="41"/>
  <c r="G171" i="41"/>
  <c r="F171" i="41"/>
  <c r="E171" i="41"/>
  <c r="D171" i="41"/>
  <c r="C171" i="41"/>
  <c r="B171" i="41"/>
  <c r="O170" i="41"/>
  <c r="E170" i="41"/>
  <c r="S169" i="41"/>
  <c r="I169" i="41"/>
  <c r="S165" i="41"/>
  <c r="I165" i="41"/>
  <c r="S163" i="41"/>
  <c r="I163" i="41"/>
  <c r="S162" i="41"/>
  <c r="I162" i="41"/>
  <c r="S159" i="41"/>
  <c r="I159" i="41"/>
  <c r="S158" i="41"/>
  <c r="I158" i="41"/>
  <c r="L156" i="41"/>
  <c r="S156" i="41" s="1"/>
  <c r="B156" i="41"/>
  <c r="I156" i="41" s="1"/>
  <c r="S155" i="41"/>
  <c r="R155" i="41"/>
  <c r="Q155" i="41"/>
  <c r="P155" i="41"/>
  <c r="O155" i="41"/>
  <c r="N155" i="41"/>
  <c r="M155" i="41"/>
  <c r="L155" i="41"/>
  <c r="I155" i="41"/>
  <c r="H155" i="41"/>
  <c r="G155" i="41"/>
  <c r="F155" i="41"/>
  <c r="E155" i="41"/>
  <c r="D155" i="41"/>
  <c r="C155" i="41"/>
  <c r="B155" i="41"/>
  <c r="R154" i="41"/>
  <c r="Q154" i="41"/>
  <c r="P154" i="41"/>
  <c r="O154" i="41"/>
  <c r="O210" i="41" s="1"/>
  <c r="N154" i="41"/>
  <c r="H154" i="41"/>
  <c r="G154" i="41"/>
  <c r="F154" i="41"/>
  <c r="E154" i="41"/>
  <c r="E210" i="41" s="1"/>
  <c r="D154" i="41"/>
  <c r="S152" i="41"/>
  <c r="I152" i="41"/>
  <c r="M151" i="41"/>
  <c r="M154" i="41" s="1"/>
  <c r="L151" i="41"/>
  <c r="S151" i="41" s="1"/>
  <c r="C151" i="41"/>
  <c r="C154" i="41" s="1"/>
  <c r="B151" i="41"/>
  <c r="I151" i="41" s="1"/>
  <c r="S146" i="41"/>
  <c r="I146" i="41"/>
  <c r="S145" i="41"/>
  <c r="I145" i="41"/>
  <c r="S143" i="41"/>
  <c r="R143" i="41"/>
  <c r="Q143" i="41"/>
  <c r="P143" i="41"/>
  <c r="O143" i="41"/>
  <c r="N143" i="41"/>
  <c r="M143" i="41"/>
  <c r="L143" i="41"/>
  <c r="I143" i="41"/>
  <c r="H143" i="41"/>
  <c r="G143" i="41"/>
  <c r="F143" i="41"/>
  <c r="E143" i="41"/>
  <c r="D143" i="41"/>
  <c r="C143" i="41"/>
  <c r="B143" i="41"/>
  <c r="Q140" i="41"/>
  <c r="E140" i="41"/>
  <c r="C140" i="41"/>
  <c r="S139" i="41"/>
  <c r="I139" i="41"/>
  <c r="S138" i="41"/>
  <c r="I138" i="41"/>
  <c r="S137" i="41"/>
  <c r="C137" i="41"/>
  <c r="I137" i="41" s="1"/>
  <c r="R135" i="41"/>
  <c r="O135" i="41"/>
  <c r="F135" i="41"/>
  <c r="E135" i="41"/>
  <c r="D135" i="41"/>
  <c r="G131" i="41"/>
  <c r="D131" i="41"/>
  <c r="R130" i="41"/>
  <c r="R131" i="41" s="1"/>
  <c r="Q130" i="41"/>
  <c r="Q131" i="41" s="1"/>
  <c r="P130" i="41"/>
  <c r="P131" i="41" s="1"/>
  <c r="O130" i="41"/>
  <c r="O140" i="41" s="1"/>
  <c r="N130" i="41"/>
  <c r="N131" i="41" s="1"/>
  <c r="M130" i="41"/>
  <c r="L130" i="41"/>
  <c r="S130" i="41" s="1"/>
  <c r="H130" i="41"/>
  <c r="H131" i="41" s="1"/>
  <c r="G130" i="41"/>
  <c r="F130" i="41"/>
  <c r="F131" i="41" s="1"/>
  <c r="E130" i="41"/>
  <c r="D130" i="41"/>
  <c r="C130" i="41"/>
  <c r="B130" i="41"/>
  <c r="I130" i="41" s="1"/>
  <c r="M129" i="41"/>
  <c r="M131" i="41" s="1"/>
  <c r="C129" i="41"/>
  <c r="C131" i="41" s="1"/>
  <c r="S128" i="41"/>
  <c r="I128" i="41"/>
  <c r="S127" i="41"/>
  <c r="I127" i="41"/>
  <c r="S126" i="41"/>
  <c r="I126" i="41"/>
  <c r="S125" i="41"/>
  <c r="I125" i="41"/>
  <c r="S124" i="41"/>
  <c r="I124" i="41"/>
  <c r="S123" i="41"/>
  <c r="I123" i="41"/>
  <c r="R121" i="41"/>
  <c r="Q121" i="41"/>
  <c r="Q132" i="41" s="1"/>
  <c r="H121" i="41"/>
  <c r="G121" i="41"/>
  <c r="G132" i="41" s="1"/>
  <c r="D121" i="41"/>
  <c r="D132" i="41" s="1"/>
  <c r="S120" i="41"/>
  <c r="I120" i="41"/>
  <c r="S119" i="41"/>
  <c r="L119" i="41"/>
  <c r="B119" i="41"/>
  <c r="I119" i="41" s="1"/>
  <c r="P118" i="41"/>
  <c r="P121" i="41" s="1"/>
  <c r="P132" i="41" s="1"/>
  <c r="N118" i="41"/>
  <c r="N121" i="41" s="1"/>
  <c r="N132" i="41" s="1"/>
  <c r="M118" i="41"/>
  <c r="L118" i="41"/>
  <c r="S118" i="41" s="1"/>
  <c r="F118" i="41"/>
  <c r="I118" i="41" s="1"/>
  <c r="D118" i="41"/>
  <c r="C118" i="41"/>
  <c r="B118" i="41"/>
  <c r="L117" i="41"/>
  <c r="S117" i="41" s="1"/>
  <c r="B117" i="41"/>
  <c r="I117" i="41" s="1"/>
  <c r="L116" i="41"/>
  <c r="S116" i="41" s="1"/>
  <c r="B116" i="41"/>
  <c r="I116" i="41" s="1"/>
  <c r="B114" i="41"/>
  <c r="I114" i="41" s="1"/>
  <c r="L113" i="41"/>
  <c r="S113" i="41" s="1"/>
  <c r="I113" i="41"/>
  <c r="L112" i="41"/>
  <c r="S112" i="41" s="1"/>
  <c r="B112" i="41"/>
  <c r="I112" i="41" s="1"/>
  <c r="L111" i="41"/>
  <c r="S111" i="41" s="1"/>
  <c r="I111" i="41"/>
  <c r="B111" i="41"/>
  <c r="S110" i="41"/>
  <c r="I110" i="41"/>
  <c r="S109" i="41"/>
  <c r="L109" i="41"/>
  <c r="I109" i="41"/>
  <c r="S108" i="41"/>
  <c r="L108" i="41"/>
  <c r="I108" i="41"/>
  <c r="B108" i="41"/>
  <c r="L107" i="41"/>
  <c r="B107" i="41"/>
  <c r="B121" i="41" s="1"/>
  <c r="S105" i="41"/>
  <c r="R105" i="41"/>
  <c r="Q105" i="41"/>
  <c r="P105" i="41"/>
  <c r="O105" i="41"/>
  <c r="N105" i="41"/>
  <c r="M105" i="41"/>
  <c r="L105" i="41"/>
  <c r="I105" i="41"/>
  <c r="H105" i="41"/>
  <c r="G105" i="41"/>
  <c r="F105" i="41"/>
  <c r="E105" i="41"/>
  <c r="D105" i="41"/>
  <c r="C105" i="41"/>
  <c r="B105" i="41"/>
  <c r="O103" i="41"/>
  <c r="N103" i="41"/>
  <c r="M103" i="41"/>
  <c r="L103" i="41"/>
  <c r="H103" i="41"/>
  <c r="F103" i="41"/>
  <c r="E103" i="41"/>
  <c r="D103" i="41"/>
  <c r="C103" i="41"/>
  <c r="B103" i="41"/>
  <c r="S102" i="41"/>
  <c r="I102" i="41"/>
  <c r="S101" i="41"/>
  <c r="I101" i="41"/>
  <c r="R100" i="41"/>
  <c r="R103" i="41" s="1"/>
  <c r="Q100" i="41"/>
  <c r="Q103" i="41" s="1"/>
  <c r="P100" i="41"/>
  <c r="P103" i="41" s="1"/>
  <c r="I100" i="41"/>
  <c r="H100" i="41"/>
  <c r="G100" i="41"/>
  <c r="G103" i="41" s="1"/>
  <c r="F100" i="41"/>
  <c r="S99" i="41"/>
  <c r="I99" i="41"/>
  <c r="I103" i="41" s="1"/>
  <c r="N96" i="41"/>
  <c r="M96" i="41"/>
  <c r="L96" i="41"/>
  <c r="D96" i="41"/>
  <c r="C96" i="41"/>
  <c r="B96" i="41"/>
  <c r="S95" i="41"/>
  <c r="I95" i="41"/>
  <c r="S94" i="41"/>
  <c r="I94" i="41"/>
  <c r="S92" i="41"/>
  <c r="I92" i="41"/>
  <c r="R90" i="41"/>
  <c r="Q90" i="41"/>
  <c r="P90" i="41"/>
  <c r="L90" i="41"/>
  <c r="H90" i="41"/>
  <c r="G90" i="41"/>
  <c r="F90" i="41"/>
  <c r="B90" i="41"/>
  <c r="S88" i="41"/>
  <c r="I88" i="41"/>
  <c r="S87" i="41"/>
  <c r="I87" i="41"/>
  <c r="S86" i="41"/>
  <c r="I86" i="41"/>
  <c r="S85" i="41"/>
  <c r="I85" i="41"/>
  <c r="M82" i="41"/>
  <c r="M90" i="41" s="1"/>
  <c r="C82" i="41"/>
  <c r="C90" i="41" s="1"/>
  <c r="R80" i="41"/>
  <c r="Q80" i="41"/>
  <c r="P80" i="41"/>
  <c r="N80" i="41"/>
  <c r="H80" i="41"/>
  <c r="G80" i="41"/>
  <c r="F80" i="41"/>
  <c r="D80" i="41"/>
  <c r="C80" i="41"/>
  <c r="S79" i="41"/>
  <c r="M79" i="41"/>
  <c r="M80" i="41" s="1"/>
  <c r="M97" i="41" s="1"/>
  <c r="I79" i="41"/>
  <c r="C79" i="41"/>
  <c r="S78" i="41"/>
  <c r="I78" i="41"/>
  <c r="L77" i="41"/>
  <c r="S77" i="41" s="1"/>
  <c r="B77" i="41"/>
  <c r="I77" i="41" s="1"/>
  <c r="L76" i="41"/>
  <c r="S76" i="41" s="1"/>
  <c r="I76" i="41"/>
  <c r="B76" i="41"/>
  <c r="S75" i="41"/>
  <c r="L75" i="41"/>
  <c r="B75" i="41"/>
  <c r="I75" i="41" s="1"/>
  <c r="S72" i="41"/>
  <c r="R72" i="41"/>
  <c r="Q72" i="41"/>
  <c r="P72" i="41"/>
  <c r="O72" i="41"/>
  <c r="N72" i="41"/>
  <c r="M72" i="41"/>
  <c r="L72" i="41"/>
  <c r="I72" i="41"/>
  <c r="H72" i="41"/>
  <c r="G72" i="41"/>
  <c r="F72" i="41"/>
  <c r="E72" i="41"/>
  <c r="D72" i="41"/>
  <c r="C72" i="41"/>
  <c r="B72" i="41"/>
  <c r="N64" i="41"/>
  <c r="M64" i="41"/>
  <c r="L64" i="41"/>
  <c r="R63" i="41"/>
  <c r="R65" i="41" s="1"/>
  <c r="P63" i="41"/>
  <c r="O63" i="41"/>
  <c r="E63" i="41"/>
  <c r="D63" i="41"/>
  <c r="B63" i="41"/>
  <c r="R61" i="41"/>
  <c r="R64" i="41" s="1"/>
  <c r="Q61" i="41"/>
  <c r="Q64" i="41" s="1"/>
  <c r="P61" i="41"/>
  <c r="P64" i="41" s="1"/>
  <c r="O61" i="41"/>
  <c r="O64" i="41" s="1"/>
  <c r="N61" i="41"/>
  <c r="M61" i="41"/>
  <c r="L61" i="41"/>
  <c r="H61" i="41"/>
  <c r="H64" i="41" s="1"/>
  <c r="G61" i="41"/>
  <c r="G64" i="41" s="1"/>
  <c r="F61" i="41"/>
  <c r="F64" i="41" s="1"/>
  <c r="E61" i="41"/>
  <c r="E64" i="41" s="1"/>
  <c r="D61" i="41"/>
  <c r="D64" i="41" s="1"/>
  <c r="C61" i="41"/>
  <c r="C64" i="41" s="1"/>
  <c r="B61" i="41"/>
  <c r="B64" i="41" s="1"/>
  <c r="S60" i="41"/>
  <c r="I60" i="41"/>
  <c r="S59" i="41"/>
  <c r="I59" i="41"/>
  <c r="S58" i="41"/>
  <c r="I58" i="41"/>
  <c r="S57" i="41"/>
  <c r="I57" i="41"/>
  <c r="S56" i="41"/>
  <c r="I56" i="41"/>
  <c r="S55" i="41"/>
  <c r="I55" i="41"/>
  <c r="S54" i="41"/>
  <c r="I54" i="41"/>
  <c r="S53" i="41"/>
  <c r="I53" i="41"/>
  <c r="S52" i="41"/>
  <c r="I52" i="41"/>
  <c r="S51" i="41"/>
  <c r="I51" i="41"/>
  <c r="S50" i="41"/>
  <c r="I50" i="41"/>
  <c r="S49" i="41"/>
  <c r="I49" i="41"/>
  <c r="S48" i="41"/>
  <c r="I48" i="41"/>
  <c r="S47" i="41"/>
  <c r="I47" i="41"/>
  <c r="S46" i="41"/>
  <c r="I46" i="41"/>
  <c r="S45" i="41"/>
  <c r="I45" i="41"/>
  <c r="S44" i="41"/>
  <c r="I44" i="41"/>
  <c r="S43" i="41"/>
  <c r="I43" i="41"/>
  <c r="S42" i="41"/>
  <c r="I42" i="41"/>
  <c r="S41" i="41"/>
  <c r="I41" i="41"/>
  <c r="S40" i="41"/>
  <c r="I40" i="41"/>
  <c r="S39" i="41"/>
  <c r="S61" i="41" s="1"/>
  <c r="S64" i="41" s="1"/>
  <c r="I39" i="41"/>
  <c r="I61" i="41" s="1"/>
  <c r="I64" i="41" s="1"/>
  <c r="S38" i="41"/>
  <c r="R38" i="41"/>
  <c r="Q38" i="41"/>
  <c r="P38" i="41"/>
  <c r="O38" i="41"/>
  <c r="N38" i="41"/>
  <c r="M38" i="41"/>
  <c r="L38" i="41"/>
  <c r="I38" i="41"/>
  <c r="H38" i="41"/>
  <c r="G38" i="41"/>
  <c r="F38" i="41"/>
  <c r="E38" i="41"/>
  <c r="D38" i="41"/>
  <c r="C38" i="41"/>
  <c r="B38" i="41"/>
  <c r="R36" i="41"/>
  <c r="R140" i="41" s="1"/>
  <c r="Q36" i="41"/>
  <c r="Q135" i="41" s="1"/>
  <c r="P36" i="41"/>
  <c r="P140" i="41" s="1"/>
  <c r="N36" i="41"/>
  <c r="N63" i="41" s="1"/>
  <c r="N65" i="41" s="1"/>
  <c r="M36" i="41"/>
  <c r="M63" i="41" s="1"/>
  <c r="M65" i="41" s="1"/>
  <c r="L36" i="41"/>
  <c r="L63" i="41" s="1"/>
  <c r="L65" i="41" s="1"/>
  <c r="H36" i="41"/>
  <c r="H63" i="41" s="1"/>
  <c r="H65" i="41" s="1"/>
  <c r="G36" i="41"/>
  <c r="G63" i="41" s="1"/>
  <c r="G65" i="41" s="1"/>
  <c r="F36" i="41"/>
  <c r="F63" i="41" s="1"/>
  <c r="F65" i="41" s="1"/>
  <c r="D36" i="41"/>
  <c r="D140" i="41" s="1"/>
  <c r="C36" i="41"/>
  <c r="C135" i="41" s="1"/>
  <c r="B36" i="41"/>
  <c r="B140" i="41" s="1"/>
  <c r="S35" i="41"/>
  <c r="I35" i="41"/>
  <c r="S34" i="41"/>
  <c r="I34" i="41"/>
  <c r="S33" i="41"/>
  <c r="I33" i="41"/>
  <c r="S32" i="41"/>
  <c r="I32" i="41"/>
  <c r="S31" i="41"/>
  <c r="I31" i="41"/>
  <c r="S30" i="41"/>
  <c r="I30" i="41"/>
  <c r="S29" i="41"/>
  <c r="I29" i="41"/>
  <c r="S28" i="41"/>
  <c r="J28" i="41"/>
  <c r="I28" i="41"/>
  <c r="I36" i="41" s="1"/>
  <c r="I63" i="41" s="1"/>
  <c r="I65" i="41" s="1"/>
  <c r="S27" i="41"/>
  <c r="T27" i="41" s="1"/>
  <c r="I27" i="41"/>
  <c r="J27" i="41" s="1"/>
  <c r="S26" i="41"/>
  <c r="R26" i="41"/>
  <c r="Q26" i="41"/>
  <c r="P26" i="41"/>
  <c r="O26" i="41"/>
  <c r="N26" i="41"/>
  <c r="M26" i="41"/>
  <c r="L26" i="41"/>
  <c r="I26" i="41"/>
  <c r="H26" i="41"/>
  <c r="G26" i="41"/>
  <c r="F26" i="41"/>
  <c r="E26" i="41"/>
  <c r="D26" i="41"/>
  <c r="C26" i="41"/>
  <c r="B26" i="41"/>
  <c r="S24" i="41"/>
  <c r="I24" i="41"/>
  <c r="S23" i="41"/>
  <c r="I23" i="41"/>
  <c r="S22" i="41"/>
  <c r="I22" i="41"/>
  <c r="S21" i="41"/>
  <c r="I21" i="41"/>
  <c r="S20" i="41"/>
  <c r="T28" i="41" s="1"/>
  <c r="I20" i="41"/>
  <c r="S19" i="41"/>
  <c r="R19" i="41"/>
  <c r="Q19" i="41"/>
  <c r="P19" i="41"/>
  <c r="O19" i="41"/>
  <c r="N19" i="41"/>
  <c r="M19" i="41"/>
  <c r="L19" i="41"/>
  <c r="I19" i="41"/>
  <c r="H19" i="41"/>
  <c r="G19" i="41"/>
  <c r="F19" i="41"/>
  <c r="E19" i="41"/>
  <c r="D19" i="41"/>
  <c r="C19" i="41"/>
  <c r="B19" i="41"/>
  <c r="T17" i="41"/>
  <c r="R17" i="41"/>
  <c r="Q17" i="41"/>
  <c r="P17" i="41"/>
  <c r="N17" i="41"/>
  <c r="M17" i="41"/>
  <c r="H17" i="41"/>
  <c r="G17" i="41"/>
  <c r="F17" i="41"/>
  <c r="D17" i="41"/>
  <c r="C17" i="41"/>
  <c r="B17" i="41"/>
  <c r="C157" i="41" s="1"/>
  <c r="S16" i="41"/>
  <c r="J16" i="41"/>
  <c r="I16" i="41"/>
  <c r="S15" i="41"/>
  <c r="J15" i="41"/>
  <c r="I15" i="41"/>
  <c r="S14" i="41"/>
  <c r="J14" i="41"/>
  <c r="J17" i="41" s="1"/>
  <c r="I14" i="41"/>
  <c r="S13" i="41"/>
  <c r="I13" i="41"/>
  <c r="S12" i="41"/>
  <c r="I12" i="41"/>
  <c r="S11" i="41"/>
  <c r="L11" i="41"/>
  <c r="I11" i="41"/>
  <c r="S10" i="41"/>
  <c r="I10" i="41"/>
  <c r="S9" i="41"/>
  <c r="I9" i="41"/>
  <c r="L8" i="41"/>
  <c r="S8" i="41" s="1"/>
  <c r="I8" i="41"/>
  <c r="L7" i="41"/>
  <c r="S7" i="41" s="1"/>
  <c r="I7" i="41"/>
  <c r="S6" i="41"/>
  <c r="L6" i="41"/>
  <c r="I6" i="41"/>
  <c r="S5" i="41"/>
  <c r="L5" i="41"/>
  <c r="I5" i="41"/>
  <c r="L4" i="41"/>
  <c r="L17" i="41" s="1"/>
  <c r="I4" i="41"/>
  <c r="I17" i="41" s="1"/>
  <c r="S216" i="40"/>
  <c r="I216" i="40"/>
  <c r="S215" i="40"/>
  <c r="I215" i="40"/>
  <c r="S214" i="40"/>
  <c r="I214" i="40"/>
  <c r="S213" i="40"/>
  <c r="I213" i="40"/>
  <c r="B212" i="40"/>
  <c r="I212" i="40" s="1"/>
  <c r="R208" i="40"/>
  <c r="Q208" i="40"/>
  <c r="P208" i="40"/>
  <c r="O208" i="40"/>
  <c r="N208" i="40"/>
  <c r="M208" i="40"/>
  <c r="H208" i="40"/>
  <c r="G208" i="40"/>
  <c r="F208" i="40"/>
  <c r="E208" i="40"/>
  <c r="D208" i="40"/>
  <c r="C208" i="40"/>
  <c r="B208" i="40"/>
  <c r="L207" i="40"/>
  <c r="S207" i="40" s="1"/>
  <c r="I207" i="40"/>
  <c r="S206" i="40"/>
  <c r="L206" i="40"/>
  <c r="I206" i="40"/>
  <c r="S205" i="40"/>
  <c r="I205" i="40"/>
  <c r="S204" i="40"/>
  <c r="I204" i="40"/>
  <c r="S203" i="40"/>
  <c r="L203" i="40"/>
  <c r="L208" i="40" s="1"/>
  <c r="B203" i="40"/>
  <c r="I203" i="40" s="1"/>
  <c r="S202" i="40"/>
  <c r="I202" i="40"/>
  <c r="S201" i="40"/>
  <c r="I201" i="40"/>
  <c r="S200" i="40"/>
  <c r="I200" i="40"/>
  <c r="S199" i="40"/>
  <c r="S208" i="40" s="1"/>
  <c r="I199" i="40"/>
  <c r="S198" i="40"/>
  <c r="I198" i="40"/>
  <c r="B198" i="40"/>
  <c r="S197" i="40"/>
  <c r="R197" i="40"/>
  <c r="Q197" i="40"/>
  <c r="P197" i="40"/>
  <c r="O197" i="40"/>
  <c r="N197" i="40"/>
  <c r="M197" i="40"/>
  <c r="L197" i="40"/>
  <c r="I197" i="40"/>
  <c r="H197" i="40"/>
  <c r="G197" i="40"/>
  <c r="F197" i="40"/>
  <c r="E197" i="40"/>
  <c r="D197" i="40"/>
  <c r="C197" i="40"/>
  <c r="B197" i="40"/>
  <c r="R196" i="40"/>
  <c r="Q196" i="40"/>
  <c r="P196" i="40"/>
  <c r="O196" i="40"/>
  <c r="M196" i="40"/>
  <c r="H196" i="40"/>
  <c r="G196" i="40"/>
  <c r="F196" i="40"/>
  <c r="E196" i="40"/>
  <c r="C196" i="40"/>
  <c r="S194" i="40"/>
  <c r="I194" i="40"/>
  <c r="S193" i="40"/>
  <c r="I193" i="40"/>
  <c r="S192" i="40"/>
  <c r="I192" i="40"/>
  <c r="S191" i="40"/>
  <c r="I191" i="40"/>
  <c r="S190" i="40"/>
  <c r="I190" i="40"/>
  <c r="S189" i="40"/>
  <c r="I189" i="40"/>
  <c r="S188" i="40"/>
  <c r="I188" i="40"/>
  <c r="B187" i="40"/>
  <c r="I187" i="40" s="1"/>
  <c r="S186" i="40"/>
  <c r="I186" i="40"/>
  <c r="S185" i="40"/>
  <c r="I185" i="40"/>
  <c r="S184" i="40"/>
  <c r="I184" i="40"/>
  <c r="I183" i="40"/>
  <c r="D183" i="40"/>
  <c r="D182" i="40"/>
  <c r="S181" i="40"/>
  <c r="B181" i="40"/>
  <c r="I181" i="40" s="1"/>
  <c r="S180" i="40"/>
  <c r="I180" i="40"/>
  <c r="L179" i="40"/>
  <c r="S179" i="40" s="1"/>
  <c r="I179" i="40"/>
  <c r="B178" i="40"/>
  <c r="I178" i="40" s="1"/>
  <c r="S177" i="40"/>
  <c r="B177" i="40"/>
  <c r="I177" i="40" s="1"/>
  <c r="L176" i="40"/>
  <c r="S176" i="40" s="1"/>
  <c r="B176" i="40"/>
  <c r="I176" i="40" s="1"/>
  <c r="S175" i="40"/>
  <c r="I175" i="40"/>
  <c r="S174" i="40"/>
  <c r="I174" i="40"/>
  <c r="S173" i="40"/>
  <c r="L173" i="40"/>
  <c r="I173" i="40"/>
  <c r="B173" i="40"/>
  <c r="L172" i="40"/>
  <c r="B172" i="40"/>
  <c r="S171" i="40"/>
  <c r="R171" i="40"/>
  <c r="Q171" i="40"/>
  <c r="P171" i="40"/>
  <c r="O171" i="40"/>
  <c r="N171" i="40"/>
  <c r="M171" i="40"/>
  <c r="L171" i="40"/>
  <c r="I171" i="40"/>
  <c r="H171" i="40"/>
  <c r="G171" i="40"/>
  <c r="F171" i="40"/>
  <c r="E171" i="40"/>
  <c r="D171" i="40"/>
  <c r="C171" i="40"/>
  <c r="B171" i="40"/>
  <c r="O170" i="40"/>
  <c r="E170" i="40"/>
  <c r="S169" i="40"/>
  <c r="I169" i="40"/>
  <c r="S165" i="40"/>
  <c r="I165" i="40"/>
  <c r="B164" i="40"/>
  <c r="I164" i="40" s="1"/>
  <c r="S163" i="40"/>
  <c r="I163" i="40"/>
  <c r="S162" i="40"/>
  <c r="I162" i="40"/>
  <c r="I160" i="40"/>
  <c r="B160" i="40"/>
  <c r="S159" i="40"/>
  <c r="I159" i="40"/>
  <c r="S158" i="40"/>
  <c r="I158" i="40"/>
  <c r="L156" i="40"/>
  <c r="I156" i="40"/>
  <c r="B156" i="40"/>
  <c r="S155" i="40"/>
  <c r="R155" i="40"/>
  <c r="Q155" i="40"/>
  <c r="P155" i="40"/>
  <c r="O155" i="40"/>
  <c r="N155" i="40"/>
  <c r="M155" i="40"/>
  <c r="L155" i="40"/>
  <c r="I155" i="40"/>
  <c r="H155" i="40"/>
  <c r="G155" i="40"/>
  <c r="F155" i="40"/>
  <c r="E155" i="40"/>
  <c r="D155" i="40"/>
  <c r="C155" i="40"/>
  <c r="B155" i="40"/>
  <c r="R154" i="40"/>
  <c r="Q154" i="40"/>
  <c r="P154" i="40"/>
  <c r="O154" i="40"/>
  <c r="O210" i="40" s="1"/>
  <c r="N154" i="40"/>
  <c r="H154" i="40"/>
  <c r="G154" i="40"/>
  <c r="F154" i="40"/>
  <c r="E154" i="40"/>
  <c r="D154" i="40"/>
  <c r="I153" i="40"/>
  <c r="B153" i="40"/>
  <c r="S152" i="40"/>
  <c r="I152" i="40"/>
  <c r="S151" i="40"/>
  <c r="M151" i="40"/>
  <c r="M154" i="40" s="1"/>
  <c r="L151" i="40"/>
  <c r="I151" i="40"/>
  <c r="C151" i="40"/>
  <c r="C154" i="40" s="1"/>
  <c r="B151" i="40"/>
  <c r="I150" i="40"/>
  <c r="B150" i="40"/>
  <c r="B149" i="40"/>
  <c r="I149" i="40" s="1"/>
  <c r="I147" i="40"/>
  <c r="B147" i="40"/>
  <c r="S146" i="40"/>
  <c r="I146" i="40"/>
  <c r="S145" i="40"/>
  <c r="I145" i="40"/>
  <c r="S143" i="40"/>
  <c r="R143" i="40"/>
  <c r="Q143" i="40"/>
  <c r="P143" i="40"/>
  <c r="O143" i="40"/>
  <c r="N143" i="40"/>
  <c r="M143" i="40"/>
  <c r="L143" i="40"/>
  <c r="I143" i="40"/>
  <c r="H143" i="40"/>
  <c r="G143" i="40"/>
  <c r="F143" i="40"/>
  <c r="E143" i="40"/>
  <c r="D143" i="40"/>
  <c r="C143" i="40"/>
  <c r="B143" i="40"/>
  <c r="O140" i="40"/>
  <c r="E140" i="40"/>
  <c r="S139" i="40"/>
  <c r="I139" i="40"/>
  <c r="S138" i="40"/>
  <c r="I138" i="40"/>
  <c r="S137" i="40"/>
  <c r="C137" i="40"/>
  <c r="I137" i="40" s="1"/>
  <c r="P135" i="40"/>
  <c r="O135" i="40"/>
  <c r="H135" i="40"/>
  <c r="G135" i="40"/>
  <c r="E135" i="40"/>
  <c r="M131" i="40"/>
  <c r="L131" i="40"/>
  <c r="H131" i="40"/>
  <c r="H132" i="40" s="1"/>
  <c r="D131" i="40"/>
  <c r="C131" i="40"/>
  <c r="R130" i="40"/>
  <c r="R131" i="40" s="1"/>
  <c r="R132" i="40" s="1"/>
  <c r="Q130" i="40"/>
  <c r="Q131" i="40" s="1"/>
  <c r="P130" i="40"/>
  <c r="P131" i="40" s="1"/>
  <c r="O130" i="40"/>
  <c r="N130" i="40"/>
  <c r="N131" i="40" s="1"/>
  <c r="M130" i="40"/>
  <c r="S130" i="40" s="1"/>
  <c r="L130" i="40"/>
  <c r="H130" i="40"/>
  <c r="H140" i="40" s="1"/>
  <c r="G130" i="40"/>
  <c r="G131" i="40" s="1"/>
  <c r="G132" i="40" s="1"/>
  <c r="F130" i="40"/>
  <c r="F131" i="40" s="1"/>
  <c r="E130" i="40"/>
  <c r="D130" i="40"/>
  <c r="C130" i="40"/>
  <c r="B130" i="40"/>
  <c r="S129" i="40"/>
  <c r="M129" i="40"/>
  <c r="I129" i="40"/>
  <c r="C129" i="40"/>
  <c r="S128" i="40"/>
  <c r="I128" i="40"/>
  <c r="S127" i="40"/>
  <c r="I127" i="40"/>
  <c r="S126" i="40"/>
  <c r="I126" i="40"/>
  <c r="S125" i="40"/>
  <c r="I125" i="40"/>
  <c r="S124" i="40"/>
  <c r="I124" i="40"/>
  <c r="S123" i="40"/>
  <c r="S131" i="40" s="1"/>
  <c r="I123" i="40"/>
  <c r="R121" i="40"/>
  <c r="Q121" i="40"/>
  <c r="P121" i="40"/>
  <c r="H121" i="40"/>
  <c r="G121" i="40"/>
  <c r="S120" i="40"/>
  <c r="I120" i="40"/>
  <c r="S119" i="40"/>
  <c r="L119" i="40"/>
  <c r="I119" i="40"/>
  <c r="B119" i="40"/>
  <c r="P118" i="40"/>
  <c r="N118" i="40"/>
  <c r="N121" i="40" s="1"/>
  <c r="N132" i="40" s="1"/>
  <c r="M118" i="40"/>
  <c r="L118" i="40"/>
  <c r="F118" i="40"/>
  <c r="F121" i="40" s="1"/>
  <c r="F132" i="40" s="1"/>
  <c r="D118" i="40"/>
  <c r="D121" i="40" s="1"/>
  <c r="C118" i="40"/>
  <c r="B118" i="40"/>
  <c r="I118" i="40" s="1"/>
  <c r="S117" i="40"/>
  <c r="L117" i="40"/>
  <c r="B117" i="40"/>
  <c r="I117" i="40" s="1"/>
  <c r="S116" i="40"/>
  <c r="L116" i="40"/>
  <c r="B116" i="40"/>
  <c r="I116" i="40" s="1"/>
  <c r="S113" i="40"/>
  <c r="I113" i="40"/>
  <c r="L112" i="40"/>
  <c r="S112" i="40" s="1"/>
  <c r="B112" i="40"/>
  <c r="I112" i="40" s="1"/>
  <c r="L111" i="40"/>
  <c r="S111" i="40" s="1"/>
  <c r="I111" i="40"/>
  <c r="B111" i="40"/>
  <c r="S110" i="40"/>
  <c r="I110" i="40"/>
  <c r="S109" i="40"/>
  <c r="L109" i="40"/>
  <c r="I109" i="40"/>
  <c r="L108" i="40"/>
  <c r="S108" i="40" s="1"/>
  <c r="I108" i="40"/>
  <c r="B108" i="40"/>
  <c r="L107" i="40"/>
  <c r="S107" i="40" s="1"/>
  <c r="B107" i="40"/>
  <c r="B121" i="40" s="1"/>
  <c r="S105" i="40"/>
  <c r="R105" i="40"/>
  <c r="Q105" i="40"/>
  <c r="P105" i="40"/>
  <c r="O105" i="40"/>
  <c r="N105" i="40"/>
  <c r="M105" i="40"/>
  <c r="L105" i="40"/>
  <c r="I105" i="40"/>
  <c r="H105" i="40"/>
  <c r="G105" i="40"/>
  <c r="F105" i="40"/>
  <c r="E105" i="40"/>
  <c r="D105" i="40"/>
  <c r="C105" i="40"/>
  <c r="B105" i="40"/>
  <c r="Q103" i="40"/>
  <c r="P103" i="40"/>
  <c r="O103" i="40"/>
  <c r="N103" i="40"/>
  <c r="M103" i="40"/>
  <c r="L103" i="40"/>
  <c r="E103" i="40"/>
  <c r="D103" i="40"/>
  <c r="C103" i="40"/>
  <c r="B103" i="40"/>
  <c r="S102" i="40"/>
  <c r="I102" i="40"/>
  <c r="S101" i="40"/>
  <c r="I101" i="40"/>
  <c r="R100" i="40"/>
  <c r="R103" i="40" s="1"/>
  <c r="Q100" i="40"/>
  <c r="P100" i="40"/>
  <c r="H100" i="40"/>
  <c r="H103" i="40" s="1"/>
  <c r="G100" i="40"/>
  <c r="G103" i="40" s="1"/>
  <c r="F100" i="40"/>
  <c r="F103" i="40" s="1"/>
  <c r="S99" i="40"/>
  <c r="I99" i="40"/>
  <c r="N96" i="40"/>
  <c r="M96" i="40"/>
  <c r="L96" i="40"/>
  <c r="D96" i="40"/>
  <c r="C96" i="40"/>
  <c r="B96" i="40"/>
  <c r="S95" i="40"/>
  <c r="I95" i="40"/>
  <c r="S94" i="40"/>
  <c r="I94" i="40"/>
  <c r="S92" i="40"/>
  <c r="I92" i="40"/>
  <c r="R90" i="40"/>
  <c r="Q90" i="40"/>
  <c r="P90" i="40"/>
  <c r="M90" i="40"/>
  <c r="L90" i="40"/>
  <c r="H90" i="40"/>
  <c r="G90" i="40"/>
  <c r="F90" i="40"/>
  <c r="C90" i="40"/>
  <c r="B90" i="40"/>
  <c r="S88" i="40"/>
  <c r="I88" i="40"/>
  <c r="S87" i="40"/>
  <c r="I87" i="40"/>
  <c r="S86" i="40"/>
  <c r="I86" i="40"/>
  <c r="S85" i="40"/>
  <c r="I85" i="40"/>
  <c r="D84" i="40"/>
  <c r="I84" i="40" s="1"/>
  <c r="I83" i="40"/>
  <c r="D83" i="40"/>
  <c r="M82" i="40"/>
  <c r="S82" i="40" s="1"/>
  <c r="I82" i="40"/>
  <c r="I90" i="40" s="1"/>
  <c r="C82" i="40"/>
  <c r="R80" i="40"/>
  <c r="Q80" i="40"/>
  <c r="P80" i="40"/>
  <c r="N80" i="40"/>
  <c r="M80" i="40"/>
  <c r="M97" i="40" s="1"/>
  <c r="H80" i="40"/>
  <c r="G80" i="40"/>
  <c r="F80" i="40"/>
  <c r="D80" i="40"/>
  <c r="S79" i="40"/>
  <c r="M79" i="40"/>
  <c r="I79" i="40"/>
  <c r="C79" i="40"/>
  <c r="C80" i="40" s="1"/>
  <c r="C97" i="40" s="1"/>
  <c r="S78" i="40"/>
  <c r="I78" i="40"/>
  <c r="L77" i="40"/>
  <c r="S77" i="40" s="1"/>
  <c r="B77" i="40"/>
  <c r="I77" i="40" s="1"/>
  <c r="L76" i="40"/>
  <c r="S76" i="40" s="1"/>
  <c r="I76" i="40"/>
  <c r="B76" i="40"/>
  <c r="L75" i="40"/>
  <c r="S75" i="40" s="1"/>
  <c r="B75" i="40"/>
  <c r="I75" i="40" s="1"/>
  <c r="S72" i="40"/>
  <c r="R72" i="40"/>
  <c r="Q72" i="40"/>
  <c r="P72" i="40"/>
  <c r="O72" i="40"/>
  <c r="N72" i="40"/>
  <c r="M72" i="40"/>
  <c r="L72" i="40"/>
  <c r="I72" i="40"/>
  <c r="H72" i="40"/>
  <c r="G72" i="40"/>
  <c r="F72" i="40"/>
  <c r="E72" i="40"/>
  <c r="D72" i="40"/>
  <c r="C72" i="40"/>
  <c r="B72" i="40"/>
  <c r="R64" i="40"/>
  <c r="Q64" i="40"/>
  <c r="L64" i="40"/>
  <c r="G64" i="40"/>
  <c r="G65" i="40" s="1"/>
  <c r="F64" i="40"/>
  <c r="E64" i="40"/>
  <c r="D64" i="40"/>
  <c r="P63" i="40"/>
  <c r="P65" i="40" s="1"/>
  <c r="O63" i="40"/>
  <c r="M63" i="40"/>
  <c r="M65" i="40" s="1"/>
  <c r="L63" i="40"/>
  <c r="L65" i="40" s="1"/>
  <c r="H63" i="40"/>
  <c r="H65" i="40" s="1"/>
  <c r="G63" i="40"/>
  <c r="E63" i="40"/>
  <c r="D63" i="40"/>
  <c r="D65" i="40" s="1"/>
  <c r="D136" i="40" s="1"/>
  <c r="R61" i="40"/>
  <c r="Q61" i="40"/>
  <c r="P61" i="40"/>
  <c r="P64" i="40" s="1"/>
  <c r="O61" i="40"/>
  <c r="O64" i="40" s="1"/>
  <c r="O65" i="40" s="1"/>
  <c r="O134" i="40" s="1"/>
  <c r="N61" i="40"/>
  <c r="N64" i="40" s="1"/>
  <c r="M61" i="40"/>
  <c r="M64" i="40" s="1"/>
  <c r="L61" i="40"/>
  <c r="H61" i="40"/>
  <c r="H64" i="40" s="1"/>
  <c r="G61" i="40"/>
  <c r="F61" i="40"/>
  <c r="E61" i="40"/>
  <c r="D61" i="40"/>
  <c r="C61" i="40"/>
  <c r="C64" i="40" s="1"/>
  <c r="B61" i="40"/>
  <c r="B64" i="40" s="1"/>
  <c r="S60" i="40"/>
  <c r="I60" i="40"/>
  <c r="S59" i="40"/>
  <c r="I59" i="40"/>
  <c r="S58" i="40"/>
  <c r="I58" i="40"/>
  <c r="S57" i="40"/>
  <c r="I57" i="40"/>
  <c r="S56" i="40"/>
  <c r="I56" i="40"/>
  <c r="S55" i="40"/>
  <c r="I55" i="40"/>
  <c r="S54" i="40"/>
  <c r="I54" i="40"/>
  <c r="S53" i="40"/>
  <c r="I53" i="40"/>
  <c r="S52" i="40"/>
  <c r="I52" i="40"/>
  <c r="S51" i="40"/>
  <c r="I51" i="40"/>
  <c r="S50" i="40"/>
  <c r="I50" i="40"/>
  <c r="S49" i="40"/>
  <c r="I49" i="40"/>
  <c r="S48" i="40"/>
  <c r="I48" i="40"/>
  <c r="S47" i="40"/>
  <c r="I47" i="40"/>
  <c r="S46" i="40"/>
  <c r="I46" i="40"/>
  <c r="S45" i="40"/>
  <c r="I45" i="40"/>
  <c r="S44" i="40"/>
  <c r="I44" i="40"/>
  <c r="S43" i="40"/>
  <c r="I43" i="40"/>
  <c r="S42" i="40"/>
  <c r="I42" i="40"/>
  <c r="S41" i="40"/>
  <c r="I41" i="40"/>
  <c r="S40" i="40"/>
  <c r="I40" i="40"/>
  <c r="S39" i="40"/>
  <c r="I39" i="40"/>
  <c r="I61" i="40" s="1"/>
  <c r="I64" i="40" s="1"/>
  <c r="S38" i="40"/>
  <c r="R38" i="40"/>
  <c r="Q38" i="40"/>
  <c r="P38" i="40"/>
  <c r="O38" i="40"/>
  <c r="N38" i="40"/>
  <c r="M38" i="40"/>
  <c r="L38" i="40"/>
  <c r="I38" i="40"/>
  <c r="H38" i="40"/>
  <c r="G38" i="40"/>
  <c r="F38" i="40"/>
  <c r="E38" i="40"/>
  <c r="D38" i="40"/>
  <c r="C38" i="40"/>
  <c r="B38" i="40"/>
  <c r="R36" i="40"/>
  <c r="R135" i="40" s="1"/>
  <c r="Q36" i="40"/>
  <c r="P36" i="40"/>
  <c r="N36" i="40"/>
  <c r="M36" i="40"/>
  <c r="L36" i="40"/>
  <c r="H36" i="40"/>
  <c r="G36" i="40"/>
  <c r="F36" i="40"/>
  <c r="F135" i="40" s="1"/>
  <c r="D36" i="40"/>
  <c r="D135" i="40" s="1"/>
  <c r="C36" i="40"/>
  <c r="C115" i="40" s="1"/>
  <c r="B36" i="40"/>
  <c r="B114" i="40" s="1"/>
  <c r="I114" i="40" s="1"/>
  <c r="S35" i="40"/>
  <c r="I35" i="40"/>
  <c r="S34" i="40"/>
  <c r="I34" i="40"/>
  <c r="S33" i="40"/>
  <c r="I33" i="40"/>
  <c r="S32" i="40"/>
  <c r="I32" i="40"/>
  <c r="S31" i="40"/>
  <c r="I31" i="40"/>
  <c r="S30" i="40"/>
  <c r="S36" i="40" s="1"/>
  <c r="S63" i="40" s="1"/>
  <c r="I30" i="40"/>
  <c r="S29" i="40"/>
  <c r="I29" i="40"/>
  <c r="S28" i="40"/>
  <c r="I28" i="40"/>
  <c r="S27" i="40"/>
  <c r="T27" i="40" s="1"/>
  <c r="I27" i="40"/>
  <c r="I36" i="40" s="1"/>
  <c r="I63" i="40" s="1"/>
  <c r="I65" i="40" s="1"/>
  <c r="S26" i="40"/>
  <c r="R26" i="40"/>
  <c r="Q26" i="40"/>
  <c r="P26" i="40"/>
  <c r="O26" i="40"/>
  <c r="N26" i="40"/>
  <c r="M26" i="40"/>
  <c r="L26" i="40"/>
  <c r="I26" i="40"/>
  <c r="H26" i="40"/>
  <c r="G26" i="40"/>
  <c r="F26" i="40"/>
  <c r="E26" i="40"/>
  <c r="D26" i="40"/>
  <c r="C26" i="40"/>
  <c r="B26" i="40"/>
  <c r="S24" i="40"/>
  <c r="I24" i="40"/>
  <c r="S23" i="40"/>
  <c r="I23" i="40"/>
  <c r="S22" i="40"/>
  <c r="I22" i="40"/>
  <c r="S21" i="40"/>
  <c r="I21" i="40"/>
  <c r="S20" i="40"/>
  <c r="T28" i="40" s="1"/>
  <c r="I20" i="40"/>
  <c r="J28" i="40" s="1"/>
  <c r="S19" i="40"/>
  <c r="R19" i="40"/>
  <c r="Q19" i="40"/>
  <c r="P19" i="40"/>
  <c r="O19" i="40"/>
  <c r="N19" i="40"/>
  <c r="M19" i="40"/>
  <c r="L19" i="40"/>
  <c r="I19" i="40"/>
  <c r="H19" i="40"/>
  <c r="G19" i="40"/>
  <c r="F19" i="40"/>
  <c r="E19" i="40"/>
  <c r="D19" i="40"/>
  <c r="C19" i="40"/>
  <c r="B19" i="40"/>
  <c r="T17" i="40"/>
  <c r="R17" i="40"/>
  <c r="Q17" i="40"/>
  <c r="P17" i="40"/>
  <c r="N17" i="40"/>
  <c r="M17" i="40"/>
  <c r="L17" i="40"/>
  <c r="L147" i="40" s="1"/>
  <c r="S147" i="40" s="1"/>
  <c r="H17" i="40"/>
  <c r="G17" i="40"/>
  <c r="F17" i="40"/>
  <c r="D17" i="40"/>
  <c r="C17" i="40"/>
  <c r="B17" i="40"/>
  <c r="C157" i="40" s="1"/>
  <c r="I157" i="40" s="1"/>
  <c r="S16" i="40"/>
  <c r="J16" i="40"/>
  <c r="I16" i="40"/>
  <c r="S15" i="40"/>
  <c r="J15" i="40"/>
  <c r="J17" i="40" s="1"/>
  <c r="I15" i="40"/>
  <c r="S14" i="40"/>
  <c r="J14" i="40"/>
  <c r="I14" i="40"/>
  <c r="S13" i="40"/>
  <c r="I13" i="40"/>
  <c r="S12" i="40"/>
  <c r="I12" i="40"/>
  <c r="S11" i="40"/>
  <c r="I11" i="40"/>
  <c r="S10" i="40"/>
  <c r="L10" i="40"/>
  <c r="I10" i="40"/>
  <c r="S9" i="40"/>
  <c r="I9" i="40"/>
  <c r="S8" i="40"/>
  <c r="I8" i="40"/>
  <c r="L7" i="40"/>
  <c r="S7" i="40" s="1"/>
  <c r="I7" i="40"/>
  <c r="L6" i="40"/>
  <c r="S6" i="40" s="1"/>
  <c r="I6" i="40"/>
  <c r="S5" i="40"/>
  <c r="L5" i="40"/>
  <c r="I5" i="40"/>
  <c r="I17" i="40" s="1"/>
  <c r="L4" i="40"/>
  <c r="S4" i="40" s="1"/>
  <c r="S17" i="40" s="1"/>
  <c r="I4" i="40"/>
  <c r="S216" i="36"/>
  <c r="I216" i="36"/>
  <c r="S215" i="36"/>
  <c r="I215" i="36"/>
  <c r="S214" i="36"/>
  <c r="I214" i="36"/>
  <c r="S213" i="36"/>
  <c r="I213" i="36"/>
  <c r="R208" i="36"/>
  <c r="Q208" i="36"/>
  <c r="P208" i="36"/>
  <c r="O208" i="36"/>
  <c r="N208" i="36"/>
  <c r="M208" i="36"/>
  <c r="H208" i="36"/>
  <c r="G208" i="36"/>
  <c r="F208" i="36"/>
  <c r="E208" i="36"/>
  <c r="D208" i="36"/>
  <c r="C208" i="36"/>
  <c r="L207" i="36"/>
  <c r="S207" i="36" s="1"/>
  <c r="I207" i="36"/>
  <c r="S206" i="36"/>
  <c r="L206" i="36"/>
  <c r="I206" i="36"/>
  <c r="S205" i="36"/>
  <c r="I205" i="36"/>
  <c r="S204" i="36"/>
  <c r="I204" i="36"/>
  <c r="L203" i="36"/>
  <c r="S203" i="36" s="1"/>
  <c r="B203" i="36"/>
  <c r="I203" i="36" s="1"/>
  <c r="S202" i="36"/>
  <c r="I202" i="36"/>
  <c r="S201" i="36"/>
  <c r="I201" i="36"/>
  <c r="S200" i="36"/>
  <c r="I200" i="36"/>
  <c r="S199" i="36"/>
  <c r="I199" i="36"/>
  <c r="S198" i="36"/>
  <c r="S208" i="36" s="1"/>
  <c r="B198" i="36"/>
  <c r="B208" i="36" s="1"/>
  <c r="S197" i="36"/>
  <c r="R197" i="36"/>
  <c r="Q197" i="36"/>
  <c r="P197" i="36"/>
  <c r="O197" i="36"/>
  <c r="N197" i="36"/>
  <c r="M197" i="36"/>
  <c r="L197" i="36"/>
  <c r="I197" i="36"/>
  <c r="H197" i="36"/>
  <c r="G197" i="36"/>
  <c r="F197" i="36"/>
  <c r="E197" i="36"/>
  <c r="D197" i="36"/>
  <c r="C197" i="36"/>
  <c r="B197" i="36"/>
  <c r="R196" i="36"/>
  <c r="Q196" i="36"/>
  <c r="P196" i="36"/>
  <c r="O196" i="36"/>
  <c r="M196" i="36"/>
  <c r="H196" i="36"/>
  <c r="G196" i="36"/>
  <c r="F196" i="36"/>
  <c r="E196" i="36"/>
  <c r="C196" i="36"/>
  <c r="S194" i="36"/>
  <c r="I194" i="36"/>
  <c r="S193" i="36"/>
  <c r="I193" i="36"/>
  <c r="S192" i="36"/>
  <c r="I192" i="36"/>
  <c r="S191" i="36"/>
  <c r="I191" i="36"/>
  <c r="S190" i="36"/>
  <c r="I190" i="36"/>
  <c r="S189" i="36"/>
  <c r="I189" i="36"/>
  <c r="S188" i="36"/>
  <c r="I188" i="36"/>
  <c r="S186" i="36"/>
  <c r="I186" i="36"/>
  <c r="S185" i="36"/>
  <c r="I185" i="36"/>
  <c r="S184" i="36"/>
  <c r="I184" i="36"/>
  <c r="S181" i="36"/>
  <c r="I181" i="36"/>
  <c r="B181" i="36"/>
  <c r="S180" i="36"/>
  <c r="I180" i="36"/>
  <c r="L179" i="36"/>
  <c r="S179" i="36" s="1"/>
  <c r="I179" i="36"/>
  <c r="S177" i="36"/>
  <c r="I177" i="36"/>
  <c r="B177" i="36"/>
  <c r="L176" i="36"/>
  <c r="S176" i="36" s="1"/>
  <c r="B176" i="36"/>
  <c r="I176" i="36" s="1"/>
  <c r="S175" i="36"/>
  <c r="I175" i="36"/>
  <c r="S174" i="36"/>
  <c r="I174" i="36"/>
  <c r="L173" i="36"/>
  <c r="S173" i="36" s="1"/>
  <c r="I173" i="36"/>
  <c r="B173" i="36"/>
  <c r="L172" i="36"/>
  <c r="B172" i="36"/>
  <c r="S171" i="36"/>
  <c r="R171" i="36"/>
  <c r="Q171" i="36"/>
  <c r="P171" i="36"/>
  <c r="O171" i="36"/>
  <c r="N171" i="36"/>
  <c r="M171" i="36"/>
  <c r="L171" i="36"/>
  <c r="I171" i="36"/>
  <c r="H171" i="36"/>
  <c r="G171" i="36"/>
  <c r="F171" i="36"/>
  <c r="E171" i="36"/>
  <c r="D171" i="36"/>
  <c r="C171" i="36"/>
  <c r="B171" i="36"/>
  <c r="O170" i="36"/>
  <c r="O210" i="36" s="1"/>
  <c r="E170" i="36"/>
  <c r="S169" i="36"/>
  <c r="I169" i="36"/>
  <c r="S165" i="36"/>
  <c r="I165" i="36"/>
  <c r="S163" i="36"/>
  <c r="I163" i="36"/>
  <c r="S162" i="36"/>
  <c r="I162" i="36"/>
  <c r="S159" i="36"/>
  <c r="I159" i="36"/>
  <c r="S158" i="36"/>
  <c r="I158" i="36"/>
  <c r="L156" i="36"/>
  <c r="S156" i="36" s="1"/>
  <c r="I156" i="36"/>
  <c r="B156" i="36"/>
  <c r="S155" i="36"/>
  <c r="R155" i="36"/>
  <c r="Q155" i="36"/>
  <c r="P155" i="36"/>
  <c r="O155" i="36"/>
  <c r="N155" i="36"/>
  <c r="M155" i="36"/>
  <c r="L155" i="36"/>
  <c r="I155" i="36"/>
  <c r="H155" i="36"/>
  <c r="G155" i="36"/>
  <c r="F155" i="36"/>
  <c r="E155" i="36"/>
  <c r="D155" i="36"/>
  <c r="C155" i="36"/>
  <c r="B155" i="36"/>
  <c r="R154" i="36"/>
  <c r="Q154" i="36"/>
  <c r="P154" i="36"/>
  <c r="O154" i="36"/>
  <c r="N154" i="36"/>
  <c r="H154" i="36"/>
  <c r="G154" i="36"/>
  <c r="F154" i="36"/>
  <c r="E154" i="36"/>
  <c r="E210" i="36" s="1"/>
  <c r="D154" i="36"/>
  <c r="S152" i="36"/>
  <c r="I152" i="36"/>
  <c r="M151" i="36"/>
  <c r="M154" i="36" s="1"/>
  <c r="L151" i="36"/>
  <c r="S151" i="36" s="1"/>
  <c r="C151" i="36"/>
  <c r="C154" i="36" s="1"/>
  <c r="B151" i="36"/>
  <c r="I151" i="36" s="1"/>
  <c r="S146" i="36"/>
  <c r="I146" i="36"/>
  <c r="S145" i="36"/>
  <c r="I145" i="36"/>
  <c r="S143" i="36"/>
  <c r="R143" i="36"/>
  <c r="Q143" i="36"/>
  <c r="P143" i="36"/>
  <c r="O143" i="36"/>
  <c r="N143" i="36"/>
  <c r="M143" i="36"/>
  <c r="L143" i="36"/>
  <c r="I143" i="36"/>
  <c r="H143" i="36"/>
  <c r="G143" i="36"/>
  <c r="F143" i="36"/>
  <c r="E143" i="36"/>
  <c r="D143" i="36"/>
  <c r="C143" i="36"/>
  <c r="B143" i="36"/>
  <c r="N140" i="36"/>
  <c r="E140" i="36"/>
  <c r="C140" i="36"/>
  <c r="B140" i="36"/>
  <c r="S139" i="36"/>
  <c r="I139" i="36"/>
  <c r="S138" i="36"/>
  <c r="I138" i="36"/>
  <c r="S137" i="36"/>
  <c r="C137" i="36"/>
  <c r="I137" i="36" s="1"/>
  <c r="R135" i="36"/>
  <c r="Q135" i="36"/>
  <c r="O135" i="36"/>
  <c r="E135" i="36"/>
  <c r="D135" i="36"/>
  <c r="C135" i="36"/>
  <c r="H131" i="36"/>
  <c r="F131" i="36"/>
  <c r="C131" i="36"/>
  <c r="R130" i="36"/>
  <c r="R131" i="36" s="1"/>
  <c r="Q130" i="36"/>
  <c r="Q131" i="36" s="1"/>
  <c r="Q132" i="36" s="1"/>
  <c r="P130" i="36"/>
  <c r="P131" i="36" s="1"/>
  <c r="O130" i="36"/>
  <c r="O140" i="36" s="1"/>
  <c r="N130" i="36"/>
  <c r="N131" i="36" s="1"/>
  <c r="M130" i="36"/>
  <c r="L130" i="36"/>
  <c r="S130" i="36" s="1"/>
  <c r="I130" i="36"/>
  <c r="H130" i="36"/>
  <c r="G130" i="36"/>
  <c r="G131" i="36" s="1"/>
  <c r="F130" i="36"/>
  <c r="E130" i="36"/>
  <c r="D130" i="36"/>
  <c r="D131" i="36" s="1"/>
  <c r="C130" i="36"/>
  <c r="B130" i="36"/>
  <c r="B131" i="36" s="1"/>
  <c r="M129" i="36"/>
  <c r="M131" i="36" s="1"/>
  <c r="C129" i="36"/>
  <c r="I129" i="36" s="1"/>
  <c r="S128" i="36"/>
  <c r="I128" i="36"/>
  <c r="S127" i="36"/>
  <c r="I127" i="36"/>
  <c r="S126" i="36"/>
  <c r="I126" i="36"/>
  <c r="S125" i="36"/>
  <c r="I125" i="36"/>
  <c r="S124" i="36"/>
  <c r="I124" i="36"/>
  <c r="C124" i="36"/>
  <c r="S123" i="36"/>
  <c r="I123" i="36"/>
  <c r="I131" i="36" s="1"/>
  <c r="R121" i="36"/>
  <c r="R132" i="36" s="1"/>
  <c r="Q121" i="36"/>
  <c r="H121" i="36"/>
  <c r="H132" i="36" s="1"/>
  <c r="G121" i="36"/>
  <c r="G132" i="36" s="1"/>
  <c r="F121" i="36"/>
  <c r="F132" i="36" s="1"/>
  <c r="D121" i="36"/>
  <c r="D132" i="36" s="1"/>
  <c r="S120" i="36"/>
  <c r="I120" i="36"/>
  <c r="L119" i="36"/>
  <c r="S119" i="36" s="1"/>
  <c r="B119" i="36"/>
  <c r="I119" i="36" s="1"/>
  <c r="P118" i="36"/>
  <c r="P121" i="36" s="1"/>
  <c r="P132" i="36" s="1"/>
  <c r="N118" i="36"/>
  <c r="N121" i="36" s="1"/>
  <c r="N132" i="36" s="1"/>
  <c r="M118" i="36"/>
  <c r="S118" i="36" s="1"/>
  <c r="L118" i="36"/>
  <c r="I118" i="36"/>
  <c r="F118" i="36"/>
  <c r="D118" i="36"/>
  <c r="C118" i="36"/>
  <c r="B118" i="36"/>
  <c r="L117" i="36"/>
  <c r="S117" i="36" s="1"/>
  <c r="I117" i="36"/>
  <c r="B117" i="36"/>
  <c r="L116" i="36"/>
  <c r="S116" i="36" s="1"/>
  <c r="B116" i="36"/>
  <c r="I116" i="36" s="1"/>
  <c r="S113" i="36"/>
  <c r="I113" i="36"/>
  <c r="L112" i="36"/>
  <c r="S112" i="36" s="1"/>
  <c r="I112" i="36"/>
  <c r="L111" i="36"/>
  <c r="S111" i="36" s="1"/>
  <c r="I111" i="36"/>
  <c r="S110" i="36"/>
  <c r="I110" i="36"/>
  <c r="S109" i="36"/>
  <c r="L109" i="36"/>
  <c r="I109" i="36"/>
  <c r="S108" i="36"/>
  <c r="I108" i="36"/>
  <c r="S107" i="36"/>
  <c r="I107" i="36"/>
  <c r="S105" i="36"/>
  <c r="R105" i="36"/>
  <c r="Q105" i="36"/>
  <c r="P105" i="36"/>
  <c r="O105" i="36"/>
  <c r="N105" i="36"/>
  <c r="M105" i="36"/>
  <c r="L105" i="36"/>
  <c r="I105" i="36"/>
  <c r="H105" i="36"/>
  <c r="G105" i="36"/>
  <c r="F105" i="36"/>
  <c r="E105" i="36"/>
  <c r="D105" i="36"/>
  <c r="C105" i="36"/>
  <c r="B105" i="36"/>
  <c r="P103" i="36"/>
  <c r="O103" i="36"/>
  <c r="N103" i="36"/>
  <c r="M103" i="36"/>
  <c r="L103" i="36"/>
  <c r="E103" i="36"/>
  <c r="D103" i="36"/>
  <c r="C103" i="36"/>
  <c r="B103" i="36"/>
  <c r="S102" i="36"/>
  <c r="I102" i="36"/>
  <c r="S101" i="36"/>
  <c r="I101" i="36"/>
  <c r="R100" i="36"/>
  <c r="R103" i="36" s="1"/>
  <c r="Q100" i="36"/>
  <c r="Q103" i="36" s="1"/>
  <c r="P100" i="36"/>
  <c r="S100" i="36" s="1"/>
  <c r="H100" i="36"/>
  <c r="H103" i="36" s="1"/>
  <c r="G100" i="36"/>
  <c r="G103" i="36" s="1"/>
  <c r="F100" i="36"/>
  <c r="F103" i="36" s="1"/>
  <c r="S99" i="36"/>
  <c r="I99" i="36"/>
  <c r="N96" i="36"/>
  <c r="M96" i="36"/>
  <c r="L96" i="36"/>
  <c r="D96" i="36"/>
  <c r="C96" i="36"/>
  <c r="B96" i="36"/>
  <c r="S95" i="36"/>
  <c r="I95" i="36"/>
  <c r="S94" i="36"/>
  <c r="I94" i="36"/>
  <c r="S92" i="36"/>
  <c r="I92" i="36"/>
  <c r="R90" i="36"/>
  <c r="Q90" i="36"/>
  <c r="P90" i="36"/>
  <c r="L90" i="36"/>
  <c r="H90" i="36"/>
  <c r="G90" i="36"/>
  <c r="F90" i="36"/>
  <c r="B90" i="36"/>
  <c r="S88" i="36"/>
  <c r="I88" i="36"/>
  <c r="S87" i="36"/>
  <c r="I87" i="36"/>
  <c r="S86" i="36"/>
  <c r="I86" i="36"/>
  <c r="S85" i="36"/>
  <c r="I85" i="36"/>
  <c r="S82" i="36"/>
  <c r="M82" i="36"/>
  <c r="M90" i="36" s="1"/>
  <c r="C82" i="36"/>
  <c r="I82" i="36" s="1"/>
  <c r="R80" i="36"/>
  <c r="Q80" i="36"/>
  <c r="P80" i="36"/>
  <c r="N80" i="36"/>
  <c r="M80" i="36"/>
  <c r="M97" i="36" s="1"/>
  <c r="H80" i="36"/>
  <c r="G80" i="36"/>
  <c r="F80" i="36"/>
  <c r="D80" i="36"/>
  <c r="C80" i="36"/>
  <c r="S79" i="36"/>
  <c r="I79" i="36"/>
  <c r="C79" i="36"/>
  <c r="S78" i="36"/>
  <c r="I78" i="36"/>
  <c r="L77" i="36"/>
  <c r="S77" i="36" s="1"/>
  <c r="I77" i="36"/>
  <c r="B77" i="36"/>
  <c r="L76" i="36"/>
  <c r="S76" i="36" s="1"/>
  <c r="B76" i="36"/>
  <c r="I76" i="36" s="1"/>
  <c r="S75" i="36"/>
  <c r="L75" i="36"/>
  <c r="B75" i="36"/>
  <c r="I75" i="36" s="1"/>
  <c r="S72" i="36"/>
  <c r="R72" i="36"/>
  <c r="Q72" i="36"/>
  <c r="P72" i="36"/>
  <c r="O72" i="36"/>
  <c r="N72" i="36"/>
  <c r="M72" i="36"/>
  <c r="L72" i="36"/>
  <c r="I72" i="36"/>
  <c r="H72" i="36"/>
  <c r="G72" i="36"/>
  <c r="F72" i="36"/>
  <c r="E72" i="36"/>
  <c r="D72" i="36"/>
  <c r="C72" i="36"/>
  <c r="B72" i="36"/>
  <c r="Q64" i="36"/>
  <c r="P64" i="36"/>
  <c r="N64" i="36"/>
  <c r="G64" i="36"/>
  <c r="F64" i="36"/>
  <c r="C64" i="36"/>
  <c r="B64" i="36"/>
  <c r="R63" i="36"/>
  <c r="O63" i="36"/>
  <c r="O65" i="36" s="1"/>
  <c r="O134" i="36" s="1"/>
  <c r="N63" i="36"/>
  <c r="N65" i="36" s="1"/>
  <c r="L63" i="36"/>
  <c r="G63" i="36"/>
  <c r="G65" i="36" s="1"/>
  <c r="F63" i="36"/>
  <c r="F65" i="36" s="1"/>
  <c r="E63" i="36"/>
  <c r="D63" i="36"/>
  <c r="R61" i="36"/>
  <c r="R64" i="36" s="1"/>
  <c r="Q61" i="36"/>
  <c r="P61" i="36"/>
  <c r="O61" i="36"/>
  <c r="O64" i="36" s="1"/>
  <c r="N61" i="36"/>
  <c r="M61" i="36"/>
  <c r="M64" i="36" s="1"/>
  <c r="L61" i="36"/>
  <c r="L64" i="36" s="1"/>
  <c r="L65" i="36" s="1"/>
  <c r="H61" i="36"/>
  <c r="H64" i="36" s="1"/>
  <c r="G61" i="36"/>
  <c r="F61" i="36"/>
  <c r="E61" i="36"/>
  <c r="E64" i="36" s="1"/>
  <c r="E65" i="36" s="1"/>
  <c r="E134" i="36" s="1"/>
  <c r="D61" i="36"/>
  <c r="D64" i="36" s="1"/>
  <c r="C61" i="36"/>
  <c r="B61" i="36"/>
  <c r="S60" i="36"/>
  <c r="I60" i="36"/>
  <c r="S59" i="36"/>
  <c r="I59" i="36"/>
  <c r="S58" i="36"/>
  <c r="I58" i="36"/>
  <c r="S57" i="36"/>
  <c r="I57" i="36"/>
  <c r="S56" i="36"/>
  <c r="I56" i="36"/>
  <c r="S55" i="36"/>
  <c r="I55" i="36"/>
  <c r="S54" i="36"/>
  <c r="I54" i="36"/>
  <c r="S53" i="36"/>
  <c r="I53" i="36"/>
  <c r="S52" i="36"/>
  <c r="I52" i="36"/>
  <c r="S51" i="36"/>
  <c r="I51" i="36"/>
  <c r="S50" i="36"/>
  <c r="I50" i="36"/>
  <c r="S49" i="36"/>
  <c r="I49" i="36"/>
  <c r="S48" i="36"/>
  <c r="I48" i="36"/>
  <c r="S47" i="36"/>
  <c r="I47" i="36"/>
  <c r="S46" i="36"/>
  <c r="I46" i="36"/>
  <c r="S45" i="36"/>
  <c r="I45" i="36"/>
  <c r="S44" i="36"/>
  <c r="I44" i="36"/>
  <c r="S43" i="36"/>
  <c r="I43" i="36"/>
  <c r="S42" i="36"/>
  <c r="I42" i="36"/>
  <c r="S41" i="36"/>
  <c r="S61" i="36" s="1"/>
  <c r="S64" i="36" s="1"/>
  <c r="I41" i="36"/>
  <c r="S40" i="36"/>
  <c r="I40" i="36"/>
  <c r="S39" i="36"/>
  <c r="I39" i="36"/>
  <c r="I61" i="36" s="1"/>
  <c r="I64" i="36" s="1"/>
  <c r="S38" i="36"/>
  <c r="R38" i="36"/>
  <c r="Q38" i="36"/>
  <c r="P38" i="36"/>
  <c r="O38" i="36"/>
  <c r="N38" i="36"/>
  <c r="M38" i="36"/>
  <c r="L38" i="36"/>
  <c r="I38" i="36"/>
  <c r="H38" i="36"/>
  <c r="G38" i="36"/>
  <c r="F38" i="36"/>
  <c r="E38" i="36"/>
  <c r="D38" i="36"/>
  <c r="C38" i="36"/>
  <c r="B38" i="36"/>
  <c r="R36" i="36"/>
  <c r="R140" i="36" s="1"/>
  <c r="Q36" i="36"/>
  <c r="Q63" i="36" s="1"/>
  <c r="Q65" i="36" s="1"/>
  <c r="P36" i="36"/>
  <c r="P63" i="36" s="1"/>
  <c r="P65" i="36" s="1"/>
  <c r="N36" i="36"/>
  <c r="N135" i="36" s="1"/>
  <c r="M36" i="36"/>
  <c r="M140" i="36" s="1"/>
  <c r="L36" i="36"/>
  <c r="L140" i="36" s="1"/>
  <c r="H36" i="36"/>
  <c r="H140" i="36" s="1"/>
  <c r="G36" i="36"/>
  <c r="G140" i="36" s="1"/>
  <c r="F36" i="36"/>
  <c r="F140" i="36" s="1"/>
  <c r="D36" i="36"/>
  <c r="D140" i="36" s="1"/>
  <c r="C36" i="36"/>
  <c r="C63" i="36" s="1"/>
  <c r="C65" i="36" s="1"/>
  <c r="B36" i="36"/>
  <c r="B63" i="36" s="1"/>
  <c r="B65" i="36" s="1"/>
  <c r="S35" i="36"/>
  <c r="I35" i="36"/>
  <c r="S34" i="36"/>
  <c r="I34" i="36"/>
  <c r="S33" i="36"/>
  <c r="I33" i="36"/>
  <c r="S32" i="36"/>
  <c r="I32" i="36"/>
  <c r="S31" i="36"/>
  <c r="I31" i="36"/>
  <c r="S30" i="36"/>
  <c r="I30" i="36"/>
  <c r="S29" i="36"/>
  <c r="I29" i="36"/>
  <c r="S28" i="36"/>
  <c r="I28" i="36"/>
  <c r="T27" i="36"/>
  <c r="S27" i="36"/>
  <c r="S36" i="36" s="1"/>
  <c r="S63" i="36" s="1"/>
  <c r="S65" i="36" s="1"/>
  <c r="I27" i="36"/>
  <c r="I36" i="36" s="1"/>
  <c r="I63" i="36" s="1"/>
  <c r="I65" i="36" s="1"/>
  <c r="S26" i="36"/>
  <c r="R26" i="36"/>
  <c r="Q26" i="36"/>
  <c r="P26" i="36"/>
  <c r="O26" i="36"/>
  <c r="N26" i="36"/>
  <c r="M26" i="36"/>
  <c r="L26" i="36"/>
  <c r="I26" i="36"/>
  <c r="H26" i="36"/>
  <c r="G26" i="36"/>
  <c r="F26" i="36"/>
  <c r="E26" i="36"/>
  <c r="D26" i="36"/>
  <c r="C26" i="36"/>
  <c r="B26" i="36"/>
  <c r="S24" i="36"/>
  <c r="I24" i="36"/>
  <c r="S23" i="36"/>
  <c r="I23" i="36"/>
  <c r="S22" i="36"/>
  <c r="I22" i="36"/>
  <c r="S21" i="36"/>
  <c r="I21" i="36"/>
  <c r="S20" i="36"/>
  <c r="T28" i="36" s="1"/>
  <c r="I20" i="36"/>
  <c r="J28" i="36" s="1"/>
  <c r="S19" i="36"/>
  <c r="R19" i="36"/>
  <c r="Q19" i="36"/>
  <c r="P19" i="36"/>
  <c r="O19" i="36"/>
  <c r="N19" i="36"/>
  <c r="M19" i="36"/>
  <c r="L19" i="36"/>
  <c r="I19" i="36"/>
  <c r="H19" i="36"/>
  <c r="G19" i="36"/>
  <c r="F19" i="36"/>
  <c r="E19" i="36"/>
  <c r="D19" i="36"/>
  <c r="C19" i="36"/>
  <c r="B19" i="36"/>
  <c r="T17" i="36"/>
  <c r="R17" i="36"/>
  <c r="Q17" i="36"/>
  <c r="P17" i="36"/>
  <c r="N17" i="36"/>
  <c r="M17" i="36"/>
  <c r="H17" i="36"/>
  <c r="G17" i="36"/>
  <c r="F17" i="36"/>
  <c r="D17" i="36"/>
  <c r="C17" i="36"/>
  <c r="S16" i="36"/>
  <c r="J16" i="36"/>
  <c r="I16" i="36"/>
  <c r="S15" i="36"/>
  <c r="J15" i="36"/>
  <c r="I15" i="36"/>
  <c r="S14" i="36"/>
  <c r="J14" i="36"/>
  <c r="J17" i="36" s="1"/>
  <c r="I14" i="36"/>
  <c r="S13" i="36"/>
  <c r="J13" i="36"/>
  <c r="I13" i="36"/>
  <c r="S12" i="36"/>
  <c r="I12" i="36"/>
  <c r="S11" i="36"/>
  <c r="I11" i="36"/>
  <c r="S10" i="36"/>
  <c r="I10" i="36"/>
  <c r="L9" i="36"/>
  <c r="S9" i="36" s="1"/>
  <c r="I9" i="36"/>
  <c r="B9" i="36"/>
  <c r="S8" i="36"/>
  <c r="B8" i="36"/>
  <c r="I8" i="36" s="1"/>
  <c r="L7" i="36"/>
  <c r="S7" i="36" s="1"/>
  <c r="B7" i="36"/>
  <c r="I7" i="36" s="1"/>
  <c r="S6" i="36"/>
  <c r="L6" i="36"/>
  <c r="I6" i="36"/>
  <c r="B6" i="36"/>
  <c r="L5" i="36"/>
  <c r="S5" i="36" s="1"/>
  <c r="B5" i="36"/>
  <c r="I5" i="36" s="1"/>
  <c r="L4" i="36"/>
  <c r="S4" i="36" s="1"/>
  <c r="B4" i="36"/>
  <c r="B17" i="36" s="1"/>
  <c r="I217" i="35"/>
  <c r="I216" i="35"/>
  <c r="I215" i="35"/>
  <c r="I214" i="35"/>
  <c r="I213" i="35"/>
  <c r="B212" i="35"/>
  <c r="I212" i="35" s="1"/>
  <c r="H208" i="35"/>
  <c r="G208" i="35"/>
  <c r="F208" i="35"/>
  <c r="E208" i="35"/>
  <c r="D208" i="35"/>
  <c r="C208" i="35"/>
  <c r="I207" i="35"/>
  <c r="I206" i="35"/>
  <c r="I205" i="35"/>
  <c r="I204" i="35"/>
  <c r="I203" i="35"/>
  <c r="B203" i="35"/>
  <c r="I202" i="35"/>
  <c r="I201" i="35"/>
  <c r="I200" i="35"/>
  <c r="I199" i="35"/>
  <c r="B198" i="35"/>
  <c r="I198" i="35" s="1"/>
  <c r="I208" i="35" s="1"/>
  <c r="I197" i="35"/>
  <c r="H197" i="35"/>
  <c r="G197" i="35"/>
  <c r="F197" i="35"/>
  <c r="E197" i="35"/>
  <c r="D197" i="35"/>
  <c r="C197" i="35"/>
  <c r="B197" i="35"/>
  <c r="H196" i="35"/>
  <c r="G196" i="35"/>
  <c r="F196" i="35"/>
  <c r="E196" i="35"/>
  <c r="D196" i="35"/>
  <c r="C196" i="35"/>
  <c r="I194" i="35"/>
  <c r="I193" i="35"/>
  <c r="I192" i="35"/>
  <c r="I191" i="35"/>
  <c r="I190" i="35"/>
  <c r="I189" i="35"/>
  <c r="I188" i="35"/>
  <c r="B187" i="35"/>
  <c r="I187" i="35" s="1"/>
  <c r="I186" i="35"/>
  <c r="I185" i="35"/>
  <c r="I184" i="35"/>
  <c r="D183" i="35"/>
  <c r="I183" i="35" s="1"/>
  <c r="I182" i="35"/>
  <c r="D182" i="35"/>
  <c r="B181" i="35"/>
  <c r="I181" i="35" s="1"/>
  <c r="I180" i="35"/>
  <c r="I179" i="35"/>
  <c r="B178" i="35"/>
  <c r="I178" i="35" s="1"/>
  <c r="I177" i="35"/>
  <c r="B177" i="35"/>
  <c r="B176" i="35"/>
  <c r="I176" i="35" s="1"/>
  <c r="I175" i="35"/>
  <c r="I174" i="35"/>
  <c r="B173" i="35"/>
  <c r="I173" i="35" s="1"/>
  <c r="B172" i="35"/>
  <c r="I172" i="35" s="1"/>
  <c r="I171" i="35"/>
  <c r="H171" i="35"/>
  <c r="G171" i="35"/>
  <c r="F171" i="35"/>
  <c r="E171" i="35"/>
  <c r="D171" i="35"/>
  <c r="C171" i="35"/>
  <c r="B171" i="35"/>
  <c r="E170" i="35"/>
  <c r="E210" i="35" s="1"/>
  <c r="I169" i="35"/>
  <c r="I165" i="35"/>
  <c r="B164" i="35"/>
  <c r="I164" i="35" s="1"/>
  <c r="I163" i="35"/>
  <c r="I162" i="35"/>
  <c r="B160" i="35"/>
  <c r="I160" i="35" s="1"/>
  <c r="I159" i="35"/>
  <c r="I158" i="35"/>
  <c r="I157" i="35"/>
  <c r="C157" i="35"/>
  <c r="B156" i="35"/>
  <c r="I155" i="35"/>
  <c r="H155" i="35"/>
  <c r="G155" i="35"/>
  <c r="F155" i="35"/>
  <c r="E155" i="35"/>
  <c r="D155" i="35"/>
  <c r="C155" i="35"/>
  <c r="B155" i="35"/>
  <c r="H154" i="35"/>
  <c r="G154" i="35"/>
  <c r="F154" i="35"/>
  <c r="E154" i="35"/>
  <c r="D154" i="35"/>
  <c r="C154" i="35"/>
  <c r="B153" i="35"/>
  <c r="I153" i="35" s="1"/>
  <c r="I152" i="35"/>
  <c r="I151" i="35"/>
  <c r="C151" i="35"/>
  <c r="B151" i="35"/>
  <c r="B150" i="35"/>
  <c r="I150" i="35" s="1"/>
  <c r="B149" i="35"/>
  <c r="I149" i="35" s="1"/>
  <c r="B148" i="35"/>
  <c r="I148" i="35" s="1"/>
  <c r="B147" i="35"/>
  <c r="I147" i="35" s="1"/>
  <c r="I146" i="35"/>
  <c r="I145" i="35"/>
  <c r="I144" i="35"/>
  <c r="B144" i="35"/>
  <c r="I143" i="35"/>
  <c r="H143" i="35"/>
  <c r="G143" i="35"/>
  <c r="F143" i="35"/>
  <c r="E143" i="35"/>
  <c r="D143" i="35"/>
  <c r="C143" i="35"/>
  <c r="B143" i="35"/>
  <c r="C140" i="35"/>
  <c r="B140" i="35"/>
  <c r="I139" i="35"/>
  <c r="I138" i="35"/>
  <c r="C137" i="35"/>
  <c r="I137" i="35" s="1"/>
  <c r="H135" i="35"/>
  <c r="G135" i="35"/>
  <c r="F135" i="35"/>
  <c r="E135" i="35"/>
  <c r="F132" i="35"/>
  <c r="F131" i="35"/>
  <c r="D131" i="35"/>
  <c r="C131" i="35"/>
  <c r="B131" i="35"/>
  <c r="H130" i="35"/>
  <c r="I130" i="35" s="1"/>
  <c r="G130" i="35"/>
  <c r="G140" i="35" s="1"/>
  <c r="F130" i="35"/>
  <c r="E130" i="35"/>
  <c r="E140" i="35" s="1"/>
  <c r="D130" i="35"/>
  <c r="C130" i="35"/>
  <c r="B130" i="35"/>
  <c r="C129" i="35"/>
  <c r="I129" i="35" s="1"/>
  <c r="I128" i="35"/>
  <c r="I127" i="35"/>
  <c r="I126" i="35"/>
  <c r="I125" i="35"/>
  <c r="I124" i="35"/>
  <c r="I131" i="35" s="1"/>
  <c r="C124" i="35"/>
  <c r="I123" i="35"/>
  <c r="H121" i="35"/>
  <c r="G121" i="35"/>
  <c r="F121" i="35"/>
  <c r="D121" i="35"/>
  <c r="D132" i="35" s="1"/>
  <c r="I120" i="35"/>
  <c r="I119" i="35"/>
  <c r="B119" i="35"/>
  <c r="F118" i="35"/>
  <c r="D118" i="35"/>
  <c r="C118" i="35"/>
  <c r="B118" i="35"/>
  <c r="I118" i="35" s="1"/>
  <c r="B117" i="35"/>
  <c r="I117" i="35" s="1"/>
  <c r="B116" i="35"/>
  <c r="I116" i="35" s="1"/>
  <c r="C115" i="35"/>
  <c r="I115" i="35" s="1"/>
  <c r="B113" i="35"/>
  <c r="I113" i="35" s="1"/>
  <c r="I112" i="35"/>
  <c r="B111" i="35"/>
  <c r="I111" i="35" s="1"/>
  <c r="B110" i="35"/>
  <c r="I110" i="35" s="1"/>
  <c r="I109" i="35"/>
  <c r="B108" i="35"/>
  <c r="I107" i="35"/>
  <c r="B107" i="35"/>
  <c r="I105" i="35"/>
  <c r="H105" i="35"/>
  <c r="G105" i="35"/>
  <c r="F105" i="35"/>
  <c r="E105" i="35"/>
  <c r="D105" i="35"/>
  <c r="C105" i="35"/>
  <c r="B105" i="35"/>
  <c r="H103" i="35"/>
  <c r="E103" i="35"/>
  <c r="D103" i="35"/>
  <c r="C103" i="35"/>
  <c r="B103" i="35"/>
  <c r="I102" i="35"/>
  <c r="I101" i="35"/>
  <c r="H100" i="35"/>
  <c r="G100" i="35"/>
  <c r="G103" i="35" s="1"/>
  <c r="F100" i="35"/>
  <c r="F103" i="35" s="1"/>
  <c r="I99" i="35"/>
  <c r="D96" i="35"/>
  <c r="C96" i="35"/>
  <c r="B96" i="35"/>
  <c r="I95" i="35"/>
  <c r="I94" i="35"/>
  <c r="I92" i="35"/>
  <c r="H90" i="35"/>
  <c r="G90" i="35"/>
  <c r="F90" i="35"/>
  <c r="C90" i="35"/>
  <c r="B90" i="35"/>
  <c r="I88" i="35"/>
  <c r="I87" i="35"/>
  <c r="I86" i="35"/>
  <c r="I85" i="35"/>
  <c r="D84" i="35"/>
  <c r="I84" i="35" s="1"/>
  <c r="I83" i="35"/>
  <c r="D83" i="35"/>
  <c r="D90" i="35" s="1"/>
  <c r="C82" i="35"/>
  <c r="I82" i="35" s="1"/>
  <c r="I90" i="35" s="1"/>
  <c r="H80" i="35"/>
  <c r="G80" i="35"/>
  <c r="F80" i="35"/>
  <c r="D80" i="35"/>
  <c r="D97" i="35" s="1"/>
  <c r="B80" i="35"/>
  <c r="B97" i="35" s="1"/>
  <c r="C79" i="35"/>
  <c r="C80" i="35" s="1"/>
  <c r="C97" i="35" s="1"/>
  <c r="I78" i="35"/>
  <c r="B77" i="35"/>
  <c r="I77" i="35" s="1"/>
  <c r="I76" i="35"/>
  <c r="B76" i="35"/>
  <c r="B75" i="35"/>
  <c r="I75" i="35" s="1"/>
  <c r="B74" i="35"/>
  <c r="B195" i="35" s="1"/>
  <c r="I195" i="35" s="1"/>
  <c r="I72" i="35"/>
  <c r="H72" i="35"/>
  <c r="G72" i="35"/>
  <c r="F72" i="35"/>
  <c r="E72" i="35"/>
  <c r="D72" i="35"/>
  <c r="C72" i="35"/>
  <c r="B72" i="35"/>
  <c r="F64" i="35"/>
  <c r="E64" i="35"/>
  <c r="D64" i="35"/>
  <c r="C64" i="35"/>
  <c r="B64" i="35"/>
  <c r="G63" i="35"/>
  <c r="E63" i="35"/>
  <c r="E65" i="35" s="1"/>
  <c r="E134" i="35" s="1"/>
  <c r="D63" i="35"/>
  <c r="D65" i="35" s="1"/>
  <c r="C63" i="35"/>
  <c r="C65" i="35" s="1"/>
  <c r="B63" i="35"/>
  <c r="B65" i="35" s="1"/>
  <c r="H61" i="35"/>
  <c r="H64" i="35" s="1"/>
  <c r="G61" i="35"/>
  <c r="G64" i="35" s="1"/>
  <c r="G65" i="35" s="1"/>
  <c r="F61" i="35"/>
  <c r="E61" i="35"/>
  <c r="D61" i="35"/>
  <c r="C61" i="35"/>
  <c r="B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61" i="35" s="1"/>
  <c r="I64" i="35" s="1"/>
  <c r="I41" i="35"/>
  <c r="I40" i="35"/>
  <c r="I39" i="35"/>
  <c r="I38" i="35"/>
  <c r="H38" i="35"/>
  <c r="G38" i="35"/>
  <c r="F38" i="35"/>
  <c r="E38" i="35"/>
  <c r="D38" i="35"/>
  <c r="C38" i="35"/>
  <c r="B38" i="35"/>
  <c r="H36" i="35"/>
  <c r="H140" i="35" s="1"/>
  <c r="G36" i="35"/>
  <c r="F36" i="35"/>
  <c r="F140" i="35" s="1"/>
  <c r="D36" i="35"/>
  <c r="D135" i="35" s="1"/>
  <c r="C36" i="35"/>
  <c r="C135" i="35" s="1"/>
  <c r="B36" i="35"/>
  <c r="B114" i="35" s="1"/>
  <c r="I114" i="35" s="1"/>
  <c r="I35" i="35"/>
  <c r="I34" i="35"/>
  <c r="I33" i="35"/>
  <c r="I32" i="35"/>
  <c r="I31" i="35"/>
  <c r="I30" i="35"/>
  <c r="I36" i="35" s="1"/>
  <c r="I63" i="35" s="1"/>
  <c r="I29" i="35"/>
  <c r="I28" i="35"/>
  <c r="J27" i="35"/>
  <c r="I27" i="35"/>
  <c r="I26" i="35"/>
  <c r="H26" i="35"/>
  <c r="G26" i="35"/>
  <c r="F26" i="35"/>
  <c r="E26" i="35"/>
  <c r="D26" i="35"/>
  <c r="C26" i="35"/>
  <c r="B26" i="35"/>
  <c r="I24" i="35"/>
  <c r="I23" i="35"/>
  <c r="I22" i="35"/>
  <c r="I21" i="35"/>
  <c r="I20" i="35"/>
  <c r="J28" i="35" s="1"/>
  <c r="I217" i="19"/>
  <c r="I216" i="19"/>
  <c r="I215" i="19"/>
  <c r="I214" i="19"/>
  <c r="I213" i="19"/>
  <c r="I212" i="19"/>
  <c r="B212" i="19"/>
  <c r="H208" i="19"/>
  <c r="G208" i="19"/>
  <c r="F208" i="19"/>
  <c r="E208" i="19"/>
  <c r="D208" i="19"/>
  <c r="C208" i="19"/>
  <c r="I207" i="19"/>
  <c r="I206" i="19"/>
  <c r="I205" i="19"/>
  <c r="I204" i="19"/>
  <c r="I203" i="19"/>
  <c r="I208" i="19" s="1"/>
  <c r="B203" i="19"/>
  <c r="B208" i="19" s="1"/>
  <c r="I202" i="19"/>
  <c r="I201" i="19"/>
  <c r="I200" i="19"/>
  <c r="I199" i="19"/>
  <c r="I198" i="19"/>
  <c r="I197" i="19"/>
  <c r="H197" i="19"/>
  <c r="G197" i="19"/>
  <c r="F197" i="19"/>
  <c r="E197" i="19"/>
  <c r="D197" i="19"/>
  <c r="C197" i="19"/>
  <c r="B197" i="19"/>
  <c r="H196" i="19"/>
  <c r="G196" i="19"/>
  <c r="F196" i="19"/>
  <c r="E196" i="19"/>
  <c r="C196" i="19"/>
  <c r="B195" i="19"/>
  <c r="B196" i="19" s="1"/>
  <c r="I194" i="19"/>
  <c r="I193" i="19"/>
  <c r="I192" i="19"/>
  <c r="I191" i="19"/>
  <c r="I190" i="19"/>
  <c r="I189" i="19"/>
  <c r="I188" i="19"/>
  <c r="B187" i="19"/>
  <c r="I187" i="19" s="1"/>
  <c r="I186" i="19"/>
  <c r="I185" i="19"/>
  <c r="I184" i="19"/>
  <c r="I183" i="19"/>
  <c r="D183" i="19"/>
  <c r="D182" i="19"/>
  <c r="I182" i="19" s="1"/>
  <c r="I181" i="19"/>
  <c r="I180" i="19"/>
  <c r="I179" i="19"/>
  <c r="B178" i="19"/>
  <c r="I178" i="19" s="1"/>
  <c r="I177" i="19"/>
  <c r="I176" i="19"/>
  <c r="I175" i="19"/>
  <c r="I174" i="19"/>
  <c r="I173" i="19"/>
  <c r="B173" i="19"/>
  <c r="I172" i="19"/>
  <c r="B172" i="19"/>
  <c r="I171" i="19"/>
  <c r="H171" i="19"/>
  <c r="G171" i="19"/>
  <c r="F171" i="19"/>
  <c r="E171" i="19"/>
  <c r="D171" i="19"/>
  <c r="C171" i="19"/>
  <c r="B171" i="19"/>
  <c r="E170" i="19"/>
  <c r="I169" i="19"/>
  <c r="B168" i="19"/>
  <c r="I168" i="19" s="1"/>
  <c r="B167" i="19"/>
  <c r="I167" i="19" s="1"/>
  <c r="I165" i="19"/>
  <c r="I164" i="19"/>
  <c r="B164" i="19"/>
  <c r="I163" i="19"/>
  <c r="B162" i="19"/>
  <c r="I162" i="19" s="1"/>
  <c r="I160" i="19"/>
  <c r="B160" i="19"/>
  <c r="I159" i="19"/>
  <c r="I158" i="19"/>
  <c r="C157" i="19"/>
  <c r="I157" i="19" s="1"/>
  <c r="B156" i="19"/>
  <c r="I156" i="19" s="1"/>
  <c r="I155" i="19"/>
  <c r="H155" i="19"/>
  <c r="G155" i="19"/>
  <c r="F155" i="19"/>
  <c r="E155" i="19"/>
  <c r="D155" i="19"/>
  <c r="C155" i="19"/>
  <c r="B155" i="19"/>
  <c r="H154" i="19"/>
  <c r="G154" i="19"/>
  <c r="F154" i="19"/>
  <c r="E154" i="19"/>
  <c r="E210" i="19" s="1"/>
  <c r="D154" i="19"/>
  <c r="I153" i="19"/>
  <c r="B153" i="19"/>
  <c r="I152" i="19"/>
  <c r="C151" i="19"/>
  <c r="C154" i="19" s="1"/>
  <c r="B151" i="19"/>
  <c r="I151" i="19" s="1"/>
  <c r="B150" i="19"/>
  <c r="I150" i="19" s="1"/>
  <c r="I149" i="19"/>
  <c r="B149" i="19"/>
  <c r="I148" i="19"/>
  <c r="B148" i="19"/>
  <c r="I147" i="19"/>
  <c r="B147" i="19"/>
  <c r="I146" i="19"/>
  <c r="I145" i="19"/>
  <c r="B144" i="19"/>
  <c r="B154" i="19" s="1"/>
  <c r="I143" i="19"/>
  <c r="H143" i="19"/>
  <c r="G143" i="19"/>
  <c r="F143" i="19"/>
  <c r="E143" i="19"/>
  <c r="D143" i="19"/>
  <c r="C143" i="19"/>
  <c r="B143" i="19"/>
  <c r="G140" i="19"/>
  <c r="F140" i="19"/>
  <c r="E140" i="19"/>
  <c r="I139" i="19"/>
  <c r="I138" i="19"/>
  <c r="I137" i="19"/>
  <c r="G135" i="19"/>
  <c r="E135" i="19"/>
  <c r="D135" i="19"/>
  <c r="C135" i="19"/>
  <c r="B135" i="19"/>
  <c r="H131" i="19"/>
  <c r="G131" i="19"/>
  <c r="H130" i="19"/>
  <c r="G130" i="19"/>
  <c r="F130" i="19"/>
  <c r="F131" i="19" s="1"/>
  <c r="E130" i="19"/>
  <c r="D130" i="19"/>
  <c r="D131" i="19" s="1"/>
  <c r="C130" i="19"/>
  <c r="B130" i="19"/>
  <c r="B131" i="19" s="1"/>
  <c r="C129" i="19"/>
  <c r="I129" i="19" s="1"/>
  <c r="I128" i="19"/>
  <c r="I127" i="19"/>
  <c r="I126" i="19"/>
  <c r="I125" i="19"/>
  <c r="I124" i="19"/>
  <c r="I123" i="19"/>
  <c r="H121" i="19"/>
  <c r="H132" i="19" s="1"/>
  <c r="G121" i="19"/>
  <c r="G132" i="19" s="1"/>
  <c r="F121" i="19"/>
  <c r="F132" i="19" s="1"/>
  <c r="I120" i="19"/>
  <c r="B119" i="19"/>
  <c r="I119" i="19" s="1"/>
  <c r="F118" i="19"/>
  <c r="D118" i="19"/>
  <c r="D121" i="19" s="1"/>
  <c r="C118" i="19"/>
  <c r="B118" i="19"/>
  <c r="I118" i="19" s="1"/>
  <c r="I117" i="19"/>
  <c r="B116" i="19"/>
  <c r="I116" i="19" s="1"/>
  <c r="I113" i="19"/>
  <c r="I112" i="19"/>
  <c r="B111" i="19"/>
  <c r="I111" i="19" s="1"/>
  <c r="B110" i="19"/>
  <c r="I110" i="19" s="1"/>
  <c r="I109" i="19"/>
  <c r="I108" i="19"/>
  <c r="I107" i="19"/>
  <c r="I105" i="19"/>
  <c r="H105" i="19"/>
  <c r="G105" i="19"/>
  <c r="F105" i="19"/>
  <c r="E105" i="19"/>
  <c r="D105" i="19"/>
  <c r="C105" i="19"/>
  <c r="B105" i="19"/>
  <c r="F103" i="19"/>
  <c r="E103" i="19"/>
  <c r="D103" i="19"/>
  <c r="C103" i="19"/>
  <c r="B103" i="19"/>
  <c r="I102" i="19"/>
  <c r="I101" i="19"/>
  <c r="H100" i="19"/>
  <c r="H103" i="19" s="1"/>
  <c r="G100" i="19"/>
  <c r="G103" i="19" s="1"/>
  <c r="F100" i="19"/>
  <c r="I99" i="19"/>
  <c r="D96" i="19"/>
  <c r="C96" i="19"/>
  <c r="B96" i="19"/>
  <c r="I95" i="19"/>
  <c r="I94" i="19"/>
  <c r="I92" i="19"/>
  <c r="H90" i="19"/>
  <c r="G90" i="19"/>
  <c r="F90" i="19"/>
  <c r="C90" i="19"/>
  <c r="B90" i="19"/>
  <c r="I88" i="19"/>
  <c r="I87" i="19"/>
  <c r="I86" i="19"/>
  <c r="I85" i="19"/>
  <c r="D84" i="19"/>
  <c r="I84" i="19" s="1"/>
  <c r="D83" i="19"/>
  <c r="I83" i="19" s="1"/>
  <c r="I90" i="19" s="1"/>
  <c r="I82" i="19"/>
  <c r="H80" i="19"/>
  <c r="G80" i="19"/>
  <c r="F80" i="19"/>
  <c r="D80" i="19"/>
  <c r="B80" i="19"/>
  <c r="B97" i="19" s="1"/>
  <c r="C79" i="19"/>
  <c r="I79" i="19" s="1"/>
  <c r="I78" i="19"/>
  <c r="I77" i="19"/>
  <c r="B76" i="19"/>
  <c r="I76" i="19" s="1"/>
  <c r="B75" i="19"/>
  <c r="I75" i="19" s="1"/>
  <c r="B74" i="19"/>
  <c r="B166" i="19" s="1"/>
  <c r="I166" i="19" s="1"/>
  <c r="I72" i="19"/>
  <c r="H72" i="19"/>
  <c r="G72" i="19"/>
  <c r="F72" i="19"/>
  <c r="E72" i="19"/>
  <c r="D72" i="19"/>
  <c r="C72" i="19"/>
  <c r="B72" i="19"/>
  <c r="E64" i="19"/>
  <c r="D64" i="19"/>
  <c r="C64" i="19"/>
  <c r="B64" i="19"/>
  <c r="G63" i="19"/>
  <c r="F63" i="19"/>
  <c r="E63" i="19"/>
  <c r="E65" i="19" s="1"/>
  <c r="E134" i="19" s="1"/>
  <c r="B63" i="19"/>
  <c r="B65" i="19" s="1"/>
  <c r="H61" i="19"/>
  <c r="H64" i="19" s="1"/>
  <c r="G61" i="19"/>
  <c r="G64" i="19" s="1"/>
  <c r="G65" i="19" s="1"/>
  <c r="F61" i="19"/>
  <c r="F64" i="19" s="1"/>
  <c r="F65" i="19" s="1"/>
  <c r="E61" i="19"/>
  <c r="D61" i="19"/>
  <c r="C61" i="19"/>
  <c r="B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61" i="19" s="1"/>
  <c r="I64" i="19" s="1"/>
  <c r="I40" i="19"/>
  <c r="I39" i="19"/>
  <c r="I38" i="19"/>
  <c r="H38" i="19"/>
  <c r="G38" i="19"/>
  <c r="F38" i="19"/>
  <c r="E38" i="19"/>
  <c r="D38" i="19"/>
  <c r="C38" i="19"/>
  <c r="B38" i="19"/>
  <c r="H36" i="19"/>
  <c r="H63" i="19" s="1"/>
  <c r="G36" i="19"/>
  <c r="F36" i="19"/>
  <c r="F135" i="19" s="1"/>
  <c r="D36" i="19"/>
  <c r="D140" i="19" s="1"/>
  <c r="C36" i="19"/>
  <c r="C140" i="19" s="1"/>
  <c r="B36" i="19"/>
  <c r="B140" i="19" s="1"/>
  <c r="I35" i="19"/>
  <c r="I34" i="19"/>
  <c r="I33" i="19"/>
  <c r="I32" i="19"/>
  <c r="I31" i="19"/>
  <c r="I30" i="19"/>
  <c r="I29" i="19"/>
  <c r="I36" i="19" s="1"/>
  <c r="I63" i="19" s="1"/>
  <c r="I28" i="19"/>
  <c r="I27" i="19"/>
  <c r="J27" i="19" s="1"/>
  <c r="I26" i="19"/>
  <c r="H26" i="19"/>
  <c r="G26" i="19"/>
  <c r="F26" i="19"/>
  <c r="E26" i="19"/>
  <c r="D26" i="19"/>
  <c r="C26" i="19"/>
  <c r="B26" i="19"/>
  <c r="I24" i="19"/>
  <c r="I23" i="19"/>
  <c r="I22" i="19"/>
  <c r="I21" i="19"/>
  <c r="I20" i="19"/>
  <c r="J28" i="19" s="1"/>
  <c r="I65" i="49" l="1"/>
  <c r="G134" i="49"/>
  <c r="G136" i="49"/>
  <c r="G161" i="49"/>
  <c r="S140" i="49"/>
  <c r="H65" i="49"/>
  <c r="S103" i="49"/>
  <c r="Q133" i="49"/>
  <c r="L136" i="49"/>
  <c r="L161" i="49"/>
  <c r="D132" i="49"/>
  <c r="G133" i="49"/>
  <c r="I208" i="49"/>
  <c r="N133" i="49"/>
  <c r="C133" i="49"/>
  <c r="C141" i="49" s="1"/>
  <c r="C142" i="49" s="1"/>
  <c r="C210" i="49" s="1"/>
  <c r="M136" i="49"/>
  <c r="M161" i="49"/>
  <c r="M134" i="49"/>
  <c r="S121" i="49"/>
  <c r="I183" i="49"/>
  <c r="D196" i="49"/>
  <c r="C161" i="49"/>
  <c r="C170" i="49" s="1"/>
  <c r="C134" i="49"/>
  <c r="C136" i="49"/>
  <c r="H133" i="49"/>
  <c r="S208" i="49"/>
  <c r="R133" i="49"/>
  <c r="N183" i="49"/>
  <c r="S183" i="49" s="1"/>
  <c r="L160" i="49"/>
  <c r="S160" i="49" s="1"/>
  <c r="L153" i="49"/>
  <c r="S153" i="49" s="1"/>
  <c r="L150" i="49"/>
  <c r="S150" i="49" s="1"/>
  <c r="L147" i="49"/>
  <c r="S147" i="49" s="1"/>
  <c r="L187" i="49"/>
  <c r="S187" i="49" s="1"/>
  <c r="L164" i="49"/>
  <c r="S164" i="49" s="1"/>
  <c r="N84" i="49"/>
  <c r="S84" i="49" s="1"/>
  <c r="L144" i="49"/>
  <c r="N182" i="49"/>
  <c r="L178" i="49"/>
  <c r="S178" i="49" s="1"/>
  <c r="L149" i="49"/>
  <c r="S149" i="49" s="1"/>
  <c r="M157" i="49"/>
  <c r="L148" i="49"/>
  <c r="S148" i="49" s="1"/>
  <c r="L212" i="49"/>
  <c r="S212" i="49" s="1"/>
  <c r="N83" i="49"/>
  <c r="E65" i="49"/>
  <c r="E134" i="49" s="1"/>
  <c r="F134" i="49"/>
  <c r="F136" i="49"/>
  <c r="F161" i="49"/>
  <c r="P133" i="49"/>
  <c r="L208" i="49"/>
  <c r="S118" i="49"/>
  <c r="M80" i="49"/>
  <c r="M97" i="49" s="1"/>
  <c r="S129" i="49"/>
  <c r="S131" i="49" s="1"/>
  <c r="F133" i="49"/>
  <c r="S36" i="49"/>
  <c r="S63" i="49" s="1"/>
  <c r="S65" i="49" s="1"/>
  <c r="I79" i="49"/>
  <c r="I115" i="49"/>
  <c r="L121" i="49"/>
  <c r="L132" i="49" s="1"/>
  <c r="M121" i="49"/>
  <c r="M132" i="49" s="1"/>
  <c r="I83" i="49"/>
  <c r="I90" i="49" s="1"/>
  <c r="I124" i="49"/>
  <c r="L135" i="49"/>
  <c r="S135" i="49" s="1"/>
  <c r="N63" i="49"/>
  <c r="N65" i="49" s="1"/>
  <c r="M135" i="49"/>
  <c r="B147" i="49"/>
  <c r="I147" i="49" s="1"/>
  <c r="B150" i="49"/>
  <c r="I150" i="49" s="1"/>
  <c r="I154" i="49" s="1"/>
  <c r="B153" i="49"/>
  <c r="I153" i="49" s="1"/>
  <c r="B160" i="49"/>
  <c r="J27" i="49"/>
  <c r="I100" i="49"/>
  <c r="I103" i="49" s="1"/>
  <c r="N135" i="49"/>
  <c r="B63" i="49"/>
  <c r="B65" i="49" s="1"/>
  <c r="P63" i="49"/>
  <c r="P65" i="49" s="1"/>
  <c r="B121" i="49"/>
  <c r="B132" i="49" s="1"/>
  <c r="Q63" i="49"/>
  <c r="Q65" i="49" s="1"/>
  <c r="B135" i="49"/>
  <c r="I135" i="49" s="1"/>
  <c r="P135" i="49"/>
  <c r="D63" i="49"/>
  <c r="D65" i="49" s="1"/>
  <c r="R63" i="49"/>
  <c r="R65" i="49" s="1"/>
  <c r="B114" i="49"/>
  <c r="I114" i="49" s="1"/>
  <c r="I121" i="49" s="1"/>
  <c r="I130" i="49"/>
  <c r="Q135" i="49"/>
  <c r="I103" i="42"/>
  <c r="P133" i="42"/>
  <c r="I157" i="42"/>
  <c r="B161" i="42"/>
  <c r="B136" i="42"/>
  <c r="I90" i="42"/>
  <c r="L136" i="42"/>
  <c r="L161" i="42"/>
  <c r="I140" i="42"/>
  <c r="D134" i="42"/>
  <c r="D136" i="42"/>
  <c r="D161" i="42"/>
  <c r="D170" i="42" s="1"/>
  <c r="R161" i="42"/>
  <c r="R134" i="42"/>
  <c r="R136" i="42"/>
  <c r="D132" i="42"/>
  <c r="S208" i="42"/>
  <c r="N183" i="42"/>
  <c r="S183" i="42" s="1"/>
  <c r="L160" i="42"/>
  <c r="S160" i="42" s="1"/>
  <c r="L153" i="42"/>
  <c r="S153" i="42" s="1"/>
  <c r="L150" i="42"/>
  <c r="S150" i="42" s="1"/>
  <c r="L147" i="42"/>
  <c r="S147" i="42" s="1"/>
  <c r="L187" i="42"/>
  <c r="S187" i="42" s="1"/>
  <c r="L164" i="42"/>
  <c r="S164" i="42" s="1"/>
  <c r="N84" i="42"/>
  <c r="S84" i="42" s="1"/>
  <c r="N182" i="42"/>
  <c r="L178" i="42"/>
  <c r="L149" i="42"/>
  <c r="S149" i="42" s="1"/>
  <c r="L148" i="42"/>
  <c r="S148" i="42" s="1"/>
  <c r="N83" i="42"/>
  <c r="M157" i="42"/>
  <c r="L144" i="42"/>
  <c r="L212" i="42"/>
  <c r="S212" i="42" s="1"/>
  <c r="F133" i="42"/>
  <c r="F141" i="42" s="1"/>
  <c r="F142" i="42" s="1"/>
  <c r="C136" i="42"/>
  <c r="C161" i="42"/>
  <c r="C170" i="42" s="1"/>
  <c r="G133" i="42"/>
  <c r="E65" i="42"/>
  <c r="E134" i="42" s="1"/>
  <c r="H133" i="42"/>
  <c r="S140" i="42"/>
  <c r="F134" i="42"/>
  <c r="F136" i="42"/>
  <c r="F161" i="42"/>
  <c r="Q133" i="42"/>
  <c r="G134" i="42"/>
  <c r="G136" i="42"/>
  <c r="G161" i="42"/>
  <c r="N133" i="42"/>
  <c r="R133" i="42"/>
  <c r="C154" i="42"/>
  <c r="I124" i="42"/>
  <c r="I131" i="42" s="1"/>
  <c r="H63" i="42"/>
  <c r="H65" i="42" s="1"/>
  <c r="M80" i="42"/>
  <c r="M97" i="42" s="1"/>
  <c r="P103" i="42"/>
  <c r="C115" i="42"/>
  <c r="S129" i="42"/>
  <c r="S131" i="42" s="1"/>
  <c r="L131" i="42"/>
  <c r="G135" i="42"/>
  <c r="B149" i="42"/>
  <c r="I149" i="42" s="1"/>
  <c r="S118" i="42"/>
  <c r="S121" i="42" s="1"/>
  <c r="S36" i="42"/>
  <c r="S63" i="42" s="1"/>
  <c r="S65" i="42" s="1"/>
  <c r="L121" i="42"/>
  <c r="L132" i="42" s="1"/>
  <c r="L134" i="42" s="1"/>
  <c r="H135" i="42"/>
  <c r="B178" i="42"/>
  <c r="I178" i="42" s="1"/>
  <c r="D182" i="42"/>
  <c r="B208" i="42"/>
  <c r="D84" i="42"/>
  <c r="I84" i="42" s="1"/>
  <c r="M121" i="42"/>
  <c r="M132" i="42" s="1"/>
  <c r="B164" i="42"/>
  <c r="I164" i="42" s="1"/>
  <c r="J27" i="42"/>
  <c r="M63" i="42"/>
  <c r="M65" i="42" s="1"/>
  <c r="I100" i="42"/>
  <c r="L135" i="42"/>
  <c r="B187" i="42"/>
  <c r="I187" i="42" s="1"/>
  <c r="N63" i="42"/>
  <c r="N65" i="42" s="1"/>
  <c r="D90" i="42"/>
  <c r="D97" i="42" s="1"/>
  <c r="B147" i="42"/>
  <c r="I147" i="42" s="1"/>
  <c r="B150" i="42"/>
  <c r="I150" i="42" s="1"/>
  <c r="B153" i="42"/>
  <c r="I153" i="42" s="1"/>
  <c r="B160" i="42"/>
  <c r="N135" i="42"/>
  <c r="D183" i="42"/>
  <c r="I183" i="42" s="1"/>
  <c r="P63" i="42"/>
  <c r="P65" i="42" s="1"/>
  <c r="Q63" i="42"/>
  <c r="Q65" i="42" s="1"/>
  <c r="B135" i="42"/>
  <c r="I135" i="42" s="1"/>
  <c r="P135" i="42"/>
  <c r="L208" i="42"/>
  <c r="B212" i="42"/>
  <c r="I212" i="42" s="1"/>
  <c r="B114" i="42"/>
  <c r="I114" i="42" s="1"/>
  <c r="B144" i="42"/>
  <c r="B148" i="42"/>
  <c r="I148" i="42" s="1"/>
  <c r="M136" i="41"/>
  <c r="M161" i="41"/>
  <c r="R161" i="41"/>
  <c r="R134" i="41"/>
  <c r="R136" i="41"/>
  <c r="N136" i="41"/>
  <c r="N161" i="41"/>
  <c r="N170" i="41" s="1"/>
  <c r="N134" i="41"/>
  <c r="I157" i="41"/>
  <c r="B132" i="41"/>
  <c r="D133" i="41"/>
  <c r="L121" i="41"/>
  <c r="G133" i="41"/>
  <c r="H132" i="41"/>
  <c r="S208" i="41"/>
  <c r="B65" i="41"/>
  <c r="Q133" i="41"/>
  <c r="F134" i="41"/>
  <c r="F136" i="41"/>
  <c r="F161" i="41"/>
  <c r="D65" i="41"/>
  <c r="R132" i="41"/>
  <c r="N183" i="41"/>
  <c r="S183" i="41" s="1"/>
  <c r="N84" i="41"/>
  <c r="S84" i="41" s="1"/>
  <c r="L160" i="41"/>
  <c r="S160" i="41" s="1"/>
  <c r="L153" i="41"/>
  <c r="S153" i="41" s="1"/>
  <c r="L150" i="41"/>
  <c r="S150" i="41" s="1"/>
  <c r="L147" i="41"/>
  <c r="S147" i="41" s="1"/>
  <c r="L187" i="41"/>
  <c r="S187" i="41" s="1"/>
  <c r="L164" i="41"/>
  <c r="S164" i="41" s="1"/>
  <c r="N182" i="41"/>
  <c r="L178" i="41"/>
  <c r="N83" i="41"/>
  <c r="L149" i="41"/>
  <c r="S149" i="41" s="1"/>
  <c r="L212" i="41"/>
  <c r="S212" i="41" s="1"/>
  <c r="M157" i="41"/>
  <c r="L148" i="41"/>
  <c r="S148" i="41" s="1"/>
  <c r="L144" i="41"/>
  <c r="G134" i="41"/>
  <c r="G136" i="41"/>
  <c r="G161" i="41"/>
  <c r="E65" i="41"/>
  <c r="E134" i="41" s="1"/>
  <c r="N133" i="41"/>
  <c r="N141" i="41" s="1"/>
  <c r="N142" i="41" s="1"/>
  <c r="H134" i="41"/>
  <c r="H136" i="41"/>
  <c r="H161" i="41"/>
  <c r="O65" i="41"/>
  <c r="O134" i="41" s="1"/>
  <c r="C97" i="41"/>
  <c r="P133" i="41"/>
  <c r="S131" i="41"/>
  <c r="L136" i="41"/>
  <c r="L161" i="41"/>
  <c r="P65" i="41"/>
  <c r="L208" i="41"/>
  <c r="S4" i="41"/>
  <c r="S17" i="41" s="1"/>
  <c r="C63" i="41"/>
  <c r="C65" i="41" s="1"/>
  <c r="Q63" i="41"/>
  <c r="Q65" i="41" s="1"/>
  <c r="I82" i="41"/>
  <c r="S100" i="41"/>
  <c r="S103" i="41" s="1"/>
  <c r="F121" i="41"/>
  <c r="F132" i="41" s="1"/>
  <c r="I129" i="41"/>
  <c r="I131" i="41" s="1"/>
  <c r="I198" i="41"/>
  <c r="I208" i="41" s="1"/>
  <c r="S82" i="41"/>
  <c r="I107" i="41"/>
  <c r="S129" i="41"/>
  <c r="L131" i="41"/>
  <c r="G135" i="41"/>
  <c r="F140" i="41"/>
  <c r="I140" i="41" s="1"/>
  <c r="B149" i="41"/>
  <c r="I149" i="41" s="1"/>
  <c r="D83" i="41"/>
  <c r="L114" i="41"/>
  <c r="S114" i="41" s="1"/>
  <c r="H135" i="41"/>
  <c r="G140" i="41"/>
  <c r="B178" i="41"/>
  <c r="I178" i="41" s="1"/>
  <c r="D182" i="41"/>
  <c r="S107" i="41"/>
  <c r="H140" i="41"/>
  <c r="B164" i="41"/>
  <c r="I164" i="41" s="1"/>
  <c r="C115" i="41"/>
  <c r="L135" i="41"/>
  <c r="B187" i="41"/>
  <c r="I187" i="41" s="1"/>
  <c r="S36" i="41"/>
  <c r="S63" i="41" s="1"/>
  <c r="S65" i="41" s="1"/>
  <c r="M135" i="41"/>
  <c r="L140" i="41"/>
  <c r="B147" i="41"/>
  <c r="I147" i="41" s="1"/>
  <c r="B150" i="41"/>
  <c r="I150" i="41" s="1"/>
  <c r="B153" i="41"/>
  <c r="I153" i="41" s="1"/>
  <c r="B160" i="41"/>
  <c r="I160" i="41" s="1"/>
  <c r="D84" i="41"/>
  <c r="I84" i="41" s="1"/>
  <c r="M115" i="41"/>
  <c r="B131" i="41"/>
  <c r="N135" i="41"/>
  <c r="M140" i="41"/>
  <c r="D183" i="41"/>
  <c r="I183" i="41" s="1"/>
  <c r="N140" i="41"/>
  <c r="B135" i="41"/>
  <c r="I135" i="41" s="1"/>
  <c r="P135" i="41"/>
  <c r="B144" i="41"/>
  <c r="B148" i="41"/>
  <c r="I148" i="41" s="1"/>
  <c r="H136" i="40"/>
  <c r="H134" i="40"/>
  <c r="H161" i="40"/>
  <c r="M161" i="40"/>
  <c r="M136" i="40"/>
  <c r="R133" i="40"/>
  <c r="B132" i="40"/>
  <c r="F133" i="40"/>
  <c r="G133" i="40"/>
  <c r="C121" i="40"/>
  <c r="C132" i="40" s="1"/>
  <c r="I115" i="40"/>
  <c r="N133" i="40"/>
  <c r="I131" i="40"/>
  <c r="P136" i="40"/>
  <c r="P161" i="40"/>
  <c r="H133" i="40"/>
  <c r="P132" i="40"/>
  <c r="P134" i="40" s="1"/>
  <c r="S65" i="40"/>
  <c r="G136" i="40"/>
  <c r="G134" i="40"/>
  <c r="G161" i="40"/>
  <c r="Q132" i="40"/>
  <c r="L161" i="40"/>
  <c r="L136" i="40"/>
  <c r="S61" i="40"/>
  <c r="S64" i="40" s="1"/>
  <c r="I130" i="40"/>
  <c r="D161" i="40"/>
  <c r="D170" i="40" s="1"/>
  <c r="M140" i="40"/>
  <c r="M135" i="40"/>
  <c r="E65" i="40"/>
  <c r="E134" i="40" s="1"/>
  <c r="I100" i="40"/>
  <c r="I103" i="40" s="1"/>
  <c r="B135" i="40"/>
  <c r="F140" i="40"/>
  <c r="L144" i="40"/>
  <c r="S156" i="40"/>
  <c r="I172" i="40"/>
  <c r="F63" i="40"/>
  <c r="F65" i="40" s="1"/>
  <c r="S118" i="40"/>
  <c r="L121" i="40"/>
  <c r="L132" i="40" s="1"/>
  <c r="L134" i="40" s="1"/>
  <c r="G140" i="40"/>
  <c r="M157" i="40"/>
  <c r="L140" i="40"/>
  <c r="L135" i="40"/>
  <c r="D196" i="40"/>
  <c r="I182" i="40"/>
  <c r="N135" i="40"/>
  <c r="N63" i="40"/>
  <c r="N65" i="40" s="1"/>
  <c r="P140" i="40"/>
  <c r="D90" i="40"/>
  <c r="D97" i="40" s="1"/>
  <c r="B131" i="40"/>
  <c r="N140" i="40"/>
  <c r="Q140" i="40"/>
  <c r="Q135" i="40"/>
  <c r="L114" i="40"/>
  <c r="S114" i="40" s="1"/>
  <c r="B140" i="40"/>
  <c r="N83" i="40"/>
  <c r="S100" i="40"/>
  <c r="S103" i="40" s="1"/>
  <c r="I107" i="40"/>
  <c r="R140" i="40"/>
  <c r="L150" i="40"/>
  <c r="S150" i="40" s="1"/>
  <c r="L153" i="40"/>
  <c r="S153" i="40" s="1"/>
  <c r="D132" i="40"/>
  <c r="M115" i="40"/>
  <c r="E210" i="40"/>
  <c r="J27" i="40"/>
  <c r="I208" i="40"/>
  <c r="L187" i="40"/>
  <c r="S187" i="40" s="1"/>
  <c r="L164" i="40"/>
  <c r="S164" i="40" s="1"/>
  <c r="N182" i="40"/>
  <c r="L178" i="40"/>
  <c r="S178" i="40" s="1"/>
  <c r="L149" i="40"/>
  <c r="S149" i="40" s="1"/>
  <c r="L212" i="40"/>
  <c r="S212" i="40" s="1"/>
  <c r="N84" i="40"/>
  <c r="S84" i="40" s="1"/>
  <c r="N183" i="40"/>
  <c r="S183" i="40" s="1"/>
  <c r="B63" i="40"/>
  <c r="B65" i="40" s="1"/>
  <c r="Q63" i="40"/>
  <c r="Q65" i="40" s="1"/>
  <c r="L160" i="40"/>
  <c r="S160" i="40" s="1"/>
  <c r="C140" i="40"/>
  <c r="C135" i="40"/>
  <c r="C63" i="40"/>
  <c r="C65" i="40" s="1"/>
  <c r="R63" i="40"/>
  <c r="R65" i="40" s="1"/>
  <c r="D140" i="40"/>
  <c r="L148" i="40"/>
  <c r="S148" i="40" s="1"/>
  <c r="B144" i="40"/>
  <c r="B148" i="40"/>
  <c r="I148" i="40" s="1"/>
  <c r="S172" i="40"/>
  <c r="L161" i="36"/>
  <c r="L136" i="36"/>
  <c r="P133" i="36"/>
  <c r="P136" i="36"/>
  <c r="P134" i="36"/>
  <c r="P161" i="36"/>
  <c r="R65" i="36"/>
  <c r="L121" i="36"/>
  <c r="L132" i="36" s="1"/>
  <c r="Q134" i="36"/>
  <c r="Q136" i="36"/>
  <c r="Q161" i="36"/>
  <c r="Q133" i="36"/>
  <c r="Q141" i="36" s="1"/>
  <c r="Q142" i="36" s="1"/>
  <c r="B136" i="36"/>
  <c r="B161" i="36"/>
  <c r="F133" i="36"/>
  <c r="D183" i="36"/>
  <c r="I183" i="36" s="1"/>
  <c r="B160" i="36"/>
  <c r="B153" i="36"/>
  <c r="I153" i="36" s="1"/>
  <c r="B150" i="36"/>
  <c r="I150" i="36" s="1"/>
  <c r="B147" i="36"/>
  <c r="I147" i="36" s="1"/>
  <c r="B187" i="36"/>
  <c r="I187" i="36" s="1"/>
  <c r="B164" i="36"/>
  <c r="I164" i="36" s="1"/>
  <c r="D182" i="36"/>
  <c r="B178" i="36"/>
  <c r="I178" i="36" s="1"/>
  <c r="B149" i="36"/>
  <c r="I149" i="36" s="1"/>
  <c r="D84" i="36"/>
  <c r="I84" i="36" s="1"/>
  <c r="B144" i="36"/>
  <c r="C157" i="36"/>
  <c r="B148" i="36"/>
  <c r="I148" i="36" s="1"/>
  <c r="D83" i="36"/>
  <c r="B212" i="36"/>
  <c r="I212" i="36" s="1"/>
  <c r="I103" i="36"/>
  <c r="G133" i="36"/>
  <c r="C136" i="36"/>
  <c r="C161" i="36"/>
  <c r="D133" i="36"/>
  <c r="D65" i="36"/>
  <c r="S17" i="36"/>
  <c r="F134" i="36"/>
  <c r="F136" i="36"/>
  <c r="F161" i="36"/>
  <c r="S103" i="36"/>
  <c r="H133" i="36"/>
  <c r="I140" i="36"/>
  <c r="G136" i="36"/>
  <c r="G161" i="36"/>
  <c r="G134" i="36"/>
  <c r="S131" i="36"/>
  <c r="R133" i="36"/>
  <c r="N161" i="36"/>
  <c r="N170" i="36" s="1"/>
  <c r="N134" i="36"/>
  <c r="N136" i="36"/>
  <c r="N133" i="36"/>
  <c r="N141" i="36" s="1"/>
  <c r="N142" i="36" s="1"/>
  <c r="L208" i="36"/>
  <c r="B135" i="36"/>
  <c r="P135" i="36"/>
  <c r="I172" i="36"/>
  <c r="S172" i="36"/>
  <c r="I4" i="36"/>
  <c r="I17" i="36" s="1"/>
  <c r="L17" i="36"/>
  <c r="H63" i="36"/>
  <c r="H65" i="36" s="1"/>
  <c r="B114" i="36"/>
  <c r="I198" i="36"/>
  <c r="I208" i="36" s="1"/>
  <c r="P140" i="36"/>
  <c r="S140" i="36" s="1"/>
  <c r="Q140" i="36"/>
  <c r="F135" i="36"/>
  <c r="C90" i="36"/>
  <c r="C97" i="36" s="1"/>
  <c r="I100" i="36"/>
  <c r="L114" i="36"/>
  <c r="S114" i="36" s="1"/>
  <c r="S129" i="36"/>
  <c r="L131" i="36"/>
  <c r="G135" i="36"/>
  <c r="J27" i="36"/>
  <c r="M63" i="36"/>
  <c r="M65" i="36" s="1"/>
  <c r="H135" i="36"/>
  <c r="C115" i="36"/>
  <c r="L135" i="36"/>
  <c r="M115" i="36"/>
  <c r="M135" i="36"/>
  <c r="I154" i="35"/>
  <c r="D133" i="35"/>
  <c r="I196" i="35"/>
  <c r="I65" i="35"/>
  <c r="B161" i="35"/>
  <c r="B136" i="35"/>
  <c r="D134" i="35"/>
  <c r="D136" i="35"/>
  <c r="D161" i="35"/>
  <c r="D170" i="35" s="1"/>
  <c r="G136" i="35"/>
  <c r="G161" i="35"/>
  <c r="B121" i="35"/>
  <c r="B132" i="35" s="1"/>
  <c r="B170" i="35"/>
  <c r="C134" i="35"/>
  <c r="C136" i="35"/>
  <c r="C161" i="35"/>
  <c r="C170" i="35" s="1"/>
  <c r="I79" i="35"/>
  <c r="B196" i="35"/>
  <c r="I100" i="35"/>
  <c r="I103" i="35" s="1"/>
  <c r="C121" i="35"/>
  <c r="C132" i="35" s="1"/>
  <c r="B154" i="35"/>
  <c r="B166" i="35"/>
  <c r="I166" i="35" s="1"/>
  <c r="B208" i="35"/>
  <c r="G131" i="35"/>
  <c r="G132" i="35" s="1"/>
  <c r="D140" i="35"/>
  <c r="I140" i="35" s="1"/>
  <c r="B167" i="35"/>
  <c r="I167" i="35" s="1"/>
  <c r="F63" i="35"/>
  <c r="F65" i="35" s="1"/>
  <c r="H131" i="35"/>
  <c r="H132" i="35" s="1"/>
  <c r="F133" i="35"/>
  <c r="I108" i="35"/>
  <c r="B168" i="35"/>
  <c r="I168" i="35" s="1"/>
  <c r="I74" i="35"/>
  <c r="H63" i="35"/>
  <c r="H65" i="35" s="1"/>
  <c r="B135" i="35"/>
  <c r="I135" i="35" s="1"/>
  <c r="I156" i="35"/>
  <c r="I196" i="19"/>
  <c r="I135" i="19"/>
  <c r="D132" i="19"/>
  <c r="I131" i="19"/>
  <c r="I140" i="19"/>
  <c r="D97" i="19"/>
  <c r="F133" i="19"/>
  <c r="F134" i="19"/>
  <c r="F136" i="19"/>
  <c r="F161" i="19"/>
  <c r="H133" i="19"/>
  <c r="B136" i="19"/>
  <c r="B161" i="19"/>
  <c r="G142" i="19"/>
  <c r="G133" i="19"/>
  <c r="G141" i="19" s="1"/>
  <c r="I65" i="19"/>
  <c r="H65" i="19"/>
  <c r="G161" i="19"/>
  <c r="G134" i="19"/>
  <c r="G136" i="19"/>
  <c r="C80" i="19"/>
  <c r="C97" i="19" s="1"/>
  <c r="I195" i="19"/>
  <c r="I144" i="19"/>
  <c r="I154" i="19" s="1"/>
  <c r="C63" i="19"/>
  <c r="C65" i="19" s="1"/>
  <c r="I74" i="19"/>
  <c r="I80" i="19" s="1"/>
  <c r="B170" i="19"/>
  <c r="D63" i="19"/>
  <c r="D65" i="19" s="1"/>
  <c r="B114" i="19"/>
  <c r="I114" i="19" s="1"/>
  <c r="D196" i="19"/>
  <c r="I100" i="19"/>
  <c r="I103" i="19" s="1"/>
  <c r="I130" i="19"/>
  <c r="H140" i="19"/>
  <c r="D90" i="19"/>
  <c r="C131" i="19"/>
  <c r="H135" i="19"/>
  <c r="C115" i="19"/>
  <c r="Y217" i="49"/>
  <c r="X217" i="49"/>
  <c r="W217" i="49"/>
  <c r="AC217" i="49" s="1"/>
  <c r="V217" i="49"/>
  <c r="S217" i="49"/>
  <c r="I217" i="49"/>
  <c r="Y216" i="49"/>
  <c r="X216" i="49"/>
  <c r="W216" i="49"/>
  <c r="V216" i="49"/>
  <c r="Y215" i="49"/>
  <c r="X215" i="49"/>
  <c r="AC215" i="49" s="1"/>
  <c r="H215" i="43" s="1"/>
  <c r="W215" i="49"/>
  <c r="V215" i="49"/>
  <c r="Y214" i="49"/>
  <c r="X214" i="49"/>
  <c r="W214" i="49"/>
  <c r="V214" i="49"/>
  <c r="Y213" i="49"/>
  <c r="X213" i="49"/>
  <c r="W213" i="49"/>
  <c r="V213" i="49"/>
  <c r="AC213" i="49" s="1"/>
  <c r="H213" i="43" s="1"/>
  <c r="H227" i="43" s="1"/>
  <c r="H213" i="44"/>
  <c r="H227" i="44" s="1"/>
  <c r="Y212" i="49"/>
  <c r="X212" i="49"/>
  <c r="W212" i="49"/>
  <c r="AB208" i="49"/>
  <c r="AA208" i="49"/>
  <c r="Z208" i="49"/>
  <c r="Y207" i="49"/>
  <c r="X207" i="49"/>
  <c r="W207" i="49"/>
  <c r="V207" i="49"/>
  <c r="AC207" i="49" s="1"/>
  <c r="Y206" i="49"/>
  <c r="X206" i="49"/>
  <c r="W206" i="49"/>
  <c r="Y205" i="49"/>
  <c r="X205" i="49"/>
  <c r="W205" i="49"/>
  <c r="V205" i="49"/>
  <c r="Y204" i="49"/>
  <c r="X204" i="49"/>
  <c r="W204" i="49"/>
  <c r="V204" i="49"/>
  <c r="Y203" i="49"/>
  <c r="X203" i="49"/>
  <c r="W203" i="49"/>
  <c r="Y202" i="49"/>
  <c r="X202" i="49"/>
  <c r="W202" i="49"/>
  <c r="V202" i="49"/>
  <c r="AC202" i="49" s="1"/>
  <c r="H202" i="43" s="1"/>
  <c r="Y201" i="49"/>
  <c r="X201" i="49"/>
  <c r="W201" i="49"/>
  <c r="V201" i="49"/>
  <c r="Y200" i="49"/>
  <c r="X200" i="49"/>
  <c r="W200" i="49"/>
  <c r="V200" i="49"/>
  <c r="Y199" i="49"/>
  <c r="X199" i="49"/>
  <c r="W199" i="49"/>
  <c r="V199" i="49"/>
  <c r="AC199" i="49" s="1"/>
  <c r="H199" i="43" s="1"/>
  <c r="Y198" i="49"/>
  <c r="X198" i="49"/>
  <c r="W198" i="49"/>
  <c r="V198" i="49"/>
  <c r="AC197" i="49"/>
  <c r="AB197" i="49"/>
  <c r="AA197" i="49"/>
  <c r="Z197" i="49"/>
  <c r="Y197" i="49"/>
  <c r="X197" i="49"/>
  <c r="W197" i="49"/>
  <c r="V197" i="49"/>
  <c r="AB196" i="49"/>
  <c r="AA196" i="49"/>
  <c r="Z196" i="49"/>
  <c r="Y195" i="49"/>
  <c r="X195" i="49"/>
  <c r="W195" i="49"/>
  <c r="Y194" i="49"/>
  <c r="X194" i="49"/>
  <c r="W194" i="49"/>
  <c r="V194" i="49"/>
  <c r="Y193" i="49"/>
  <c r="X193" i="49"/>
  <c r="W193" i="49"/>
  <c r="V193" i="49"/>
  <c r="Y192" i="49"/>
  <c r="X192" i="49"/>
  <c r="W192" i="49"/>
  <c r="V192" i="49"/>
  <c r="AC192" i="49" s="1"/>
  <c r="H192" i="43" s="1"/>
  <c r="Y191" i="49"/>
  <c r="X191" i="49"/>
  <c r="W191" i="49"/>
  <c r="V191" i="49"/>
  <c r="Y190" i="49"/>
  <c r="X190" i="49"/>
  <c r="W190" i="49"/>
  <c r="V190" i="49"/>
  <c r="Y189" i="49"/>
  <c r="X189" i="49"/>
  <c r="W189" i="49"/>
  <c r="V189" i="49"/>
  <c r="Y188" i="49"/>
  <c r="X188" i="49"/>
  <c r="W188" i="49"/>
  <c r="V188" i="49"/>
  <c r="Y187" i="49"/>
  <c r="X187" i="49"/>
  <c r="W187" i="49"/>
  <c r="Y186" i="49"/>
  <c r="X186" i="49"/>
  <c r="W186" i="49"/>
  <c r="V186" i="49"/>
  <c r="AC186" i="49" s="1"/>
  <c r="H186" i="43" s="1"/>
  <c r="Y185" i="49"/>
  <c r="X185" i="49"/>
  <c r="W185" i="49"/>
  <c r="V185" i="49"/>
  <c r="Y184" i="49"/>
  <c r="X184" i="49"/>
  <c r="W184" i="49"/>
  <c r="V184" i="49"/>
  <c r="Y183" i="49"/>
  <c r="W183" i="49"/>
  <c r="W196" i="49" s="1"/>
  <c r="V183" i="49"/>
  <c r="Y182" i="49"/>
  <c r="W182" i="49"/>
  <c r="V182" i="49"/>
  <c r="Y181" i="49"/>
  <c r="X181" i="49"/>
  <c r="W181" i="49"/>
  <c r="V181" i="49"/>
  <c r="Y180" i="49"/>
  <c r="X180" i="49"/>
  <c r="W180" i="49"/>
  <c r="V180" i="49"/>
  <c r="Y179" i="49"/>
  <c r="X179" i="49"/>
  <c r="W179" i="49"/>
  <c r="V179" i="49"/>
  <c r="Y178" i="49"/>
  <c r="X178" i="49"/>
  <c r="W178" i="49"/>
  <c r="Y177" i="49"/>
  <c r="X177" i="49"/>
  <c r="W177" i="49"/>
  <c r="V177" i="49"/>
  <c r="Y176" i="49"/>
  <c r="X176" i="49"/>
  <c r="W176" i="49"/>
  <c r="V176" i="49"/>
  <c r="Y175" i="49"/>
  <c r="X175" i="49"/>
  <c r="W175" i="49"/>
  <c r="AC175" i="49" s="1"/>
  <c r="H175" i="43" s="1"/>
  <c r="V175" i="49"/>
  <c r="Y174" i="49"/>
  <c r="X174" i="49"/>
  <c r="W174" i="49"/>
  <c r="V174" i="49"/>
  <c r="Y173" i="49"/>
  <c r="X173" i="49"/>
  <c r="W173" i="49"/>
  <c r="H173" i="44"/>
  <c r="Y172" i="49"/>
  <c r="X172" i="49"/>
  <c r="W172" i="49"/>
  <c r="AC171" i="49"/>
  <c r="AB171" i="49"/>
  <c r="AA171" i="49"/>
  <c r="Z171" i="49"/>
  <c r="Y171" i="49"/>
  <c r="X171" i="49"/>
  <c r="W171" i="49"/>
  <c r="V171" i="49"/>
  <c r="Y169" i="49"/>
  <c r="X169" i="49"/>
  <c r="W169" i="49"/>
  <c r="V169" i="49"/>
  <c r="Y168" i="49"/>
  <c r="X168" i="49"/>
  <c r="W168" i="49"/>
  <c r="Y167" i="49"/>
  <c r="X167" i="49"/>
  <c r="W167" i="49"/>
  <c r="Y166" i="49"/>
  <c r="X166" i="49"/>
  <c r="W166" i="49"/>
  <c r="Y165" i="49"/>
  <c r="X165" i="49"/>
  <c r="W165" i="49"/>
  <c r="V165" i="49"/>
  <c r="Y164" i="49"/>
  <c r="X164" i="49"/>
  <c r="W164" i="49"/>
  <c r="H164" i="44"/>
  <c r="Y163" i="49"/>
  <c r="X163" i="49"/>
  <c r="W163" i="49"/>
  <c r="V163" i="49"/>
  <c r="Y162" i="49"/>
  <c r="X162" i="49"/>
  <c r="W162" i="49"/>
  <c r="V162" i="49"/>
  <c r="Y161" i="49"/>
  <c r="Y160" i="49"/>
  <c r="X160" i="49"/>
  <c r="W160" i="49"/>
  <c r="Y159" i="49"/>
  <c r="X159" i="49"/>
  <c r="W159" i="49"/>
  <c r="V159" i="49"/>
  <c r="Y158" i="49"/>
  <c r="X158" i="49"/>
  <c r="W158" i="49"/>
  <c r="V158" i="49"/>
  <c r="Y157" i="49"/>
  <c r="X157" i="49"/>
  <c r="V157" i="49"/>
  <c r="Y156" i="49"/>
  <c r="Y170" i="49" s="1"/>
  <c r="X156" i="49"/>
  <c r="W156" i="49"/>
  <c r="V156" i="49"/>
  <c r="AC155" i="49"/>
  <c r="AB155" i="49"/>
  <c r="AA155" i="49"/>
  <c r="Z155" i="49"/>
  <c r="Y155" i="49"/>
  <c r="X155" i="49"/>
  <c r="W155" i="49"/>
  <c r="V155" i="49"/>
  <c r="AB154" i="49"/>
  <c r="AA154" i="49"/>
  <c r="Z154" i="49"/>
  <c r="O218" i="49"/>
  <c r="E218" i="49"/>
  <c r="Y153" i="49"/>
  <c r="X153" i="49"/>
  <c r="W153" i="49"/>
  <c r="Y152" i="49"/>
  <c r="X152" i="49"/>
  <c r="W152" i="49"/>
  <c r="V152" i="49"/>
  <c r="AC152" i="49" s="1"/>
  <c r="H152" i="43" s="1"/>
  <c r="Y151" i="49"/>
  <c r="X151" i="49"/>
  <c r="V151" i="49"/>
  <c r="W151" i="49"/>
  <c r="Y150" i="49"/>
  <c r="X150" i="49"/>
  <c r="W150" i="49"/>
  <c r="Y149" i="49"/>
  <c r="X149" i="49"/>
  <c r="W149" i="49"/>
  <c r="Y148" i="49"/>
  <c r="X148" i="49"/>
  <c r="W148" i="49"/>
  <c r="Y147" i="49"/>
  <c r="X147" i="49"/>
  <c r="W147" i="49"/>
  <c r="Y146" i="49"/>
  <c r="X146" i="49"/>
  <c r="W146" i="49"/>
  <c r="V146" i="49"/>
  <c r="Y145" i="49"/>
  <c r="X145" i="49"/>
  <c r="W145" i="49"/>
  <c r="W154" i="49" s="1"/>
  <c r="V145" i="49"/>
  <c r="AC145" i="49" s="1"/>
  <c r="H145" i="43" s="1"/>
  <c r="Y144" i="49"/>
  <c r="X144" i="49"/>
  <c r="W144" i="49"/>
  <c r="AC143" i="49"/>
  <c r="AB143" i="49"/>
  <c r="AA143" i="49"/>
  <c r="Z143" i="49"/>
  <c r="Y143" i="49"/>
  <c r="X143" i="49"/>
  <c r="W143" i="49"/>
  <c r="V143" i="49"/>
  <c r="Y139" i="49"/>
  <c r="X139" i="49"/>
  <c r="W139" i="49"/>
  <c r="V139" i="49"/>
  <c r="Y138" i="49"/>
  <c r="X138" i="49"/>
  <c r="W138" i="49"/>
  <c r="V138" i="49"/>
  <c r="Y137" i="49"/>
  <c r="X137" i="49"/>
  <c r="V137" i="49"/>
  <c r="Y136" i="49"/>
  <c r="AB135" i="49"/>
  <c r="AA135" i="49"/>
  <c r="Y135" i="49"/>
  <c r="Y133" i="49"/>
  <c r="AB131" i="49"/>
  <c r="AA131" i="49"/>
  <c r="Z131" i="49"/>
  <c r="AB130" i="49"/>
  <c r="AA130" i="49"/>
  <c r="Z130" i="49"/>
  <c r="Y130" i="49"/>
  <c r="X130" i="49"/>
  <c r="W130" i="49"/>
  <c r="V130" i="49"/>
  <c r="H130" i="45"/>
  <c r="Y129" i="49"/>
  <c r="X129" i="49"/>
  <c r="V129" i="49"/>
  <c r="H129" i="45"/>
  <c r="Y128" i="49"/>
  <c r="X128" i="49"/>
  <c r="W128" i="49"/>
  <c r="V128" i="49"/>
  <c r="AC128" i="49" s="1"/>
  <c r="H128" i="43" s="1"/>
  <c r="Y127" i="49"/>
  <c r="X127" i="49"/>
  <c r="W127" i="49"/>
  <c r="V127" i="49"/>
  <c r="Y126" i="49"/>
  <c r="X126" i="49"/>
  <c r="W126" i="49"/>
  <c r="V126" i="49"/>
  <c r="Y125" i="49"/>
  <c r="X125" i="49"/>
  <c r="W125" i="49"/>
  <c r="V125" i="49"/>
  <c r="AC125" i="49" s="1"/>
  <c r="H125" i="43" s="1"/>
  <c r="Y124" i="49"/>
  <c r="X124" i="49"/>
  <c r="W124" i="49"/>
  <c r="V124" i="49"/>
  <c r="AC123" i="49"/>
  <c r="Y123" i="49"/>
  <c r="X123" i="49"/>
  <c r="W123" i="49"/>
  <c r="V123" i="49"/>
  <c r="AB121" i="49"/>
  <c r="AB132" i="49" s="1"/>
  <c r="AA121" i="49"/>
  <c r="AA132" i="49" s="1"/>
  <c r="Y120" i="49"/>
  <c r="X120" i="49"/>
  <c r="W120" i="49"/>
  <c r="V120" i="49"/>
  <c r="H120" i="45"/>
  <c r="Y119" i="49"/>
  <c r="X119" i="49"/>
  <c r="W119" i="49"/>
  <c r="V119" i="49"/>
  <c r="Z118" i="49"/>
  <c r="Z121" i="49" s="1"/>
  <c r="H118" i="45"/>
  <c r="Y118" i="49"/>
  <c r="X118" i="49"/>
  <c r="W118" i="49"/>
  <c r="V118" i="49"/>
  <c r="Y117" i="49"/>
  <c r="X117" i="49"/>
  <c r="W117" i="49"/>
  <c r="H117" i="45"/>
  <c r="H117" i="44"/>
  <c r="V117" i="49"/>
  <c r="Y116" i="49"/>
  <c r="X116" i="49"/>
  <c r="W116" i="49"/>
  <c r="V116" i="49"/>
  <c r="Y115" i="49"/>
  <c r="X115" i="49"/>
  <c r="V115" i="49"/>
  <c r="Y114" i="49"/>
  <c r="X114" i="49"/>
  <c r="W114" i="49"/>
  <c r="Y113" i="49"/>
  <c r="X113" i="49"/>
  <c r="W113" i="49"/>
  <c r="Y112" i="49"/>
  <c r="X112" i="49"/>
  <c r="W112" i="49"/>
  <c r="V112" i="49"/>
  <c r="Y111" i="49"/>
  <c r="X111" i="49"/>
  <c r="W111" i="49"/>
  <c r="V111" i="49"/>
  <c r="Y110" i="49"/>
  <c r="X110" i="49"/>
  <c r="W110" i="49"/>
  <c r="V110" i="49"/>
  <c r="AC110" i="49" s="1"/>
  <c r="H110" i="45"/>
  <c r="H110" i="44"/>
  <c r="Y109" i="49"/>
  <c r="X109" i="49"/>
  <c r="W109" i="49"/>
  <c r="V109" i="49"/>
  <c r="Y108" i="49"/>
  <c r="AC108" i="49" s="1"/>
  <c r="H108" i="43" s="1"/>
  <c r="X108" i="49"/>
  <c r="W108" i="49"/>
  <c r="V108" i="49"/>
  <c r="Y107" i="49"/>
  <c r="X107" i="49"/>
  <c r="W107" i="49"/>
  <c r="V107" i="49"/>
  <c r="AC105" i="49"/>
  <c r="AB105" i="49"/>
  <c r="AA105" i="49"/>
  <c r="Z105" i="49"/>
  <c r="Y105" i="49"/>
  <c r="X105" i="49"/>
  <c r="W105" i="49"/>
  <c r="V105" i="49"/>
  <c r="W103" i="49"/>
  <c r="V103" i="49"/>
  <c r="Y102" i="49"/>
  <c r="X102" i="49"/>
  <c r="W102" i="49"/>
  <c r="V102" i="49"/>
  <c r="Y101" i="49"/>
  <c r="X101" i="49"/>
  <c r="W101" i="49"/>
  <c r="V101" i="49"/>
  <c r="AC101" i="49" s="1"/>
  <c r="H101" i="43" s="1"/>
  <c r="AB100" i="49"/>
  <c r="AB103" i="49" s="1"/>
  <c r="AA100" i="49"/>
  <c r="AA103" i="49" s="1"/>
  <c r="Z100" i="49"/>
  <c r="Z103" i="49" s="1"/>
  <c r="Y100" i="49"/>
  <c r="X100" i="49"/>
  <c r="W100" i="49"/>
  <c r="V100" i="49"/>
  <c r="Y99" i="49"/>
  <c r="X99" i="49"/>
  <c r="W99" i="49"/>
  <c r="V99" i="49"/>
  <c r="Y95" i="49"/>
  <c r="X95" i="49"/>
  <c r="W95" i="49"/>
  <c r="V95" i="49"/>
  <c r="AC95" i="49" s="1"/>
  <c r="H95" i="43" s="1"/>
  <c r="Y94" i="49"/>
  <c r="X94" i="49"/>
  <c r="W94" i="49"/>
  <c r="V94" i="49"/>
  <c r="Y93" i="49"/>
  <c r="X93" i="49"/>
  <c r="W93" i="49"/>
  <c r="V93" i="49"/>
  <c r="Y92" i="49"/>
  <c r="X92" i="49"/>
  <c r="X96" i="49" s="1"/>
  <c r="W92" i="49"/>
  <c r="W96" i="49" s="1"/>
  <c r="V92" i="49"/>
  <c r="AB90" i="49"/>
  <c r="AA90" i="49"/>
  <c r="Z90" i="49"/>
  <c r="Y89" i="49"/>
  <c r="X89" i="49"/>
  <c r="W89" i="49"/>
  <c r="V89" i="49"/>
  <c r="Y88" i="49"/>
  <c r="X88" i="49"/>
  <c r="W88" i="49"/>
  <c r="V88" i="49"/>
  <c r="Y87" i="49"/>
  <c r="X87" i="49"/>
  <c r="W87" i="49"/>
  <c r="V87" i="49"/>
  <c r="Y86" i="49"/>
  <c r="AC86" i="49" s="1"/>
  <c r="H86" i="43" s="1"/>
  <c r="X86" i="49"/>
  <c r="W86" i="49"/>
  <c r="V86" i="49"/>
  <c r="Y85" i="49"/>
  <c r="X85" i="49"/>
  <c r="AC85" i="49" s="1"/>
  <c r="H85" i="43" s="1"/>
  <c r="W85" i="49"/>
  <c r="V85" i="49"/>
  <c r="Y84" i="49"/>
  <c r="W84" i="49"/>
  <c r="V84" i="49"/>
  <c r="Y83" i="49"/>
  <c r="W83" i="49"/>
  <c r="V83" i="49"/>
  <c r="Y82" i="49"/>
  <c r="X82" i="49"/>
  <c r="W82" i="49"/>
  <c r="V82" i="49"/>
  <c r="AC82" i="49" s="1"/>
  <c r="H82" i="44"/>
  <c r="AB80" i="49"/>
  <c r="AA80" i="49"/>
  <c r="Z80" i="49"/>
  <c r="Y79" i="49"/>
  <c r="X79" i="49"/>
  <c r="V79" i="49"/>
  <c r="H79" i="45"/>
  <c r="Y78" i="49"/>
  <c r="X78" i="49"/>
  <c r="AC78" i="49" s="1"/>
  <c r="H78" i="43" s="1"/>
  <c r="W78" i="49"/>
  <c r="V78" i="49"/>
  <c r="Y77" i="49"/>
  <c r="X77" i="49"/>
  <c r="W77" i="49"/>
  <c r="V77" i="49"/>
  <c r="Y76" i="49"/>
  <c r="X76" i="49"/>
  <c r="W76" i="49"/>
  <c r="V76" i="49"/>
  <c r="AC76" i="49" s="1"/>
  <c r="H76" i="44"/>
  <c r="Y75" i="49"/>
  <c r="X75" i="49"/>
  <c r="W75" i="49"/>
  <c r="V75" i="49"/>
  <c r="Y74" i="49"/>
  <c r="X74" i="49"/>
  <c r="W74" i="49"/>
  <c r="AC72" i="49"/>
  <c r="AB72" i="49"/>
  <c r="AA72" i="49"/>
  <c r="Z72" i="49"/>
  <c r="Y72" i="49"/>
  <c r="X72" i="49"/>
  <c r="W72" i="49"/>
  <c r="V72" i="49"/>
  <c r="AA65" i="49"/>
  <c r="AA64" i="49"/>
  <c r="AB63" i="49"/>
  <c r="AA63" i="49"/>
  <c r="Y63" i="49"/>
  <c r="AB61" i="49"/>
  <c r="AB64" i="49" s="1"/>
  <c r="AB65" i="49" s="1"/>
  <c r="AA61" i="49"/>
  <c r="Z61" i="49"/>
  <c r="Z64" i="49" s="1"/>
  <c r="Y60" i="49"/>
  <c r="X60" i="49"/>
  <c r="W60" i="49"/>
  <c r="V60" i="49"/>
  <c r="Y59" i="49"/>
  <c r="X59" i="49"/>
  <c r="W59" i="49"/>
  <c r="V59" i="49"/>
  <c r="AC59" i="49" s="1"/>
  <c r="H59" i="43" s="1"/>
  <c r="Y58" i="49"/>
  <c r="X58" i="49"/>
  <c r="W58" i="49"/>
  <c r="V58" i="49"/>
  <c r="AC58" i="49" s="1"/>
  <c r="H58" i="43" s="1"/>
  <c r="Y57" i="49"/>
  <c r="X57" i="49"/>
  <c r="W57" i="49"/>
  <c r="V57" i="49"/>
  <c r="Y56" i="49"/>
  <c r="X56" i="49"/>
  <c r="W56" i="49"/>
  <c r="AC56" i="49" s="1"/>
  <c r="V56" i="49"/>
  <c r="Y55" i="49"/>
  <c r="X55" i="49"/>
  <c r="W55" i="49"/>
  <c r="V55" i="49"/>
  <c r="AC55" i="49" s="1"/>
  <c r="AC54" i="49"/>
  <c r="Y54" i="49"/>
  <c r="X54" i="49"/>
  <c r="W54" i="49"/>
  <c r="V54" i="49"/>
  <c r="Y53" i="49"/>
  <c r="X53" i="49"/>
  <c r="W53" i="49"/>
  <c r="V53" i="49"/>
  <c r="Y52" i="49"/>
  <c r="X52" i="49"/>
  <c r="W52" i="49"/>
  <c r="V52" i="49"/>
  <c r="Y51" i="49"/>
  <c r="X51" i="49"/>
  <c r="W51" i="49"/>
  <c r="V51" i="49"/>
  <c r="Y50" i="49"/>
  <c r="X50" i="49"/>
  <c r="W50" i="49"/>
  <c r="V50" i="49"/>
  <c r="Y49" i="49"/>
  <c r="X49" i="49"/>
  <c r="W49" i="49"/>
  <c r="V49" i="49"/>
  <c r="AC49" i="49" s="1"/>
  <c r="H49" i="43" s="1"/>
  <c r="Y48" i="49"/>
  <c r="X48" i="49"/>
  <c r="AC48" i="49" s="1"/>
  <c r="H48" i="43" s="1"/>
  <c r="W48" i="49"/>
  <c r="V48" i="49"/>
  <c r="AC47" i="49"/>
  <c r="Y47" i="49"/>
  <c r="X47" i="49"/>
  <c r="W47" i="49"/>
  <c r="V47" i="49"/>
  <c r="H47" i="44"/>
  <c r="AC46" i="49"/>
  <c r="H46" i="43" s="1"/>
  <c r="Y46" i="49"/>
  <c r="X46" i="49"/>
  <c r="W46" i="49"/>
  <c r="V46" i="49"/>
  <c r="Y45" i="49"/>
  <c r="X45" i="49"/>
  <c r="W45" i="49"/>
  <c r="V45" i="49"/>
  <c r="Y44" i="49"/>
  <c r="X44" i="49"/>
  <c r="W44" i="49"/>
  <c r="AC44" i="49" s="1"/>
  <c r="H44" i="43" s="1"/>
  <c r="V44" i="49"/>
  <c r="Y43" i="49"/>
  <c r="X43" i="49"/>
  <c r="W43" i="49"/>
  <c r="V43" i="49"/>
  <c r="Y42" i="49"/>
  <c r="AC42" i="49" s="1"/>
  <c r="H42" i="43" s="1"/>
  <c r="X42" i="49"/>
  <c r="W42" i="49"/>
  <c r="V42" i="49"/>
  <c r="Y41" i="49"/>
  <c r="X41" i="49"/>
  <c r="AC41" i="49" s="1"/>
  <c r="H41" i="43" s="1"/>
  <c r="W41" i="49"/>
  <c r="V41" i="49"/>
  <c r="Y40" i="49"/>
  <c r="X40" i="49"/>
  <c r="W40" i="49"/>
  <c r="V40" i="49"/>
  <c r="AC40" i="49" s="1"/>
  <c r="H40" i="43" s="1"/>
  <c r="Y39" i="49"/>
  <c r="X39" i="49"/>
  <c r="W39" i="49"/>
  <c r="V39" i="49"/>
  <c r="AC39" i="49" s="1"/>
  <c r="AC38" i="49"/>
  <c r="AB38" i="49"/>
  <c r="AA38" i="49"/>
  <c r="Z38" i="49"/>
  <c r="Y38" i="49"/>
  <c r="X38" i="49"/>
  <c r="W38" i="49"/>
  <c r="V38" i="49"/>
  <c r="AB36" i="49"/>
  <c r="AB140" i="49" s="1"/>
  <c r="AA36" i="49"/>
  <c r="AA140" i="49" s="1"/>
  <c r="Z36" i="49"/>
  <c r="X135" i="49"/>
  <c r="AC35" i="49"/>
  <c r="H35" i="43" s="1"/>
  <c r="Y35" i="49"/>
  <c r="X35" i="49"/>
  <c r="W35" i="49"/>
  <c r="V35" i="49"/>
  <c r="H35" i="44"/>
  <c r="Y34" i="49"/>
  <c r="AC34" i="49" s="1"/>
  <c r="H34" i="43" s="1"/>
  <c r="X34" i="49"/>
  <c r="W34" i="49"/>
  <c r="V34" i="49"/>
  <c r="Y33" i="49"/>
  <c r="X33" i="49"/>
  <c r="W33" i="49"/>
  <c r="V33" i="49"/>
  <c r="H33" i="45"/>
  <c r="Y32" i="49"/>
  <c r="X32" i="49"/>
  <c r="W32" i="49"/>
  <c r="V32" i="49"/>
  <c r="Y31" i="49"/>
  <c r="X31" i="49"/>
  <c r="W31" i="49"/>
  <c r="V31" i="49"/>
  <c r="AC31" i="49" s="1"/>
  <c r="H31" i="43" s="1"/>
  <c r="AC30" i="49"/>
  <c r="H30" i="43" s="1"/>
  <c r="Y30" i="49"/>
  <c r="X30" i="49"/>
  <c r="W30" i="49"/>
  <c r="V30" i="49"/>
  <c r="Y29" i="49"/>
  <c r="X29" i="49"/>
  <c r="W29" i="49"/>
  <c r="V29" i="49"/>
  <c r="Y28" i="49"/>
  <c r="X28" i="49"/>
  <c r="W28" i="49"/>
  <c r="V28" i="49"/>
  <c r="AC28" i="49" s="1"/>
  <c r="H28" i="43" s="1"/>
  <c r="AC27" i="49"/>
  <c r="Y27" i="49"/>
  <c r="X27" i="49"/>
  <c r="W27" i="49"/>
  <c r="V27" i="49"/>
  <c r="H27" i="44"/>
  <c r="AC26" i="49"/>
  <c r="AB26" i="49"/>
  <c r="AA26" i="49"/>
  <c r="Z26" i="49"/>
  <c r="Y26" i="49"/>
  <c r="X26" i="49"/>
  <c r="W26" i="49"/>
  <c r="V26" i="49"/>
  <c r="Y24" i="49"/>
  <c r="X24" i="49"/>
  <c r="W24" i="49"/>
  <c r="V24" i="49"/>
  <c r="AC24" i="49" s="1"/>
  <c r="H24" i="43" s="1"/>
  <c r="Y23" i="49"/>
  <c r="W23" i="49"/>
  <c r="V23" i="49"/>
  <c r="AC23" i="49" s="1"/>
  <c r="H23" i="45"/>
  <c r="Y22" i="49"/>
  <c r="X22" i="49"/>
  <c r="W22" i="49"/>
  <c r="V22" i="49"/>
  <c r="Y21" i="49"/>
  <c r="X21" i="49"/>
  <c r="W21" i="49"/>
  <c r="V21" i="49"/>
  <c r="AC21" i="49" s="1"/>
  <c r="H21" i="43" s="1"/>
  <c r="Y20" i="49"/>
  <c r="X20" i="49"/>
  <c r="W20" i="49"/>
  <c r="V20" i="49"/>
  <c r="AC20" i="49" s="1"/>
  <c r="H20" i="43" s="1"/>
  <c r="AC19" i="49"/>
  <c r="AB19" i="49"/>
  <c r="AA19" i="49"/>
  <c r="Z19" i="49"/>
  <c r="Y19" i="49"/>
  <c r="X19" i="49"/>
  <c r="W19" i="49"/>
  <c r="V19" i="49"/>
  <c r="AB17" i="49"/>
  <c r="AA17" i="49"/>
  <c r="Z17" i="49"/>
  <c r="X17" i="49"/>
  <c r="W17" i="49"/>
  <c r="V16" i="49"/>
  <c r="AC16" i="49" s="1"/>
  <c r="V15" i="49"/>
  <c r="AC15" i="49" s="1"/>
  <c r="H15" i="43" s="1"/>
  <c r="H49" i="47" s="1"/>
  <c r="V14" i="49"/>
  <c r="AC14" i="49" s="1"/>
  <c r="V13" i="49"/>
  <c r="AC13" i="49" s="1"/>
  <c r="H13" i="43" s="1"/>
  <c r="H47" i="47" s="1"/>
  <c r="V12" i="49"/>
  <c r="AC12" i="49" s="1"/>
  <c r="H12" i="43" s="1"/>
  <c r="H46" i="47" s="1"/>
  <c r="AC11" i="49"/>
  <c r="H11" i="43" s="1"/>
  <c r="H45" i="47" s="1"/>
  <c r="V11" i="49"/>
  <c r="V10" i="49"/>
  <c r="AC10" i="49" s="1"/>
  <c r="H10" i="43" s="1"/>
  <c r="H44" i="47" s="1"/>
  <c r="V9" i="49"/>
  <c r="AC9" i="49" s="1"/>
  <c r="H9" i="43" s="1"/>
  <c r="H43" i="47" s="1"/>
  <c r="V8" i="49"/>
  <c r="AC8" i="49" s="1"/>
  <c r="V7" i="49"/>
  <c r="AC7" i="49" s="1"/>
  <c r="V6" i="49"/>
  <c r="AC6" i="49" s="1"/>
  <c r="H6" i="43" s="1"/>
  <c r="H40" i="47" s="1"/>
  <c r="V5" i="49"/>
  <c r="AC5" i="49" s="1"/>
  <c r="H5" i="43" s="1"/>
  <c r="H39" i="47" s="1"/>
  <c r="V4" i="49"/>
  <c r="B3" i="49"/>
  <c r="L2" i="49"/>
  <c r="I2" i="49"/>
  <c r="Y217" i="42"/>
  <c r="X217" i="42"/>
  <c r="W217" i="42"/>
  <c r="V217" i="42"/>
  <c r="Y216" i="42"/>
  <c r="X216" i="42"/>
  <c r="W216" i="42"/>
  <c r="V216" i="42"/>
  <c r="Y215" i="42"/>
  <c r="X215" i="42"/>
  <c r="W215" i="42"/>
  <c r="V215" i="42"/>
  <c r="AC215" i="42" s="1"/>
  <c r="Y214" i="42"/>
  <c r="X214" i="42"/>
  <c r="W214" i="42"/>
  <c r="V214" i="42"/>
  <c r="Y213" i="42"/>
  <c r="X213" i="42"/>
  <c r="W213" i="42"/>
  <c r="V213" i="42"/>
  <c r="Y212" i="42"/>
  <c r="X212" i="42"/>
  <c r="W212" i="42"/>
  <c r="AB208" i="42"/>
  <c r="AA208" i="42"/>
  <c r="Z208" i="42"/>
  <c r="O218" i="42"/>
  <c r="Y207" i="42"/>
  <c r="X207" i="42"/>
  <c r="W207" i="42"/>
  <c r="V207" i="42"/>
  <c r="Y206" i="42"/>
  <c r="X206" i="42"/>
  <c r="W206" i="42"/>
  <c r="V206" i="42"/>
  <c r="Y205" i="42"/>
  <c r="X205" i="42"/>
  <c r="W205" i="42"/>
  <c r="V205" i="42"/>
  <c r="AC205" i="42" s="1"/>
  <c r="Y204" i="42"/>
  <c r="X204" i="42"/>
  <c r="W204" i="42"/>
  <c r="V204" i="42"/>
  <c r="AC204" i="42" s="1"/>
  <c r="Y203" i="42"/>
  <c r="X203" i="42"/>
  <c r="W203" i="42"/>
  <c r="Y202" i="42"/>
  <c r="X202" i="42"/>
  <c r="W202" i="42"/>
  <c r="V202" i="42"/>
  <c r="Y201" i="42"/>
  <c r="X201" i="42"/>
  <c r="W201" i="42"/>
  <c r="V201" i="42"/>
  <c r="Y200" i="42"/>
  <c r="X200" i="42"/>
  <c r="W200" i="42"/>
  <c r="V200" i="42"/>
  <c r="Y199" i="42"/>
  <c r="X199" i="42"/>
  <c r="W199" i="42"/>
  <c r="V199" i="42"/>
  <c r="AC199" i="42" s="1"/>
  <c r="Y198" i="42"/>
  <c r="X198" i="42"/>
  <c r="W198" i="42"/>
  <c r="AC197" i="42"/>
  <c r="AB197" i="42"/>
  <c r="AA197" i="42"/>
  <c r="Z197" i="42"/>
  <c r="Y197" i="42"/>
  <c r="X197" i="42"/>
  <c r="W197" i="42"/>
  <c r="V197" i="42"/>
  <c r="AB196" i="42"/>
  <c r="AA196" i="42"/>
  <c r="Z196" i="42"/>
  <c r="Y195" i="42"/>
  <c r="X195" i="42"/>
  <c r="W195" i="42"/>
  <c r="Y194" i="42"/>
  <c r="X194" i="42"/>
  <c r="W194" i="42"/>
  <c r="V194" i="42"/>
  <c r="Y193" i="42"/>
  <c r="X193" i="42"/>
  <c r="W193" i="42"/>
  <c r="V193" i="42"/>
  <c r="Y192" i="42"/>
  <c r="X192" i="42"/>
  <c r="AC192" i="42" s="1"/>
  <c r="W192" i="42"/>
  <c r="V192" i="42"/>
  <c r="Y191" i="42"/>
  <c r="X191" i="42"/>
  <c r="W191" i="42"/>
  <c r="V191" i="42"/>
  <c r="Y190" i="42"/>
  <c r="X190" i="42"/>
  <c r="W190" i="42"/>
  <c r="V190" i="42"/>
  <c r="Y189" i="42"/>
  <c r="X189" i="42"/>
  <c r="W189" i="42"/>
  <c r="V189" i="42"/>
  <c r="Y188" i="42"/>
  <c r="X188" i="42"/>
  <c r="W188" i="42"/>
  <c r="V188" i="42"/>
  <c r="AC188" i="42" s="1"/>
  <c r="Y187" i="42"/>
  <c r="X187" i="42"/>
  <c r="W187" i="42"/>
  <c r="Y186" i="42"/>
  <c r="X186" i="42"/>
  <c r="W186" i="42"/>
  <c r="V186" i="42"/>
  <c r="Y185" i="42"/>
  <c r="X185" i="42"/>
  <c r="W185" i="42"/>
  <c r="V185" i="42"/>
  <c r="AC185" i="42" s="1"/>
  <c r="Y184" i="42"/>
  <c r="X184" i="42"/>
  <c r="W184" i="42"/>
  <c r="V184" i="42"/>
  <c r="Y183" i="42"/>
  <c r="W183" i="42"/>
  <c r="V183" i="42"/>
  <c r="Y182" i="42"/>
  <c r="W182" i="42"/>
  <c r="V182" i="42"/>
  <c r="Y181" i="42"/>
  <c r="X181" i="42"/>
  <c r="W181" i="42"/>
  <c r="V181" i="42"/>
  <c r="Y180" i="42"/>
  <c r="X180" i="42"/>
  <c r="W180" i="42"/>
  <c r="V180" i="42"/>
  <c r="Y179" i="42"/>
  <c r="X179" i="42"/>
  <c r="W179" i="42"/>
  <c r="V179" i="42"/>
  <c r="Y178" i="42"/>
  <c r="X178" i="42"/>
  <c r="W178" i="42"/>
  <c r="Y177" i="42"/>
  <c r="X177" i="42"/>
  <c r="W177" i="42"/>
  <c r="V177" i="42"/>
  <c r="Y176" i="42"/>
  <c r="X176" i="42"/>
  <c r="W176" i="42"/>
  <c r="Y175" i="42"/>
  <c r="X175" i="42"/>
  <c r="W175" i="42"/>
  <c r="V175" i="42"/>
  <c r="AC175" i="42" s="1"/>
  <c r="Y174" i="42"/>
  <c r="X174" i="42"/>
  <c r="W174" i="42"/>
  <c r="V174" i="42"/>
  <c r="Y173" i="42"/>
  <c r="X173" i="42"/>
  <c r="W173" i="42"/>
  <c r="V173" i="42"/>
  <c r="Y172" i="42"/>
  <c r="X172" i="42"/>
  <c r="W172" i="42"/>
  <c r="V172" i="42"/>
  <c r="AC171" i="42"/>
  <c r="AB171" i="42"/>
  <c r="AA171" i="42"/>
  <c r="Z171" i="42"/>
  <c r="Y171" i="42"/>
  <c r="X171" i="42"/>
  <c r="W171" i="42"/>
  <c r="V171" i="42"/>
  <c r="Y169" i="42"/>
  <c r="X169" i="42"/>
  <c r="W169" i="42"/>
  <c r="V169" i="42"/>
  <c r="AC169" i="42" s="1"/>
  <c r="Y168" i="42"/>
  <c r="X168" i="42"/>
  <c r="W168" i="42"/>
  <c r="Y167" i="42"/>
  <c r="X167" i="42"/>
  <c r="W167" i="42"/>
  <c r="Y166" i="42"/>
  <c r="X166" i="42"/>
  <c r="W166" i="42"/>
  <c r="Y165" i="42"/>
  <c r="X165" i="42"/>
  <c r="W165" i="42"/>
  <c r="V165" i="42"/>
  <c r="Y164" i="42"/>
  <c r="X164" i="42"/>
  <c r="W164" i="42"/>
  <c r="Y163" i="42"/>
  <c r="X163" i="42"/>
  <c r="AC163" i="42" s="1"/>
  <c r="W163" i="42"/>
  <c r="V163" i="42"/>
  <c r="Y162" i="42"/>
  <c r="X162" i="42"/>
  <c r="W162" i="42"/>
  <c r="V162" i="42"/>
  <c r="AC162" i="42" s="1"/>
  <c r="Y161" i="42"/>
  <c r="Y160" i="42"/>
  <c r="X160" i="42"/>
  <c r="W160" i="42"/>
  <c r="Y159" i="42"/>
  <c r="X159" i="42"/>
  <c r="W159" i="42"/>
  <c r="V159" i="42"/>
  <c r="Y158" i="42"/>
  <c r="X158" i="42"/>
  <c r="W158" i="42"/>
  <c r="V158" i="42"/>
  <c r="AC158" i="42" s="1"/>
  <c r="Y157" i="42"/>
  <c r="X157" i="42"/>
  <c r="V157" i="42"/>
  <c r="Y156" i="42"/>
  <c r="X156" i="42"/>
  <c r="W156" i="42"/>
  <c r="V156" i="42"/>
  <c r="AC155" i="42"/>
  <c r="AB155" i="42"/>
  <c r="AA155" i="42"/>
  <c r="Z155" i="42"/>
  <c r="Y155" i="42"/>
  <c r="X155" i="42"/>
  <c r="W155" i="42"/>
  <c r="V155" i="42"/>
  <c r="AB154" i="42"/>
  <c r="AA154" i="42"/>
  <c r="Z154" i="42"/>
  <c r="Y153" i="42"/>
  <c r="X153" i="42"/>
  <c r="W153" i="42"/>
  <c r="Y152" i="42"/>
  <c r="X152" i="42"/>
  <c r="W152" i="42"/>
  <c r="V152" i="42"/>
  <c r="AC152" i="42" s="1"/>
  <c r="Y151" i="42"/>
  <c r="X151" i="42"/>
  <c r="W151" i="42"/>
  <c r="Y150" i="42"/>
  <c r="X150" i="42"/>
  <c r="W150" i="42"/>
  <c r="Y149" i="42"/>
  <c r="X149" i="42"/>
  <c r="W149" i="42"/>
  <c r="Y148" i="42"/>
  <c r="X148" i="42"/>
  <c r="W148" i="42"/>
  <c r="Y147" i="42"/>
  <c r="X147" i="42"/>
  <c r="W147" i="42"/>
  <c r="Y146" i="42"/>
  <c r="X146" i="42"/>
  <c r="W146" i="42"/>
  <c r="V146" i="42"/>
  <c r="Y145" i="42"/>
  <c r="X145" i="42"/>
  <c r="W145" i="42"/>
  <c r="V145" i="42"/>
  <c r="Y144" i="42"/>
  <c r="Y154" i="42" s="1"/>
  <c r="X144" i="42"/>
  <c r="W144" i="42"/>
  <c r="AC143" i="42"/>
  <c r="AB143" i="42"/>
  <c r="AA143" i="42"/>
  <c r="Z143" i="42"/>
  <c r="Y143" i="42"/>
  <c r="X143" i="42"/>
  <c r="W143" i="42"/>
  <c r="V143" i="42"/>
  <c r="AB140" i="42"/>
  <c r="Y140" i="42"/>
  <c r="Y139" i="42"/>
  <c r="X139" i="42"/>
  <c r="W139" i="42"/>
  <c r="V139" i="42"/>
  <c r="Y138" i="42"/>
  <c r="X138" i="42"/>
  <c r="W138" i="42"/>
  <c r="V138" i="42"/>
  <c r="Y137" i="42"/>
  <c r="X137" i="42"/>
  <c r="V137" i="42"/>
  <c r="W137" i="42"/>
  <c r="Y136" i="42"/>
  <c r="AB135" i="42"/>
  <c r="AA135" i="42"/>
  <c r="X135" i="42"/>
  <c r="Y135" i="42"/>
  <c r="Y133" i="42"/>
  <c r="AB132" i="42"/>
  <c r="AB133" i="42" s="1"/>
  <c r="AB131" i="42"/>
  <c r="AA131" i="42"/>
  <c r="Z131" i="42"/>
  <c r="AB130" i="42"/>
  <c r="AA130" i="42"/>
  <c r="Z130" i="42"/>
  <c r="Y130" i="42"/>
  <c r="W130" i="42"/>
  <c r="V130" i="42"/>
  <c r="Y129" i="42"/>
  <c r="X129" i="42"/>
  <c r="V129" i="42"/>
  <c r="Y128" i="42"/>
  <c r="X128" i="42"/>
  <c r="W128" i="42"/>
  <c r="AC128" i="42" s="1"/>
  <c r="V128" i="42"/>
  <c r="Y127" i="42"/>
  <c r="X127" i="42"/>
  <c r="W127" i="42"/>
  <c r="V127" i="42"/>
  <c r="Y126" i="42"/>
  <c r="X126" i="42"/>
  <c r="W126" i="42"/>
  <c r="V126" i="42"/>
  <c r="AC126" i="42" s="1"/>
  <c r="Y125" i="42"/>
  <c r="X125" i="42"/>
  <c r="W125" i="42"/>
  <c r="AC125" i="42" s="1"/>
  <c r="V125" i="42"/>
  <c r="Y124" i="42"/>
  <c r="X124" i="42"/>
  <c r="W124" i="42"/>
  <c r="V124" i="42"/>
  <c r="Y123" i="42"/>
  <c r="X123" i="42"/>
  <c r="W123" i="42"/>
  <c r="V123" i="42"/>
  <c r="AC123" i="42" s="1"/>
  <c r="AB121" i="42"/>
  <c r="AA121" i="42"/>
  <c r="AA132" i="42" s="1"/>
  <c r="Y120" i="42"/>
  <c r="W120" i="42"/>
  <c r="V120" i="42"/>
  <c r="X120" i="42"/>
  <c r="Y119" i="42"/>
  <c r="X119" i="42"/>
  <c r="W119" i="42"/>
  <c r="V119" i="42"/>
  <c r="AC119" i="42" s="1"/>
  <c r="Z118" i="42"/>
  <c r="Z121" i="42" s="1"/>
  <c r="Z132" i="42" s="1"/>
  <c r="X118" i="42"/>
  <c r="Y118" i="42"/>
  <c r="W118" i="42"/>
  <c r="V118" i="42"/>
  <c r="Y117" i="42"/>
  <c r="X117" i="42"/>
  <c r="W117" i="42"/>
  <c r="V117" i="42"/>
  <c r="Y116" i="42"/>
  <c r="X116" i="42"/>
  <c r="W116" i="42"/>
  <c r="V116" i="42"/>
  <c r="Y115" i="42"/>
  <c r="X115" i="42"/>
  <c r="V115" i="42"/>
  <c r="Y114" i="42"/>
  <c r="X114" i="42"/>
  <c r="W114" i="42"/>
  <c r="Y113" i="42"/>
  <c r="X113" i="42"/>
  <c r="W113" i="42"/>
  <c r="V113" i="42"/>
  <c r="Y112" i="42"/>
  <c r="X112" i="42"/>
  <c r="W112" i="42"/>
  <c r="V112" i="42"/>
  <c r="AC112" i="42" s="1"/>
  <c r="Y111" i="42"/>
  <c r="X111" i="42"/>
  <c r="W111" i="42"/>
  <c r="Y110" i="42"/>
  <c r="X110" i="42"/>
  <c r="W110" i="42"/>
  <c r="V110" i="42"/>
  <c r="Y109" i="42"/>
  <c r="X109" i="42"/>
  <c r="W109" i="42"/>
  <c r="V109" i="42"/>
  <c r="Y108" i="42"/>
  <c r="X108" i="42"/>
  <c r="W108" i="42"/>
  <c r="V108" i="42"/>
  <c r="Y107" i="42"/>
  <c r="X107" i="42"/>
  <c r="W107" i="42"/>
  <c r="V107" i="42"/>
  <c r="AC105" i="42"/>
  <c r="AB105" i="42"/>
  <c r="AA105" i="42"/>
  <c r="Z105" i="42"/>
  <c r="Y105" i="42"/>
  <c r="X105" i="42"/>
  <c r="W105" i="42"/>
  <c r="V105" i="42"/>
  <c r="Z103" i="42"/>
  <c r="Y102" i="42"/>
  <c r="X102" i="42"/>
  <c r="W102" i="42"/>
  <c r="V102" i="42"/>
  <c r="AC102" i="42" s="1"/>
  <c r="Y101" i="42"/>
  <c r="X101" i="42"/>
  <c r="W101" i="42"/>
  <c r="AC101" i="42" s="1"/>
  <c r="V101" i="42"/>
  <c r="AB100" i="42"/>
  <c r="AB103" i="42" s="1"/>
  <c r="AA100" i="42"/>
  <c r="AA103" i="42" s="1"/>
  <c r="Z100" i="42"/>
  <c r="Y100" i="42"/>
  <c r="X100" i="42"/>
  <c r="W100" i="42"/>
  <c r="V100" i="42"/>
  <c r="Y99" i="42"/>
  <c r="X99" i="42"/>
  <c r="X103" i="42" s="1"/>
  <c r="W99" i="42"/>
  <c r="V99" i="42"/>
  <c r="V103" i="42" s="1"/>
  <c r="Y95" i="42"/>
  <c r="X95" i="42"/>
  <c r="W95" i="42"/>
  <c r="V95" i="42"/>
  <c r="Y94" i="42"/>
  <c r="X94" i="42"/>
  <c r="W94" i="42"/>
  <c r="V94" i="42"/>
  <c r="Y93" i="42"/>
  <c r="X93" i="42"/>
  <c r="W93" i="42"/>
  <c r="V93" i="42"/>
  <c r="Y92" i="42"/>
  <c r="X92" i="42"/>
  <c r="W92" i="42"/>
  <c r="W96" i="42" s="1"/>
  <c r="V92" i="42"/>
  <c r="AC92" i="42" s="1"/>
  <c r="AB90" i="42"/>
  <c r="AA90" i="42"/>
  <c r="Z90" i="42"/>
  <c r="Y89" i="42"/>
  <c r="X89" i="42"/>
  <c r="W89" i="42"/>
  <c r="V89" i="42"/>
  <c r="Y88" i="42"/>
  <c r="X88" i="42"/>
  <c r="W88" i="42"/>
  <c r="V88" i="42"/>
  <c r="Y87" i="42"/>
  <c r="X87" i="42"/>
  <c r="W87" i="42"/>
  <c r="V87" i="42"/>
  <c r="Y86" i="42"/>
  <c r="X86" i="42"/>
  <c r="W86" i="42"/>
  <c r="V86" i="42"/>
  <c r="Y85" i="42"/>
  <c r="X85" i="42"/>
  <c r="W85" i="42"/>
  <c r="V85" i="42"/>
  <c r="Y84" i="42"/>
  <c r="W84" i="42"/>
  <c r="V84" i="42"/>
  <c r="Y83" i="42"/>
  <c r="W83" i="42"/>
  <c r="V83" i="42"/>
  <c r="Y82" i="42"/>
  <c r="X82" i="42"/>
  <c r="W82" i="42"/>
  <c r="W90" i="42" s="1"/>
  <c r="V82" i="42"/>
  <c r="AB80" i="42"/>
  <c r="AA80" i="42"/>
  <c r="Z80" i="42"/>
  <c r="Y79" i="42"/>
  <c r="X79" i="42"/>
  <c r="V79" i="42"/>
  <c r="Y78" i="42"/>
  <c r="X78" i="42"/>
  <c r="W78" i="42"/>
  <c r="V78" i="42"/>
  <c r="AC78" i="42" s="1"/>
  <c r="Y77" i="42"/>
  <c r="X77" i="42"/>
  <c r="W77" i="42"/>
  <c r="V77" i="42"/>
  <c r="Y76" i="42"/>
  <c r="X76" i="42"/>
  <c r="W76" i="42"/>
  <c r="Y75" i="42"/>
  <c r="X75" i="42"/>
  <c r="W75" i="42"/>
  <c r="V75" i="42"/>
  <c r="Y74" i="42"/>
  <c r="X74" i="42"/>
  <c r="W74" i="42"/>
  <c r="AC72" i="42"/>
  <c r="AB72" i="42"/>
  <c r="AA72" i="42"/>
  <c r="Z72" i="42"/>
  <c r="Y72" i="42"/>
  <c r="X72" i="42"/>
  <c r="W72" i="42"/>
  <c r="V72" i="42"/>
  <c r="AB64" i="42"/>
  <c r="AB63" i="42"/>
  <c r="AB65" i="42" s="1"/>
  <c r="AA63" i="42"/>
  <c r="Y63" i="42"/>
  <c r="AB61" i="42"/>
  <c r="AA61" i="42"/>
  <c r="AA64" i="42" s="1"/>
  <c r="Z61" i="42"/>
  <c r="Z64" i="42" s="1"/>
  <c r="Y60" i="42"/>
  <c r="X60" i="42"/>
  <c r="W60" i="42"/>
  <c r="V60" i="42"/>
  <c r="Y59" i="42"/>
  <c r="X59" i="42"/>
  <c r="W59" i="42"/>
  <c r="V59" i="42"/>
  <c r="Y58" i="42"/>
  <c r="X58" i="42"/>
  <c r="W58" i="42"/>
  <c r="AC58" i="42" s="1"/>
  <c r="V58" i="42"/>
  <c r="Y57" i="42"/>
  <c r="X57" i="42"/>
  <c r="W57" i="42"/>
  <c r="V57" i="42"/>
  <c r="AC57" i="42" s="1"/>
  <c r="Y56" i="42"/>
  <c r="X56" i="42"/>
  <c r="W56" i="42"/>
  <c r="V56" i="42"/>
  <c r="Y55" i="42"/>
  <c r="X55" i="42"/>
  <c r="W55" i="42"/>
  <c r="V55" i="42"/>
  <c r="Y54" i="42"/>
  <c r="X54" i="42"/>
  <c r="W54" i="42"/>
  <c r="V54" i="42"/>
  <c r="AC54" i="42" s="1"/>
  <c r="Y53" i="42"/>
  <c r="X53" i="42"/>
  <c r="W53" i="42"/>
  <c r="V53" i="42"/>
  <c r="Y52" i="42"/>
  <c r="X52" i="42"/>
  <c r="W52" i="42"/>
  <c r="V52" i="42"/>
  <c r="Y51" i="42"/>
  <c r="X51" i="42"/>
  <c r="W51" i="42"/>
  <c r="V51" i="42"/>
  <c r="Y50" i="42"/>
  <c r="X50" i="42"/>
  <c r="W50" i="42"/>
  <c r="V50" i="42"/>
  <c r="Y49" i="42"/>
  <c r="X49" i="42"/>
  <c r="AC49" i="42" s="1"/>
  <c r="W49" i="42"/>
  <c r="V49" i="42"/>
  <c r="Y48" i="42"/>
  <c r="X48" i="42"/>
  <c r="W48" i="42"/>
  <c r="V48" i="42"/>
  <c r="Y47" i="42"/>
  <c r="X47" i="42"/>
  <c r="W47" i="42"/>
  <c r="V47" i="42"/>
  <c r="Y46" i="42"/>
  <c r="X46" i="42"/>
  <c r="W46" i="42"/>
  <c r="V46" i="42"/>
  <c r="Y45" i="42"/>
  <c r="X45" i="42"/>
  <c r="W45" i="42"/>
  <c r="V45" i="42"/>
  <c r="AC45" i="42" s="1"/>
  <c r="Y44" i="42"/>
  <c r="X44" i="42"/>
  <c r="W44" i="42"/>
  <c r="V44" i="42"/>
  <c r="Y43" i="42"/>
  <c r="X43" i="42"/>
  <c r="W43" i="42"/>
  <c r="V43" i="42"/>
  <c r="Y42" i="42"/>
  <c r="X42" i="42"/>
  <c r="W42" i="42"/>
  <c r="V42" i="42"/>
  <c r="AC42" i="42" s="1"/>
  <c r="Y41" i="42"/>
  <c r="X41" i="42"/>
  <c r="W41" i="42"/>
  <c r="V41" i="42"/>
  <c r="Y40" i="42"/>
  <c r="X40" i="42"/>
  <c r="W40" i="42"/>
  <c r="V40" i="42"/>
  <c r="Y39" i="42"/>
  <c r="X39" i="42"/>
  <c r="W39" i="42"/>
  <c r="V39" i="42"/>
  <c r="AC39" i="42" s="1"/>
  <c r="AC38" i="42"/>
  <c r="AB38" i="42"/>
  <c r="AA38" i="42"/>
  <c r="Z38" i="42"/>
  <c r="Y38" i="42"/>
  <c r="X38" i="42"/>
  <c r="W38" i="42"/>
  <c r="V38" i="42"/>
  <c r="AB36" i="42"/>
  <c r="AA36" i="42"/>
  <c r="AA140" i="42" s="1"/>
  <c r="Z36" i="42"/>
  <c r="Z140" i="42" s="1"/>
  <c r="Y35" i="42"/>
  <c r="X35" i="42"/>
  <c r="W35" i="42"/>
  <c r="V35" i="42"/>
  <c r="Y34" i="42"/>
  <c r="X34" i="42"/>
  <c r="W34" i="42"/>
  <c r="V34" i="42"/>
  <c r="Y33" i="42"/>
  <c r="X33" i="42"/>
  <c r="W33" i="42"/>
  <c r="V33" i="42"/>
  <c r="Y32" i="42"/>
  <c r="X32" i="42"/>
  <c r="W32" i="42"/>
  <c r="V32" i="42"/>
  <c r="Y31" i="42"/>
  <c r="X31" i="42"/>
  <c r="W31" i="42"/>
  <c r="V31" i="42"/>
  <c r="Y30" i="42"/>
  <c r="X30" i="42"/>
  <c r="W30" i="42"/>
  <c r="V30" i="42"/>
  <c r="Y29" i="42"/>
  <c r="X29" i="42"/>
  <c r="W29" i="42"/>
  <c r="V29" i="42"/>
  <c r="Y28" i="42"/>
  <c r="X28" i="42"/>
  <c r="W28" i="42"/>
  <c r="V28" i="42"/>
  <c r="Y27" i="42"/>
  <c r="X27" i="42"/>
  <c r="X36" i="42" s="1"/>
  <c r="X63" i="42" s="1"/>
  <c r="W27" i="42"/>
  <c r="V27" i="42"/>
  <c r="AC27" i="42" s="1"/>
  <c r="AC26" i="42"/>
  <c r="AB26" i="42"/>
  <c r="AA26" i="42"/>
  <c r="Z26" i="42"/>
  <c r="Y26" i="42"/>
  <c r="X26" i="42"/>
  <c r="W26" i="42"/>
  <c r="V26" i="42"/>
  <c r="Y24" i="42"/>
  <c r="X24" i="42"/>
  <c r="W24" i="42"/>
  <c r="V24" i="42"/>
  <c r="Y23" i="42"/>
  <c r="W23" i="42"/>
  <c r="V23" i="42"/>
  <c r="Y22" i="42"/>
  <c r="X22" i="42"/>
  <c r="W22" i="42"/>
  <c r="V22" i="42"/>
  <c r="Y21" i="42"/>
  <c r="X21" i="42"/>
  <c r="W21" i="42"/>
  <c r="V21" i="42"/>
  <c r="AC20" i="42"/>
  <c r="Y20" i="42"/>
  <c r="X20" i="42"/>
  <c r="W20" i="42"/>
  <c r="V20" i="42"/>
  <c r="AC19" i="42"/>
  <c r="AB19" i="42"/>
  <c r="AA19" i="42"/>
  <c r="Z19" i="42"/>
  <c r="Y19" i="42"/>
  <c r="X19" i="42"/>
  <c r="W19" i="42"/>
  <c r="V19" i="42"/>
  <c r="AB17" i="42"/>
  <c r="AA17" i="42"/>
  <c r="Z17" i="42"/>
  <c r="X17" i="42"/>
  <c r="W17" i="42"/>
  <c r="V16" i="42"/>
  <c r="AC16" i="42" s="1"/>
  <c r="V15" i="42"/>
  <c r="AC15" i="42" s="1"/>
  <c r="V14" i="42"/>
  <c r="AC14" i="42" s="1"/>
  <c r="AC13" i="42"/>
  <c r="V13" i="42"/>
  <c r="V12" i="42"/>
  <c r="AC12" i="42" s="1"/>
  <c r="V11" i="42"/>
  <c r="AC11" i="42" s="1"/>
  <c r="V10" i="42"/>
  <c r="AC10" i="42" s="1"/>
  <c r="V9" i="42"/>
  <c r="AC9" i="42" s="1"/>
  <c r="V8" i="42"/>
  <c r="AC8" i="42" s="1"/>
  <c r="V7" i="42"/>
  <c r="AC7" i="42" s="1"/>
  <c r="AC6" i="42"/>
  <c r="V6" i="42"/>
  <c r="V4" i="42"/>
  <c r="B3" i="42"/>
  <c r="B74" i="42" s="1"/>
  <c r="L2" i="42"/>
  <c r="I2" i="42"/>
  <c r="Y217" i="41"/>
  <c r="X217" i="41"/>
  <c r="W217" i="41"/>
  <c r="V217" i="41"/>
  <c r="AC217" i="41" s="1"/>
  <c r="S217" i="41"/>
  <c r="I217" i="41"/>
  <c r="Y216" i="41"/>
  <c r="X216" i="41"/>
  <c r="W216" i="41"/>
  <c r="V216" i="41"/>
  <c r="Y215" i="41"/>
  <c r="X215" i="41"/>
  <c r="W215" i="41"/>
  <c r="V215" i="41"/>
  <c r="Y214" i="41"/>
  <c r="X214" i="41"/>
  <c r="W214" i="41"/>
  <c r="V214" i="41"/>
  <c r="AC214" i="41" s="1"/>
  <c r="Y213" i="41"/>
  <c r="X213" i="41"/>
  <c r="W213" i="41"/>
  <c r="V213" i="41"/>
  <c r="Y212" i="41"/>
  <c r="X212" i="41"/>
  <c r="W212" i="41"/>
  <c r="AB208" i="41"/>
  <c r="AA208" i="41"/>
  <c r="Z208" i="41"/>
  <c r="O218" i="41"/>
  <c r="Y207" i="41"/>
  <c r="X207" i="41"/>
  <c r="W207" i="41"/>
  <c r="V207" i="41"/>
  <c r="AC207" i="41" s="1"/>
  <c r="Y206" i="41"/>
  <c r="X206" i="41"/>
  <c r="W206" i="41"/>
  <c r="V206" i="41"/>
  <c r="Y205" i="41"/>
  <c r="X205" i="41"/>
  <c r="W205" i="41"/>
  <c r="V205" i="41"/>
  <c r="AC205" i="41" s="1"/>
  <c r="Y204" i="41"/>
  <c r="X204" i="41"/>
  <c r="W204" i="41"/>
  <c r="V204" i="41"/>
  <c r="Y203" i="41"/>
  <c r="X203" i="41"/>
  <c r="W203" i="41"/>
  <c r="Y202" i="41"/>
  <c r="X202" i="41"/>
  <c r="W202" i="41"/>
  <c r="V202" i="41"/>
  <c r="Y201" i="41"/>
  <c r="X201" i="41"/>
  <c r="W201" i="41"/>
  <c r="V201" i="41"/>
  <c r="Y200" i="41"/>
  <c r="X200" i="41"/>
  <c r="W200" i="41"/>
  <c r="V200" i="41"/>
  <c r="Y199" i="41"/>
  <c r="X199" i="41"/>
  <c r="W199" i="41"/>
  <c r="V199" i="41"/>
  <c r="AC199" i="41" s="1"/>
  <c r="Y198" i="41"/>
  <c r="X198" i="41"/>
  <c r="W198" i="41"/>
  <c r="V198" i="41"/>
  <c r="AC197" i="41"/>
  <c r="AB197" i="41"/>
  <c r="AA197" i="41"/>
  <c r="Z197" i="41"/>
  <c r="Y197" i="41"/>
  <c r="X197" i="41"/>
  <c r="W197" i="41"/>
  <c r="V197" i="41"/>
  <c r="AB196" i="41"/>
  <c r="AA196" i="41"/>
  <c r="Z196" i="41"/>
  <c r="E218" i="41"/>
  <c r="Y195" i="41"/>
  <c r="X195" i="41"/>
  <c r="W195" i="41"/>
  <c r="Y194" i="41"/>
  <c r="X194" i="41"/>
  <c r="W194" i="41"/>
  <c r="V194" i="41"/>
  <c r="AC194" i="41" s="1"/>
  <c r="Y193" i="41"/>
  <c r="X193" i="41"/>
  <c r="AC193" i="41" s="1"/>
  <c r="W193" i="41"/>
  <c r="V193" i="41"/>
  <c r="Y192" i="41"/>
  <c r="X192" i="41"/>
  <c r="W192" i="41"/>
  <c r="V192" i="41"/>
  <c r="Y191" i="41"/>
  <c r="X191" i="41"/>
  <c r="W191" i="41"/>
  <c r="V191" i="41"/>
  <c r="AC191" i="41" s="1"/>
  <c r="Y190" i="41"/>
  <c r="X190" i="41"/>
  <c r="W190" i="41"/>
  <c r="V190" i="41"/>
  <c r="AC190" i="41" s="1"/>
  <c r="Y189" i="41"/>
  <c r="X189" i="41"/>
  <c r="W189" i="41"/>
  <c r="V189" i="41"/>
  <c r="AC189" i="41" s="1"/>
  <c r="Y188" i="41"/>
  <c r="X188" i="41"/>
  <c r="W188" i="41"/>
  <c r="AC188" i="41" s="1"/>
  <c r="V188" i="41"/>
  <c r="Y187" i="41"/>
  <c r="X187" i="41"/>
  <c r="W187" i="41"/>
  <c r="Y186" i="41"/>
  <c r="X186" i="41"/>
  <c r="W186" i="41"/>
  <c r="V186" i="41"/>
  <c r="Y185" i="41"/>
  <c r="X185" i="41"/>
  <c r="W185" i="41"/>
  <c r="V185" i="41"/>
  <c r="AC185" i="41" s="1"/>
  <c r="Y184" i="41"/>
  <c r="X184" i="41"/>
  <c r="W184" i="41"/>
  <c r="V184" i="41"/>
  <c r="AC184" i="41" s="1"/>
  <c r="Y183" i="41"/>
  <c r="W183" i="41"/>
  <c r="V183" i="41"/>
  <c r="Y182" i="41"/>
  <c r="W182" i="41"/>
  <c r="V182" i="41"/>
  <c r="Y181" i="41"/>
  <c r="X181" i="41"/>
  <c r="W181" i="41"/>
  <c r="V181" i="41"/>
  <c r="Y180" i="41"/>
  <c r="X180" i="41"/>
  <c r="W180" i="41"/>
  <c r="V180" i="41"/>
  <c r="AC180" i="41" s="1"/>
  <c r="Y179" i="41"/>
  <c r="X179" i="41"/>
  <c r="W179" i="41"/>
  <c r="V179" i="41"/>
  <c r="Y178" i="41"/>
  <c r="X178" i="41"/>
  <c r="W178" i="41"/>
  <c r="Y177" i="41"/>
  <c r="X177" i="41"/>
  <c r="W177" i="41"/>
  <c r="V177" i="41"/>
  <c r="AC177" i="41" s="1"/>
  <c r="Y176" i="41"/>
  <c r="X176" i="41"/>
  <c r="W176" i="41"/>
  <c r="V176" i="41"/>
  <c r="Y175" i="41"/>
  <c r="X175" i="41"/>
  <c r="W175" i="41"/>
  <c r="V175" i="41"/>
  <c r="Y174" i="41"/>
  <c r="X174" i="41"/>
  <c r="W174" i="41"/>
  <c r="V174" i="41"/>
  <c r="AC174" i="41" s="1"/>
  <c r="Y173" i="41"/>
  <c r="X173" i="41"/>
  <c r="W173" i="41"/>
  <c r="V173" i="41"/>
  <c r="Y172" i="41"/>
  <c r="X172" i="41"/>
  <c r="W172" i="41"/>
  <c r="AC171" i="41"/>
  <c r="AB171" i="41"/>
  <c r="AA171" i="41"/>
  <c r="Z171" i="41"/>
  <c r="Y171" i="41"/>
  <c r="X171" i="41"/>
  <c r="W171" i="41"/>
  <c r="V171" i="41"/>
  <c r="Y169" i="41"/>
  <c r="X169" i="41"/>
  <c r="W169" i="41"/>
  <c r="V169" i="41"/>
  <c r="AC169" i="41" s="1"/>
  <c r="Y168" i="41"/>
  <c r="X168" i="41"/>
  <c r="W168" i="41"/>
  <c r="Y167" i="41"/>
  <c r="X167" i="41"/>
  <c r="W167" i="41"/>
  <c r="Y166" i="41"/>
  <c r="X166" i="41"/>
  <c r="W166" i="41"/>
  <c r="Y165" i="41"/>
  <c r="X165" i="41"/>
  <c r="W165" i="41"/>
  <c r="V165" i="41"/>
  <c r="Y164" i="41"/>
  <c r="X164" i="41"/>
  <c r="W164" i="41"/>
  <c r="Y163" i="41"/>
  <c r="X163" i="41"/>
  <c r="W163" i="41"/>
  <c r="V163" i="41"/>
  <c r="Y162" i="41"/>
  <c r="X162" i="41"/>
  <c r="AC162" i="41" s="1"/>
  <c r="W162" i="41"/>
  <c r="V162" i="41"/>
  <c r="Y161" i="41"/>
  <c r="Y160" i="41"/>
  <c r="X160" i="41"/>
  <c r="W160" i="41"/>
  <c r="AC159" i="41"/>
  <c r="Y159" i="41"/>
  <c r="X159" i="41"/>
  <c r="W159" i="41"/>
  <c r="V159" i="41"/>
  <c r="Y158" i="41"/>
  <c r="X158" i="41"/>
  <c r="W158" i="41"/>
  <c r="V158" i="41"/>
  <c r="AC158" i="41" s="1"/>
  <c r="Y157" i="41"/>
  <c r="X157" i="41"/>
  <c r="V157" i="41"/>
  <c r="Y156" i="41"/>
  <c r="Y170" i="41" s="1"/>
  <c r="X156" i="41"/>
  <c r="W156" i="41"/>
  <c r="V156" i="41"/>
  <c r="AC155" i="41"/>
  <c r="AB155" i="41"/>
  <c r="AA155" i="41"/>
  <c r="Z155" i="41"/>
  <c r="Y155" i="41"/>
  <c r="X155" i="41"/>
  <c r="W155" i="41"/>
  <c r="V155" i="41"/>
  <c r="AB154" i="41"/>
  <c r="AA154" i="41"/>
  <c r="Z154" i="41"/>
  <c r="Y153" i="41"/>
  <c r="X153" i="41"/>
  <c r="W153" i="41"/>
  <c r="Y152" i="41"/>
  <c r="X152" i="41"/>
  <c r="W152" i="41"/>
  <c r="V152" i="41"/>
  <c r="Y151" i="41"/>
  <c r="X151" i="41"/>
  <c r="W151" i="41"/>
  <c r="V151" i="41"/>
  <c r="AC151" i="41" s="1"/>
  <c r="Y150" i="41"/>
  <c r="X150" i="41"/>
  <c r="W150" i="41"/>
  <c r="Y149" i="41"/>
  <c r="X149" i="41"/>
  <c r="W149" i="41"/>
  <c r="Y148" i="41"/>
  <c r="X148" i="41"/>
  <c r="W148" i="41"/>
  <c r="Y147" i="41"/>
  <c r="X147" i="41"/>
  <c r="W147" i="41"/>
  <c r="Y146" i="41"/>
  <c r="X146" i="41"/>
  <c r="W146" i="41"/>
  <c r="V146" i="41"/>
  <c r="Y145" i="41"/>
  <c r="X145" i="41"/>
  <c r="W145" i="41"/>
  <c r="V145" i="41"/>
  <c r="AC145" i="41" s="1"/>
  <c r="Y144" i="41"/>
  <c r="X144" i="41"/>
  <c r="X154" i="41" s="1"/>
  <c r="W144" i="41"/>
  <c r="AC143" i="41"/>
  <c r="AB143" i="41"/>
  <c r="AA143" i="41"/>
  <c r="Z143" i="41"/>
  <c r="Y143" i="41"/>
  <c r="X143" i="41"/>
  <c r="W143" i="41"/>
  <c r="V143" i="41"/>
  <c r="Y140" i="41"/>
  <c r="Y139" i="41"/>
  <c r="X139" i="41"/>
  <c r="W139" i="41"/>
  <c r="V139" i="41"/>
  <c r="Y138" i="41"/>
  <c r="AC138" i="41" s="1"/>
  <c r="X138" i="41"/>
  <c r="W138" i="41"/>
  <c r="V138" i="41"/>
  <c r="Y137" i="41"/>
  <c r="X137" i="41"/>
  <c r="V137" i="41"/>
  <c r="W137" i="41"/>
  <c r="Y136" i="41"/>
  <c r="AA135" i="41"/>
  <c r="W135" i="41"/>
  <c r="Y133" i="41"/>
  <c r="AB131" i="41"/>
  <c r="AB130" i="41"/>
  <c r="AA130" i="41"/>
  <c r="AA140" i="41" s="1"/>
  <c r="Z130" i="41"/>
  <c r="Z131" i="41" s="1"/>
  <c r="Y130" i="41"/>
  <c r="W130" i="41"/>
  <c r="Y129" i="41"/>
  <c r="X129" i="41"/>
  <c r="W129" i="41"/>
  <c r="V129" i="41"/>
  <c r="AC129" i="41" s="1"/>
  <c r="Y128" i="41"/>
  <c r="X128" i="41"/>
  <c r="W128" i="41"/>
  <c r="AC128" i="41" s="1"/>
  <c r="V128" i="41"/>
  <c r="Y127" i="41"/>
  <c r="X127" i="41"/>
  <c r="W127" i="41"/>
  <c r="AC127" i="41" s="1"/>
  <c r="V127" i="41"/>
  <c r="Y126" i="41"/>
  <c r="X126" i="41"/>
  <c r="W126" i="41"/>
  <c r="V126" i="41"/>
  <c r="Y125" i="41"/>
  <c r="X125" i="41"/>
  <c r="W125" i="41"/>
  <c r="V125" i="41"/>
  <c r="AC125" i="41" s="1"/>
  <c r="Y124" i="41"/>
  <c r="X124" i="41"/>
  <c r="W124" i="41"/>
  <c r="V124" i="41"/>
  <c r="Y123" i="41"/>
  <c r="X123" i="41"/>
  <c r="W123" i="41"/>
  <c r="V123" i="41"/>
  <c r="AB121" i="41"/>
  <c r="AA121" i="41"/>
  <c r="Z121" i="41"/>
  <c r="Y120" i="41"/>
  <c r="X120" i="41"/>
  <c r="W120" i="41"/>
  <c r="V120" i="41"/>
  <c r="AC120" i="41" s="1"/>
  <c r="Y119" i="41"/>
  <c r="X119" i="41"/>
  <c r="W119" i="41"/>
  <c r="Z118" i="41"/>
  <c r="Y118" i="41"/>
  <c r="V118" i="41"/>
  <c r="AC118" i="41" s="1"/>
  <c r="X118" i="41"/>
  <c r="W118" i="41"/>
  <c r="Y117" i="41"/>
  <c r="X117" i="41"/>
  <c r="W117" i="41"/>
  <c r="V117" i="41"/>
  <c r="AC117" i="41" s="1"/>
  <c r="Y116" i="41"/>
  <c r="X116" i="41"/>
  <c r="W116" i="41"/>
  <c r="V116" i="41"/>
  <c r="Y115" i="41"/>
  <c r="X115" i="41"/>
  <c r="V115" i="41"/>
  <c r="Y114" i="41"/>
  <c r="X114" i="41"/>
  <c r="W114" i="41"/>
  <c r="Y113" i="41"/>
  <c r="X113" i="41"/>
  <c r="W113" i="41"/>
  <c r="V113" i="41"/>
  <c r="AC113" i="41" s="1"/>
  <c r="Y112" i="41"/>
  <c r="X112" i="41"/>
  <c r="W112" i="41"/>
  <c r="V112" i="41"/>
  <c r="Y111" i="41"/>
  <c r="X111" i="41"/>
  <c r="W111" i="41"/>
  <c r="Y110" i="41"/>
  <c r="X110" i="41"/>
  <c r="W110" i="41"/>
  <c r="V110" i="41"/>
  <c r="AC110" i="41" s="1"/>
  <c r="Y109" i="41"/>
  <c r="X109" i="41"/>
  <c r="W109" i="41"/>
  <c r="V109" i="41"/>
  <c r="Y108" i="41"/>
  <c r="X108" i="41"/>
  <c r="W108" i="41"/>
  <c r="V108" i="41"/>
  <c r="Y107" i="41"/>
  <c r="X107" i="41"/>
  <c r="W107" i="41"/>
  <c r="V107" i="41"/>
  <c r="AC105" i="41"/>
  <c r="AB105" i="41"/>
  <c r="AA105" i="41"/>
  <c r="Z105" i="41"/>
  <c r="Y105" i="41"/>
  <c r="X105" i="41"/>
  <c r="W105" i="41"/>
  <c r="V105" i="41"/>
  <c r="Z103" i="41"/>
  <c r="Y102" i="41"/>
  <c r="X102" i="41"/>
  <c r="W102" i="41"/>
  <c r="V102" i="41"/>
  <c r="AC102" i="41" s="1"/>
  <c r="Y101" i="41"/>
  <c r="X101" i="41"/>
  <c r="W101" i="41"/>
  <c r="V101" i="41"/>
  <c r="AC101" i="41" s="1"/>
  <c r="AB100" i="41"/>
  <c r="AB103" i="41" s="1"/>
  <c r="AA100" i="41"/>
  <c r="AA103" i="41" s="1"/>
  <c r="Z100" i="41"/>
  <c r="Y100" i="41"/>
  <c r="X100" i="41"/>
  <c r="W100" i="41"/>
  <c r="V100" i="41"/>
  <c r="Y99" i="41"/>
  <c r="X99" i="41"/>
  <c r="W99" i="41"/>
  <c r="V99" i="41"/>
  <c r="V103" i="41" s="1"/>
  <c r="Y95" i="41"/>
  <c r="X95" i="41"/>
  <c r="W95" i="41"/>
  <c r="V95" i="41"/>
  <c r="Y94" i="41"/>
  <c r="X94" i="41"/>
  <c r="W94" i="41"/>
  <c r="V94" i="41"/>
  <c r="AC94" i="41" s="1"/>
  <c r="Y93" i="41"/>
  <c r="X93" i="41"/>
  <c r="W93" i="41"/>
  <c r="V93" i="41"/>
  <c r="Y92" i="41"/>
  <c r="X92" i="41"/>
  <c r="X96" i="41" s="1"/>
  <c r="W92" i="41"/>
  <c r="V92" i="41"/>
  <c r="AB90" i="41"/>
  <c r="AA90" i="41"/>
  <c r="Z90" i="41"/>
  <c r="Y89" i="41"/>
  <c r="X89" i="41"/>
  <c r="W89" i="41"/>
  <c r="V89" i="41"/>
  <c r="Y88" i="41"/>
  <c r="X88" i="41"/>
  <c r="W88" i="41"/>
  <c r="V88" i="41"/>
  <c r="Y87" i="41"/>
  <c r="X87" i="41"/>
  <c r="W87" i="41"/>
  <c r="V87" i="41"/>
  <c r="AC87" i="41" s="1"/>
  <c r="Y86" i="41"/>
  <c r="X86" i="41"/>
  <c r="W86" i="41"/>
  <c r="V86" i="41"/>
  <c r="Y85" i="41"/>
  <c r="X85" i="41"/>
  <c r="W85" i="41"/>
  <c r="V85" i="41"/>
  <c r="Y84" i="41"/>
  <c r="W84" i="41"/>
  <c r="V84" i="41"/>
  <c r="Y83" i="41"/>
  <c r="W83" i="41"/>
  <c r="V83" i="41"/>
  <c r="Y82" i="41"/>
  <c r="X82" i="41"/>
  <c r="W82" i="41"/>
  <c r="V82" i="41"/>
  <c r="AC82" i="41" s="1"/>
  <c r="AB80" i="41"/>
  <c r="AA80" i="41"/>
  <c r="Z80" i="41"/>
  <c r="Y79" i="41"/>
  <c r="X79" i="41"/>
  <c r="V79" i="41"/>
  <c r="Y78" i="41"/>
  <c r="X78" i="41"/>
  <c r="W78" i="41"/>
  <c r="V78" i="41"/>
  <c r="AC78" i="41" s="1"/>
  <c r="Y77" i="41"/>
  <c r="X77" i="41"/>
  <c r="W77" i="41"/>
  <c r="Y76" i="41"/>
  <c r="X76" i="41"/>
  <c r="W76" i="41"/>
  <c r="V76" i="41"/>
  <c r="Y75" i="41"/>
  <c r="X75" i="41"/>
  <c r="W75" i="41"/>
  <c r="Y74" i="41"/>
  <c r="X74" i="41"/>
  <c r="X80" i="41" s="1"/>
  <c r="W74" i="41"/>
  <c r="AC72" i="41"/>
  <c r="AB72" i="41"/>
  <c r="AA72" i="41"/>
  <c r="Z72" i="41"/>
  <c r="Y72" i="41"/>
  <c r="X72" i="41"/>
  <c r="W72" i="41"/>
  <c r="V72" i="41"/>
  <c r="AA64" i="41"/>
  <c r="AA63" i="41"/>
  <c r="AA65" i="41" s="1"/>
  <c r="Z63" i="41"/>
  <c r="Y63" i="41"/>
  <c r="AB61" i="41"/>
  <c r="AB64" i="41" s="1"/>
  <c r="AA61" i="41"/>
  <c r="Z61" i="41"/>
  <c r="Z64" i="41" s="1"/>
  <c r="Y60" i="41"/>
  <c r="X60" i="41"/>
  <c r="W60" i="41"/>
  <c r="V60" i="41"/>
  <c r="Y59" i="41"/>
  <c r="X59" i="41"/>
  <c r="W59" i="41"/>
  <c r="V59" i="41"/>
  <c r="AC59" i="41" s="1"/>
  <c r="Y58" i="41"/>
  <c r="X58" i="41"/>
  <c r="W58" i="41"/>
  <c r="V58" i="41"/>
  <c r="AC58" i="41" s="1"/>
  <c r="Y57" i="41"/>
  <c r="X57" i="41"/>
  <c r="W57" i="41"/>
  <c r="V57" i="41"/>
  <c r="Y56" i="41"/>
  <c r="X56" i="41"/>
  <c r="W56" i="41"/>
  <c r="V56" i="41"/>
  <c r="AC56" i="41" s="1"/>
  <c r="Y55" i="41"/>
  <c r="X55" i="41"/>
  <c r="W55" i="41"/>
  <c r="V55" i="41"/>
  <c r="Y54" i="41"/>
  <c r="X54" i="41"/>
  <c r="W54" i="41"/>
  <c r="V54" i="41"/>
  <c r="Y53" i="41"/>
  <c r="X53" i="41"/>
  <c r="W53" i="41"/>
  <c r="V53" i="41"/>
  <c r="Y52" i="41"/>
  <c r="X52" i="41"/>
  <c r="W52" i="41"/>
  <c r="V52" i="41"/>
  <c r="AC51" i="41"/>
  <c r="Y51" i="41"/>
  <c r="X51" i="41"/>
  <c r="W51" i="41"/>
  <c r="V51" i="41"/>
  <c r="Y50" i="41"/>
  <c r="X50" i="41"/>
  <c r="W50" i="41"/>
  <c r="V50" i="41"/>
  <c r="AC50" i="41" s="1"/>
  <c r="Y49" i="41"/>
  <c r="X49" i="41"/>
  <c r="W49" i="41"/>
  <c r="V49" i="41"/>
  <c r="AC49" i="41" s="1"/>
  <c r="Y48" i="41"/>
  <c r="X48" i="41"/>
  <c r="W48" i="41"/>
  <c r="V48" i="41"/>
  <c r="AC48" i="41" s="1"/>
  <c r="Y47" i="41"/>
  <c r="X47" i="41"/>
  <c r="W47" i="41"/>
  <c r="V47" i="41"/>
  <c r="Y46" i="41"/>
  <c r="X46" i="41"/>
  <c r="AC46" i="41" s="1"/>
  <c r="W46" i="41"/>
  <c r="V46" i="41"/>
  <c r="Y45" i="41"/>
  <c r="X45" i="41"/>
  <c r="W45" i="41"/>
  <c r="V45" i="41"/>
  <c r="Y44" i="41"/>
  <c r="X44" i="41"/>
  <c r="W44" i="41"/>
  <c r="V44" i="41"/>
  <c r="AC44" i="41" s="1"/>
  <c r="Y43" i="41"/>
  <c r="X43" i="41"/>
  <c r="W43" i="41"/>
  <c r="V43" i="41"/>
  <c r="Y42" i="41"/>
  <c r="X42" i="41"/>
  <c r="W42" i="41"/>
  <c r="V42" i="41"/>
  <c r="AC42" i="41" s="1"/>
  <c r="Y41" i="41"/>
  <c r="X41" i="41"/>
  <c r="W41" i="41"/>
  <c r="V41" i="41"/>
  <c r="Y40" i="41"/>
  <c r="X40" i="41"/>
  <c r="W40" i="41"/>
  <c r="V40" i="41"/>
  <c r="Y39" i="41"/>
  <c r="X39" i="41"/>
  <c r="W39" i="41"/>
  <c r="V39" i="41"/>
  <c r="V61" i="41" s="1"/>
  <c r="V64" i="41" s="1"/>
  <c r="AC38" i="41"/>
  <c r="AB38" i="41"/>
  <c r="AA38" i="41"/>
  <c r="Z38" i="41"/>
  <c r="Y38" i="41"/>
  <c r="X38" i="41"/>
  <c r="W38" i="41"/>
  <c r="V38" i="41"/>
  <c r="AB36" i="41"/>
  <c r="AB140" i="41" s="1"/>
  <c r="AA36" i="41"/>
  <c r="Z36" i="41"/>
  <c r="Z135" i="41" s="1"/>
  <c r="Y35" i="41"/>
  <c r="X35" i="41"/>
  <c r="W35" i="41"/>
  <c r="V35" i="41"/>
  <c r="AC35" i="41" s="1"/>
  <c r="AC34" i="41"/>
  <c r="Y34" i="41"/>
  <c r="X34" i="41"/>
  <c r="W34" i="41"/>
  <c r="V34" i="41"/>
  <c r="Y33" i="41"/>
  <c r="X33" i="41"/>
  <c r="W33" i="41"/>
  <c r="V33" i="41"/>
  <c r="AC33" i="41" s="1"/>
  <c r="Y32" i="41"/>
  <c r="X32" i="41"/>
  <c r="W32" i="41"/>
  <c r="V32" i="41"/>
  <c r="AC32" i="41" s="1"/>
  <c r="Y31" i="41"/>
  <c r="X31" i="41"/>
  <c r="W31" i="41"/>
  <c r="V31" i="41"/>
  <c r="AC31" i="41" s="1"/>
  <c r="Y30" i="41"/>
  <c r="X30" i="41"/>
  <c r="W30" i="41"/>
  <c r="V30" i="41"/>
  <c r="AC30" i="41" s="1"/>
  <c r="Y29" i="41"/>
  <c r="X29" i="41"/>
  <c r="W29" i="41"/>
  <c r="V29" i="41"/>
  <c r="Y28" i="41"/>
  <c r="X28" i="41"/>
  <c r="W28" i="41"/>
  <c r="V28" i="41"/>
  <c r="Y27" i="41"/>
  <c r="X27" i="41"/>
  <c r="W27" i="41"/>
  <c r="W36" i="41" s="1"/>
  <c r="W63" i="41" s="1"/>
  <c r="V27" i="41"/>
  <c r="AC27" i="41" s="1"/>
  <c r="AC26" i="41"/>
  <c r="AB26" i="41"/>
  <c r="AA26" i="41"/>
  <c r="Z26" i="41"/>
  <c r="Y26" i="41"/>
  <c r="X26" i="41"/>
  <c r="W26" i="41"/>
  <c r="V26" i="41"/>
  <c r="Y24" i="41"/>
  <c r="X24" i="41"/>
  <c r="W24" i="41"/>
  <c r="V24" i="41"/>
  <c r="Y23" i="41"/>
  <c r="W23" i="41"/>
  <c r="V23" i="41"/>
  <c r="Y22" i="41"/>
  <c r="X22" i="41"/>
  <c r="W22" i="41"/>
  <c r="V22" i="41"/>
  <c r="AC22" i="41" s="1"/>
  <c r="Y21" i="41"/>
  <c r="X21" i="41"/>
  <c r="W21" i="41"/>
  <c r="V21" i="41"/>
  <c r="Y20" i="41"/>
  <c r="X20" i="41"/>
  <c r="W20" i="41"/>
  <c r="V20" i="41"/>
  <c r="AC20" i="41" s="1"/>
  <c r="AC19" i="41"/>
  <c r="AB19" i="41"/>
  <c r="AA19" i="41"/>
  <c r="Z19" i="41"/>
  <c r="Y19" i="41"/>
  <c r="X19" i="41"/>
  <c r="W19" i="41"/>
  <c r="V19" i="41"/>
  <c r="AB17" i="41"/>
  <c r="AA17" i="41"/>
  <c r="Z17" i="41"/>
  <c r="X17" i="41"/>
  <c r="W17" i="41"/>
  <c r="V16" i="41"/>
  <c r="AC16" i="41" s="1"/>
  <c r="V15" i="41"/>
  <c r="AC15" i="41" s="1"/>
  <c r="V14" i="41"/>
  <c r="AC14" i="41" s="1"/>
  <c r="V13" i="41"/>
  <c r="AC13" i="41" s="1"/>
  <c r="V12" i="41"/>
  <c r="AC12" i="41" s="1"/>
  <c r="V11" i="41"/>
  <c r="AC11" i="41" s="1"/>
  <c r="V10" i="41"/>
  <c r="AC10" i="41" s="1"/>
  <c r="V9" i="41"/>
  <c r="AC9" i="41" s="1"/>
  <c r="V8" i="41"/>
  <c r="AC8" i="41" s="1"/>
  <c r="V6" i="41"/>
  <c r="AC6" i="41" s="1"/>
  <c r="V5" i="41"/>
  <c r="AC5" i="41" s="1"/>
  <c r="V4" i="41"/>
  <c r="AC4" i="41" s="1"/>
  <c r="Y217" i="40"/>
  <c r="X217" i="40"/>
  <c r="W217" i="40"/>
  <c r="V217" i="40"/>
  <c r="S217" i="40"/>
  <c r="I217" i="40"/>
  <c r="Y216" i="40"/>
  <c r="X216" i="40"/>
  <c r="W216" i="40"/>
  <c r="V216" i="40"/>
  <c r="Y215" i="40"/>
  <c r="X215" i="40"/>
  <c r="W215" i="40"/>
  <c r="V215" i="40"/>
  <c r="Y214" i="40"/>
  <c r="X214" i="40"/>
  <c r="W214" i="40"/>
  <c r="V214" i="40"/>
  <c r="AC214" i="40" s="1"/>
  <c r="Y213" i="40"/>
  <c r="X213" i="40"/>
  <c r="W213" i="40"/>
  <c r="V213" i="40"/>
  <c r="AC213" i="40" s="1"/>
  <c r="Y212" i="40"/>
  <c r="X212" i="40"/>
  <c r="W212" i="40"/>
  <c r="E218" i="40"/>
  <c r="AB208" i="40"/>
  <c r="AA208" i="40"/>
  <c r="Z208" i="40"/>
  <c r="Y207" i="40"/>
  <c r="X207" i="40"/>
  <c r="W207" i="40"/>
  <c r="V207" i="40"/>
  <c r="AC207" i="40" s="1"/>
  <c r="Y206" i="40"/>
  <c r="X206" i="40"/>
  <c r="W206" i="40"/>
  <c r="AC206" i="40" s="1"/>
  <c r="V206" i="40"/>
  <c r="Y205" i="40"/>
  <c r="X205" i="40"/>
  <c r="W205" i="40"/>
  <c r="V205" i="40"/>
  <c r="Y204" i="40"/>
  <c r="X204" i="40"/>
  <c r="W204" i="40"/>
  <c r="V204" i="40"/>
  <c r="Y203" i="40"/>
  <c r="X203" i="40"/>
  <c r="W203" i="40"/>
  <c r="Y202" i="40"/>
  <c r="X202" i="40"/>
  <c r="W202" i="40"/>
  <c r="V202" i="40"/>
  <c r="AC202" i="40" s="1"/>
  <c r="Y201" i="40"/>
  <c r="X201" i="40"/>
  <c r="W201" i="40"/>
  <c r="V201" i="40"/>
  <c r="Y200" i="40"/>
  <c r="X200" i="40"/>
  <c r="W200" i="40"/>
  <c r="V200" i="40"/>
  <c r="Y199" i="40"/>
  <c r="X199" i="40"/>
  <c r="W199" i="40"/>
  <c r="V199" i="40"/>
  <c r="Y198" i="40"/>
  <c r="X198" i="40"/>
  <c r="W198" i="40"/>
  <c r="V198" i="40"/>
  <c r="AC197" i="40"/>
  <c r="AB197" i="40"/>
  <c r="AA197" i="40"/>
  <c r="Z197" i="40"/>
  <c r="Y197" i="40"/>
  <c r="X197" i="40"/>
  <c r="W197" i="40"/>
  <c r="V197" i="40"/>
  <c r="AB196" i="40"/>
  <c r="AA196" i="40"/>
  <c r="Z196" i="40"/>
  <c r="Y195" i="40"/>
  <c r="X195" i="40"/>
  <c r="W195" i="40"/>
  <c r="AC194" i="40"/>
  <c r="Y194" i="40"/>
  <c r="X194" i="40"/>
  <c r="W194" i="40"/>
  <c r="V194" i="40"/>
  <c r="Y193" i="40"/>
  <c r="X193" i="40"/>
  <c r="W193" i="40"/>
  <c r="V193" i="40"/>
  <c r="AC193" i="40" s="1"/>
  <c r="Y192" i="40"/>
  <c r="X192" i="40"/>
  <c r="W192" i="40"/>
  <c r="V192" i="40"/>
  <c r="Y191" i="40"/>
  <c r="X191" i="40"/>
  <c r="W191" i="40"/>
  <c r="V191" i="40"/>
  <c r="Y190" i="40"/>
  <c r="X190" i="40"/>
  <c r="W190" i="40"/>
  <c r="V190" i="40"/>
  <c r="Y189" i="40"/>
  <c r="X189" i="40"/>
  <c r="W189" i="40"/>
  <c r="V189" i="40"/>
  <c r="AC189" i="40" s="1"/>
  <c r="Y188" i="40"/>
  <c r="X188" i="40"/>
  <c r="W188" i="40"/>
  <c r="V188" i="40"/>
  <c r="Y187" i="40"/>
  <c r="X187" i="40"/>
  <c r="W187" i="40"/>
  <c r="Y186" i="40"/>
  <c r="X186" i="40"/>
  <c r="W186" i="40"/>
  <c r="V186" i="40"/>
  <c r="AC186" i="40" s="1"/>
  <c r="Y185" i="40"/>
  <c r="X185" i="40"/>
  <c r="W185" i="40"/>
  <c r="V185" i="40"/>
  <c r="Y184" i="40"/>
  <c r="X184" i="40"/>
  <c r="W184" i="40"/>
  <c r="V184" i="40"/>
  <c r="Y183" i="40"/>
  <c r="W183" i="40"/>
  <c r="V183" i="40"/>
  <c r="Y182" i="40"/>
  <c r="W182" i="40"/>
  <c r="V182" i="40"/>
  <c r="Y181" i="40"/>
  <c r="X181" i="40"/>
  <c r="W181" i="40"/>
  <c r="V181" i="40"/>
  <c r="Y180" i="40"/>
  <c r="X180" i="40"/>
  <c r="W180" i="40"/>
  <c r="V180" i="40"/>
  <c r="AC180" i="40" s="1"/>
  <c r="Y179" i="40"/>
  <c r="X179" i="40"/>
  <c r="W179" i="40"/>
  <c r="V179" i="40"/>
  <c r="Y178" i="40"/>
  <c r="X178" i="40"/>
  <c r="W178" i="40"/>
  <c r="Y177" i="40"/>
  <c r="X177" i="40"/>
  <c r="W177" i="40"/>
  <c r="V177" i="40"/>
  <c r="Y176" i="40"/>
  <c r="X176" i="40"/>
  <c r="W176" i="40"/>
  <c r="V176" i="40"/>
  <c r="Y175" i="40"/>
  <c r="X175" i="40"/>
  <c r="W175" i="40"/>
  <c r="V175" i="40"/>
  <c r="Y174" i="40"/>
  <c r="X174" i="40"/>
  <c r="W174" i="40"/>
  <c r="AC174" i="40" s="1"/>
  <c r="V174" i="40"/>
  <c r="Y173" i="40"/>
  <c r="X173" i="40"/>
  <c r="W173" i="40"/>
  <c r="V173" i="40"/>
  <c r="Y172" i="40"/>
  <c r="X172" i="40"/>
  <c r="W172" i="40"/>
  <c r="AC171" i="40"/>
  <c r="AB171" i="40"/>
  <c r="AA171" i="40"/>
  <c r="Z171" i="40"/>
  <c r="Y171" i="40"/>
  <c r="X171" i="40"/>
  <c r="W171" i="40"/>
  <c r="V171" i="40"/>
  <c r="Y169" i="40"/>
  <c r="X169" i="40"/>
  <c r="W169" i="40"/>
  <c r="V169" i="40"/>
  <c r="Y168" i="40"/>
  <c r="X168" i="40"/>
  <c r="W168" i="40"/>
  <c r="Y167" i="40"/>
  <c r="X167" i="40"/>
  <c r="W167" i="40"/>
  <c r="Y166" i="40"/>
  <c r="X166" i="40"/>
  <c r="W166" i="40"/>
  <c r="Y165" i="40"/>
  <c r="X165" i="40"/>
  <c r="W165" i="40"/>
  <c r="V165" i="40"/>
  <c r="Y164" i="40"/>
  <c r="X164" i="40"/>
  <c r="W164" i="40"/>
  <c r="Y163" i="40"/>
  <c r="X163" i="40"/>
  <c r="W163" i="40"/>
  <c r="AC163" i="40" s="1"/>
  <c r="V163" i="40"/>
  <c r="Y162" i="40"/>
  <c r="X162" i="40"/>
  <c r="W162" i="40"/>
  <c r="V162" i="40"/>
  <c r="Y161" i="40"/>
  <c r="Y160" i="40"/>
  <c r="X160" i="40"/>
  <c r="W160" i="40"/>
  <c r="Y159" i="40"/>
  <c r="X159" i="40"/>
  <c r="W159" i="40"/>
  <c r="AC159" i="40" s="1"/>
  <c r="V159" i="40"/>
  <c r="Y158" i="40"/>
  <c r="X158" i="40"/>
  <c r="W158" i="40"/>
  <c r="V158" i="40"/>
  <c r="Y157" i="40"/>
  <c r="X157" i="40"/>
  <c r="V157" i="40"/>
  <c r="Y156" i="40"/>
  <c r="X156" i="40"/>
  <c r="W156" i="40"/>
  <c r="V156" i="40"/>
  <c r="AC155" i="40"/>
  <c r="AB155" i="40"/>
  <c r="AA155" i="40"/>
  <c r="Z155" i="40"/>
  <c r="Y155" i="40"/>
  <c r="X155" i="40"/>
  <c r="W155" i="40"/>
  <c r="V155" i="40"/>
  <c r="AB154" i="40"/>
  <c r="AA154" i="40"/>
  <c r="Z154" i="40"/>
  <c r="X154" i="40"/>
  <c r="O218" i="40"/>
  <c r="Y153" i="40"/>
  <c r="X153" i="40"/>
  <c r="W153" i="40"/>
  <c r="Y152" i="40"/>
  <c r="X152" i="40"/>
  <c r="W152" i="40"/>
  <c r="V152" i="40"/>
  <c r="Y151" i="40"/>
  <c r="X151" i="40"/>
  <c r="V151" i="40"/>
  <c r="Y150" i="40"/>
  <c r="X150" i="40"/>
  <c r="W150" i="40"/>
  <c r="Y149" i="40"/>
  <c r="X149" i="40"/>
  <c r="W149" i="40"/>
  <c r="Y148" i="40"/>
  <c r="X148" i="40"/>
  <c r="W148" i="40"/>
  <c r="Y147" i="40"/>
  <c r="X147" i="40"/>
  <c r="W147" i="40"/>
  <c r="Y146" i="40"/>
  <c r="X146" i="40"/>
  <c r="W146" i="40"/>
  <c r="V146" i="40"/>
  <c r="Y145" i="40"/>
  <c r="X145" i="40"/>
  <c r="W145" i="40"/>
  <c r="V145" i="40"/>
  <c r="Y144" i="40"/>
  <c r="X144" i="40"/>
  <c r="W144" i="40"/>
  <c r="AC143" i="40"/>
  <c r="AB143" i="40"/>
  <c r="AA143" i="40"/>
  <c r="Z143" i="40"/>
  <c r="Y143" i="40"/>
  <c r="X143" i="40"/>
  <c r="W143" i="40"/>
  <c r="V143" i="40"/>
  <c r="AA140" i="40"/>
  <c r="Y140" i="40"/>
  <c r="V140" i="40"/>
  <c r="Y139" i="40"/>
  <c r="X139" i="40"/>
  <c r="W139" i="40"/>
  <c r="V139" i="40"/>
  <c r="Y138" i="40"/>
  <c r="X138" i="40"/>
  <c r="W138" i="40"/>
  <c r="V138" i="40"/>
  <c r="Y137" i="40"/>
  <c r="X137" i="40"/>
  <c r="V137" i="40"/>
  <c r="W137" i="40"/>
  <c r="AC137" i="40" s="1"/>
  <c r="Y136" i="40"/>
  <c r="AB135" i="40"/>
  <c r="AA135" i="40"/>
  <c r="Z135" i="40"/>
  <c r="Y135" i="40"/>
  <c r="Y133" i="40"/>
  <c r="AB131" i="40"/>
  <c r="AA131" i="40"/>
  <c r="Z131" i="40"/>
  <c r="AB130" i="40"/>
  <c r="AA130" i="40"/>
  <c r="Z130" i="40"/>
  <c r="Y130" i="40"/>
  <c r="X130" i="40"/>
  <c r="V130" i="40"/>
  <c r="AC130" i="40" s="1"/>
  <c r="W130" i="40"/>
  <c r="Y129" i="40"/>
  <c r="X129" i="40"/>
  <c r="V129" i="40"/>
  <c r="Y128" i="40"/>
  <c r="X128" i="40"/>
  <c r="W128" i="40"/>
  <c r="V128" i="40"/>
  <c r="Y127" i="40"/>
  <c r="X127" i="40"/>
  <c r="W127" i="40"/>
  <c r="V127" i="40"/>
  <c r="Y126" i="40"/>
  <c r="X126" i="40"/>
  <c r="W126" i="40"/>
  <c r="V126" i="40"/>
  <c r="Y125" i="40"/>
  <c r="X125" i="40"/>
  <c r="W125" i="40"/>
  <c r="V125" i="40"/>
  <c r="AC125" i="40" s="1"/>
  <c r="Y124" i="40"/>
  <c r="X124" i="40"/>
  <c r="W124" i="40"/>
  <c r="V124" i="40"/>
  <c r="Y123" i="40"/>
  <c r="X123" i="40"/>
  <c r="W123" i="40"/>
  <c r="V123" i="40"/>
  <c r="AB121" i="40"/>
  <c r="AB132" i="40" s="1"/>
  <c r="AA121" i="40"/>
  <c r="AA132" i="40" s="1"/>
  <c r="AA133" i="40" s="1"/>
  <c r="Z121" i="40"/>
  <c r="Z132" i="40" s="1"/>
  <c r="Z133" i="40" s="1"/>
  <c r="Y120" i="40"/>
  <c r="X120" i="40"/>
  <c r="W120" i="40"/>
  <c r="V120" i="40"/>
  <c r="AC120" i="40" s="1"/>
  <c r="Y119" i="40"/>
  <c r="X119" i="40"/>
  <c r="W119" i="40"/>
  <c r="Z118" i="40"/>
  <c r="Y118" i="40"/>
  <c r="W118" i="40"/>
  <c r="Y117" i="40"/>
  <c r="X117" i="40"/>
  <c r="W117" i="40"/>
  <c r="Y116" i="40"/>
  <c r="X116" i="40"/>
  <c r="W116" i="40"/>
  <c r="V116" i="40"/>
  <c r="Y115" i="40"/>
  <c r="X115" i="40"/>
  <c r="V115" i="40"/>
  <c r="Y114" i="40"/>
  <c r="X114" i="40"/>
  <c r="W114" i="40"/>
  <c r="Y113" i="40"/>
  <c r="X113" i="40"/>
  <c r="W113" i="40"/>
  <c r="Y112" i="40"/>
  <c r="X112" i="40"/>
  <c r="W112" i="40"/>
  <c r="AC112" i="40" s="1"/>
  <c r="V112" i="40"/>
  <c r="Y111" i="40"/>
  <c r="X111" i="40"/>
  <c r="W111" i="40"/>
  <c r="V111" i="40"/>
  <c r="AC111" i="40" s="1"/>
  <c r="Y110" i="40"/>
  <c r="X110" i="40"/>
  <c r="W110" i="40"/>
  <c r="V110" i="40"/>
  <c r="AC110" i="40" s="1"/>
  <c r="Y109" i="40"/>
  <c r="X109" i="40"/>
  <c r="W109" i="40"/>
  <c r="Y108" i="40"/>
  <c r="X108" i="40"/>
  <c r="W108" i="40"/>
  <c r="Y107" i="40"/>
  <c r="X107" i="40"/>
  <c r="W107" i="40"/>
  <c r="AC105" i="40"/>
  <c r="AB105" i="40"/>
  <c r="AA105" i="40"/>
  <c r="Z105" i="40"/>
  <c r="Y105" i="40"/>
  <c r="X105" i="40"/>
  <c r="W105" i="40"/>
  <c r="V105" i="40"/>
  <c r="AA103" i="40"/>
  <c r="Y102" i="40"/>
  <c r="X102" i="40"/>
  <c r="W102" i="40"/>
  <c r="V102" i="40"/>
  <c r="Y101" i="40"/>
  <c r="X101" i="40"/>
  <c r="W101" i="40"/>
  <c r="V101" i="40"/>
  <c r="AB100" i="40"/>
  <c r="AB103" i="40" s="1"/>
  <c r="AA100" i="40"/>
  <c r="Z100" i="40"/>
  <c r="Z103" i="40" s="1"/>
  <c r="Y100" i="40"/>
  <c r="X100" i="40"/>
  <c r="W100" i="40"/>
  <c r="AC100" i="40" s="1"/>
  <c r="V100" i="40"/>
  <c r="Y99" i="40"/>
  <c r="Y103" i="40" s="1"/>
  <c r="X99" i="40"/>
  <c r="W99" i="40"/>
  <c r="V99" i="40"/>
  <c r="Y95" i="40"/>
  <c r="X95" i="40"/>
  <c r="W95" i="40"/>
  <c r="V95" i="40"/>
  <c r="AC95" i="40" s="1"/>
  <c r="Y94" i="40"/>
  <c r="X94" i="40"/>
  <c r="W94" i="40"/>
  <c r="V94" i="40"/>
  <c r="Y93" i="40"/>
  <c r="X93" i="40"/>
  <c r="W93" i="40"/>
  <c r="V93" i="40"/>
  <c r="Y92" i="40"/>
  <c r="X92" i="40"/>
  <c r="W92" i="40"/>
  <c r="V92" i="40"/>
  <c r="AC92" i="40" s="1"/>
  <c r="AB90" i="40"/>
  <c r="AA90" i="40"/>
  <c r="Z90" i="40"/>
  <c r="Y89" i="40"/>
  <c r="X89" i="40"/>
  <c r="W89" i="40"/>
  <c r="V89" i="40"/>
  <c r="Y88" i="40"/>
  <c r="X88" i="40"/>
  <c r="W88" i="40"/>
  <c r="V88" i="40"/>
  <c r="Y87" i="40"/>
  <c r="X87" i="40"/>
  <c r="W87" i="40"/>
  <c r="V87" i="40"/>
  <c r="AC87" i="40" s="1"/>
  <c r="Y86" i="40"/>
  <c r="X86" i="40"/>
  <c r="W86" i="40"/>
  <c r="V86" i="40"/>
  <c r="AC86" i="40" s="1"/>
  <c r="Y85" i="40"/>
  <c r="X85" i="40"/>
  <c r="W85" i="40"/>
  <c r="V85" i="40"/>
  <c r="Y84" i="40"/>
  <c r="W84" i="40"/>
  <c r="V84" i="40"/>
  <c r="Y83" i="40"/>
  <c r="W83" i="40"/>
  <c r="V83" i="40"/>
  <c r="V90" i="40" s="1"/>
  <c r="Y82" i="40"/>
  <c r="X82" i="40"/>
  <c r="W82" i="40"/>
  <c r="V82" i="40"/>
  <c r="AB80" i="40"/>
  <c r="AA80" i="40"/>
  <c r="Z80" i="40"/>
  <c r="Y79" i="40"/>
  <c r="X79" i="40"/>
  <c r="W79" i="40"/>
  <c r="V79" i="40"/>
  <c r="AC78" i="40"/>
  <c r="Y78" i="40"/>
  <c r="X78" i="40"/>
  <c r="W78" i="40"/>
  <c r="V78" i="40"/>
  <c r="Y77" i="40"/>
  <c r="X77" i="40"/>
  <c r="W77" i="40"/>
  <c r="V77" i="40"/>
  <c r="AC77" i="40" s="1"/>
  <c r="Y76" i="40"/>
  <c r="X76" i="40"/>
  <c r="W76" i="40"/>
  <c r="Y75" i="40"/>
  <c r="X75" i="40"/>
  <c r="W75" i="40"/>
  <c r="Y74" i="40"/>
  <c r="X74" i="40"/>
  <c r="W74" i="40"/>
  <c r="AC72" i="40"/>
  <c r="AB72" i="40"/>
  <c r="AA72" i="40"/>
  <c r="Z72" i="40"/>
  <c r="Y72" i="40"/>
  <c r="X72" i="40"/>
  <c r="W72" i="40"/>
  <c r="V72" i="40"/>
  <c r="AA63" i="40"/>
  <c r="Z63" i="40"/>
  <c r="Y63" i="40"/>
  <c r="AB61" i="40"/>
  <c r="AB64" i="40" s="1"/>
  <c r="AA61" i="40"/>
  <c r="AA64" i="40" s="1"/>
  <c r="Z61" i="40"/>
  <c r="Z64" i="40" s="1"/>
  <c r="Y60" i="40"/>
  <c r="X60" i="40"/>
  <c r="W60" i="40"/>
  <c r="V60" i="40"/>
  <c r="Y59" i="40"/>
  <c r="X59" i="40"/>
  <c r="W59" i="40"/>
  <c r="V59" i="40"/>
  <c r="Y58" i="40"/>
  <c r="X58" i="40"/>
  <c r="W58" i="40"/>
  <c r="V58" i="40"/>
  <c r="Y57" i="40"/>
  <c r="X57" i="40"/>
  <c r="W57" i="40"/>
  <c r="V57" i="40"/>
  <c r="AC56" i="40"/>
  <c r="Y56" i="40"/>
  <c r="X56" i="40"/>
  <c r="W56" i="40"/>
  <c r="V56" i="40"/>
  <c r="Y55" i="40"/>
  <c r="X55" i="40"/>
  <c r="W55" i="40"/>
  <c r="V55" i="40"/>
  <c r="AC55" i="40" s="1"/>
  <c r="Y54" i="40"/>
  <c r="X54" i="40"/>
  <c r="W54" i="40"/>
  <c r="AC54" i="40" s="1"/>
  <c r="V54" i="40"/>
  <c r="Y53" i="40"/>
  <c r="X53" i="40"/>
  <c r="W53" i="40"/>
  <c r="V53" i="40"/>
  <c r="Y52" i="40"/>
  <c r="X52" i="40"/>
  <c r="W52" i="40"/>
  <c r="V52" i="40"/>
  <c r="Y51" i="40"/>
  <c r="X51" i="40"/>
  <c r="W51" i="40"/>
  <c r="AC51" i="40" s="1"/>
  <c r="V51" i="40"/>
  <c r="Y50" i="40"/>
  <c r="X50" i="40"/>
  <c r="W50" i="40"/>
  <c r="V50" i="40"/>
  <c r="Y49" i="40"/>
  <c r="X49" i="40"/>
  <c r="W49" i="40"/>
  <c r="V49" i="40"/>
  <c r="AC49" i="40" s="1"/>
  <c r="Y48" i="40"/>
  <c r="X48" i="40"/>
  <c r="W48" i="40"/>
  <c r="V48" i="40"/>
  <c r="Y47" i="40"/>
  <c r="X47" i="40"/>
  <c r="W47" i="40"/>
  <c r="V47" i="40"/>
  <c r="Y46" i="40"/>
  <c r="X46" i="40"/>
  <c r="W46" i="40"/>
  <c r="V46" i="40"/>
  <c r="Y45" i="40"/>
  <c r="X45" i="40"/>
  <c r="W45" i="40"/>
  <c r="V45" i="40"/>
  <c r="Y44" i="40"/>
  <c r="X44" i="40"/>
  <c r="W44" i="40"/>
  <c r="V44" i="40"/>
  <c r="Y43" i="40"/>
  <c r="X43" i="40"/>
  <c r="W43" i="40"/>
  <c r="V43" i="40"/>
  <c r="AC43" i="40" s="1"/>
  <c r="Y42" i="40"/>
  <c r="X42" i="40"/>
  <c r="W42" i="40"/>
  <c r="V42" i="40"/>
  <c r="AC42" i="40" s="1"/>
  <c r="Y41" i="40"/>
  <c r="X41" i="40"/>
  <c r="W41" i="40"/>
  <c r="V41" i="40"/>
  <c r="Y40" i="40"/>
  <c r="X40" i="40"/>
  <c r="W40" i="40"/>
  <c r="V40" i="40"/>
  <c r="Y39" i="40"/>
  <c r="X39" i="40"/>
  <c r="X61" i="40" s="1"/>
  <c r="X64" i="40" s="1"/>
  <c r="W39" i="40"/>
  <c r="V39" i="40"/>
  <c r="AC38" i="40"/>
  <c r="AB38" i="40"/>
  <c r="AA38" i="40"/>
  <c r="Z38" i="40"/>
  <c r="Y38" i="40"/>
  <c r="X38" i="40"/>
  <c r="W38" i="40"/>
  <c r="V38" i="40"/>
  <c r="AB36" i="40"/>
  <c r="AA36" i="40"/>
  <c r="Z36" i="40"/>
  <c r="Z140" i="40" s="1"/>
  <c r="Y35" i="40"/>
  <c r="X35" i="40"/>
  <c r="W35" i="40"/>
  <c r="V35" i="40"/>
  <c r="Y34" i="40"/>
  <c r="X34" i="40"/>
  <c r="W34" i="40"/>
  <c r="V34" i="40"/>
  <c r="Y33" i="40"/>
  <c r="X33" i="40"/>
  <c r="W33" i="40"/>
  <c r="V33" i="40"/>
  <c r="AC33" i="40" s="1"/>
  <c r="Y32" i="40"/>
  <c r="X32" i="40"/>
  <c r="W32" i="40"/>
  <c r="V32" i="40"/>
  <c r="Y31" i="40"/>
  <c r="X31" i="40"/>
  <c r="W31" i="40"/>
  <c r="V31" i="40"/>
  <c r="AC31" i="40" s="1"/>
  <c r="Y30" i="40"/>
  <c r="X30" i="40"/>
  <c r="W30" i="40"/>
  <c r="V30" i="40"/>
  <c r="Y29" i="40"/>
  <c r="X29" i="40"/>
  <c r="W29" i="40"/>
  <c r="V29" i="40"/>
  <c r="Y28" i="40"/>
  <c r="X28" i="40"/>
  <c r="W28" i="40"/>
  <c r="V28" i="40"/>
  <c r="AC28" i="40" s="1"/>
  <c r="Y27" i="40"/>
  <c r="X27" i="40"/>
  <c r="W27" i="40"/>
  <c r="V27" i="40"/>
  <c r="AC26" i="40"/>
  <c r="AB26" i="40"/>
  <c r="AA26" i="40"/>
  <c r="Z26" i="40"/>
  <c r="Y26" i="40"/>
  <c r="X26" i="40"/>
  <c r="W26" i="40"/>
  <c r="V26" i="40"/>
  <c r="Y24" i="40"/>
  <c r="X24" i="40"/>
  <c r="W24" i="40"/>
  <c r="V24" i="40"/>
  <c r="Y23" i="40"/>
  <c r="W23" i="40"/>
  <c r="AC23" i="40" s="1"/>
  <c r="V23" i="40"/>
  <c r="Y22" i="40"/>
  <c r="X22" i="40"/>
  <c r="W22" i="40"/>
  <c r="V22" i="40"/>
  <c r="Y21" i="40"/>
  <c r="X21" i="40"/>
  <c r="W21" i="40"/>
  <c r="V21" i="40"/>
  <c r="Y20" i="40"/>
  <c r="X20" i="40"/>
  <c r="W20" i="40"/>
  <c r="V20" i="40"/>
  <c r="AC19" i="40"/>
  <c r="AB19" i="40"/>
  <c r="AA19" i="40"/>
  <c r="Z19" i="40"/>
  <c r="Y19" i="40"/>
  <c r="X19" i="40"/>
  <c r="W19" i="40"/>
  <c r="V19" i="40"/>
  <c r="AB17" i="40"/>
  <c r="AA17" i="40"/>
  <c r="Z17" i="40"/>
  <c r="X17" i="40"/>
  <c r="W17" i="40"/>
  <c r="V16" i="40"/>
  <c r="AC16" i="40" s="1"/>
  <c r="V15" i="40"/>
  <c r="AC15" i="40" s="1"/>
  <c r="V14" i="40"/>
  <c r="AC14" i="40" s="1"/>
  <c r="V13" i="40"/>
  <c r="AC13" i="40" s="1"/>
  <c r="V12" i="40"/>
  <c r="AC12" i="40" s="1"/>
  <c r="V11" i="40"/>
  <c r="AC11" i="40" s="1"/>
  <c r="V9" i="40"/>
  <c r="AC9" i="40" s="1"/>
  <c r="V8" i="40"/>
  <c r="AC8" i="40" s="1"/>
  <c r="V7" i="40"/>
  <c r="AC7" i="40" s="1"/>
  <c r="V5" i="40"/>
  <c r="AC5" i="40" s="1"/>
  <c r="Y216" i="36"/>
  <c r="X216" i="36"/>
  <c r="W216" i="36"/>
  <c r="V216" i="36"/>
  <c r="Y215" i="36"/>
  <c r="X215" i="36"/>
  <c r="W215" i="36"/>
  <c r="V215" i="36"/>
  <c r="Y214" i="36"/>
  <c r="X214" i="36"/>
  <c r="W214" i="36"/>
  <c r="V214" i="36"/>
  <c r="Y213" i="36"/>
  <c r="X213" i="36"/>
  <c r="W213" i="36"/>
  <c r="V213" i="36"/>
  <c r="Y212" i="36"/>
  <c r="X212" i="36"/>
  <c r="W212" i="36"/>
  <c r="AB208" i="36"/>
  <c r="AA208" i="36"/>
  <c r="Z208" i="36"/>
  <c r="Y207" i="36"/>
  <c r="X207" i="36"/>
  <c r="W207" i="36"/>
  <c r="V207" i="36"/>
  <c r="Y206" i="36"/>
  <c r="X206" i="36"/>
  <c r="W206" i="36"/>
  <c r="V206" i="36"/>
  <c r="Y205" i="36"/>
  <c r="X205" i="36"/>
  <c r="W205" i="36"/>
  <c r="V205" i="36"/>
  <c r="Y204" i="36"/>
  <c r="X204" i="36"/>
  <c r="W204" i="36"/>
  <c r="V204" i="36"/>
  <c r="Y203" i="36"/>
  <c r="X203" i="36"/>
  <c r="W203" i="36"/>
  <c r="V203" i="36"/>
  <c r="Y202" i="36"/>
  <c r="X202" i="36"/>
  <c r="W202" i="36"/>
  <c r="V202" i="36"/>
  <c r="Y201" i="36"/>
  <c r="X201" i="36"/>
  <c r="W201" i="36"/>
  <c r="V201" i="36"/>
  <c r="AC201" i="36" s="1"/>
  <c r="Y200" i="36"/>
  <c r="X200" i="36"/>
  <c r="W200" i="36"/>
  <c r="V200" i="36"/>
  <c r="Y199" i="36"/>
  <c r="X199" i="36"/>
  <c r="W199" i="36"/>
  <c r="V199" i="36"/>
  <c r="Y198" i="36"/>
  <c r="X198" i="36"/>
  <c r="W198" i="36"/>
  <c r="AC197" i="36"/>
  <c r="AB197" i="36"/>
  <c r="AA197" i="36"/>
  <c r="Z197" i="36"/>
  <c r="Y197" i="36"/>
  <c r="X197" i="36"/>
  <c r="W197" i="36"/>
  <c r="V197" i="36"/>
  <c r="AB196" i="36"/>
  <c r="AA196" i="36"/>
  <c r="Z196" i="36"/>
  <c r="Y195" i="36"/>
  <c r="X195" i="36"/>
  <c r="W195" i="36"/>
  <c r="Y194" i="36"/>
  <c r="X194" i="36"/>
  <c r="W194" i="36"/>
  <c r="V194" i="36"/>
  <c r="Y193" i="36"/>
  <c r="X193" i="36"/>
  <c r="W193" i="36"/>
  <c r="V193" i="36"/>
  <c r="Y192" i="36"/>
  <c r="X192" i="36"/>
  <c r="W192" i="36"/>
  <c r="V192" i="36"/>
  <c r="Y191" i="36"/>
  <c r="X191" i="36"/>
  <c r="W191" i="36"/>
  <c r="V191" i="36"/>
  <c r="Y190" i="36"/>
  <c r="X190" i="36"/>
  <c r="W190" i="36"/>
  <c r="V190" i="36"/>
  <c r="Y189" i="36"/>
  <c r="X189" i="36"/>
  <c r="W189" i="36"/>
  <c r="V189" i="36"/>
  <c r="Y188" i="36"/>
  <c r="X188" i="36"/>
  <c r="W188" i="36"/>
  <c r="V188" i="36"/>
  <c r="Y187" i="36"/>
  <c r="X187" i="36"/>
  <c r="W187" i="36"/>
  <c r="Y186" i="36"/>
  <c r="X186" i="36"/>
  <c r="W186" i="36"/>
  <c r="V186" i="36"/>
  <c r="Y185" i="36"/>
  <c r="X185" i="36"/>
  <c r="W185" i="36"/>
  <c r="V185" i="36"/>
  <c r="Y184" i="36"/>
  <c r="X184" i="36"/>
  <c r="W184" i="36"/>
  <c r="V184" i="36"/>
  <c r="Y183" i="36"/>
  <c r="W183" i="36"/>
  <c r="V183" i="36"/>
  <c r="Y182" i="36"/>
  <c r="W182" i="36"/>
  <c r="V182" i="36"/>
  <c r="Y181" i="36"/>
  <c r="X181" i="36"/>
  <c r="W181" i="36"/>
  <c r="V181" i="36"/>
  <c r="Y180" i="36"/>
  <c r="X180" i="36"/>
  <c r="W180" i="36"/>
  <c r="V180" i="36"/>
  <c r="Y179" i="36"/>
  <c r="X179" i="36"/>
  <c r="W179" i="36"/>
  <c r="Y178" i="36"/>
  <c r="X178" i="36"/>
  <c r="W178" i="36"/>
  <c r="Y177" i="36"/>
  <c r="X177" i="36"/>
  <c r="W177" i="36"/>
  <c r="V177" i="36"/>
  <c r="Y176" i="36"/>
  <c r="X176" i="36"/>
  <c r="W176" i="36"/>
  <c r="V176" i="36"/>
  <c r="Y175" i="36"/>
  <c r="X175" i="36"/>
  <c r="W175" i="36"/>
  <c r="V175" i="36"/>
  <c r="Y174" i="36"/>
  <c r="X174" i="36"/>
  <c r="W174" i="36"/>
  <c r="V174" i="36"/>
  <c r="AC174" i="36" s="1"/>
  <c r="Y173" i="36"/>
  <c r="X173" i="36"/>
  <c r="W173" i="36"/>
  <c r="Y172" i="36"/>
  <c r="X172" i="36"/>
  <c r="W172" i="36"/>
  <c r="AC171" i="36"/>
  <c r="AB171" i="36"/>
  <c r="AA171" i="36"/>
  <c r="Z171" i="36"/>
  <c r="Y171" i="36"/>
  <c r="X171" i="36"/>
  <c r="W171" i="36"/>
  <c r="V171" i="36"/>
  <c r="Y169" i="36"/>
  <c r="X169" i="36"/>
  <c r="W169" i="36"/>
  <c r="V169" i="36"/>
  <c r="Y168" i="36"/>
  <c r="X168" i="36"/>
  <c r="W168" i="36"/>
  <c r="Y167" i="36"/>
  <c r="X167" i="36"/>
  <c r="W167" i="36"/>
  <c r="Y166" i="36"/>
  <c r="X166" i="36"/>
  <c r="W166" i="36"/>
  <c r="Y165" i="36"/>
  <c r="X165" i="36"/>
  <c r="W165" i="36"/>
  <c r="V165" i="36"/>
  <c r="Y164" i="36"/>
  <c r="X164" i="36"/>
  <c r="W164" i="36"/>
  <c r="Y163" i="36"/>
  <c r="X163" i="36"/>
  <c r="W163" i="36"/>
  <c r="V163" i="36"/>
  <c r="Y162" i="36"/>
  <c r="X162" i="36"/>
  <c r="W162" i="36"/>
  <c r="V162" i="36"/>
  <c r="Y161" i="36"/>
  <c r="Y160" i="36"/>
  <c r="X160" i="36"/>
  <c r="W160" i="36"/>
  <c r="Y159" i="36"/>
  <c r="X159" i="36"/>
  <c r="W159" i="36"/>
  <c r="V159" i="36"/>
  <c r="Y158" i="36"/>
  <c r="X158" i="36"/>
  <c r="W158" i="36"/>
  <c r="V158" i="36"/>
  <c r="Y157" i="36"/>
  <c r="X157" i="36"/>
  <c r="V157" i="36"/>
  <c r="Y156" i="36"/>
  <c r="X156" i="36"/>
  <c r="W156" i="36"/>
  <c r="V156" i="36"/>
  <c r="AC155" i="36"/>
  <c r="AB155" i="36"/>
  <c r="AA155" i="36"/>
  <c r="Z155" i="36"/>
  <c r="Y155" i="36"/>
  <c r="X155" i="36"/>
  <c r="W155" i="36"/>
  <c r="V155" i="36"/>
  <c r="AB154" i="36"/>
  <c r="AA154" i="36"/>
  <c r="Z154" i="36"/>
  <c r="Y153" i="36"/>
  <c r="X153" i="36"/>
  <c r="W153" i="36"/>
  <c r="Y152" i="36"/>
  <c r="X152" i="36"/>
  <c r="W152" i="36"/>
  <c r="V152" i="36"/>
  <c r="Y151" i="36"/>
  <c r="X151" i="36"/>
  <c r="W151" i="36"/>
  <c r="V151" i="36"/>
  <c r="Y150" i="36"/>
  <c r="X150" i="36"/>
  <c r="W150" i="36"/>
  <c r="Y149" i="36"/>
  <c r="X149" i="36"/>
  <c r="W149" i="36"/>
  <c r="Y148" i="36"/>
  <c r="X148" i="36"/>
  <c r="W148" i="36"/>
  <c r="Y147" i="36"/>
  <c r="X147" i="36"/>
  <c r="W147" i="36"/>
  <c r="Y146" i="36"/>
  <c r="X146" i="36"/>
  <c r="W146" i="36"/>
  <c r="V146" i="36"/>
  <c r="Y145" i="36"/>
  <c r="X145" i="36"/>
  <c r="W145" i="36"/>
  <c r="V145" i="36"/>
  <c r="AC145" i="36" s="1"/>
  <c r="Y144" i="36"/>
  <c r="X144" i="36"/>
  <c r="W144" i="36"/>
  <c r="AC143" i="36"/>
  <c r="AB143" i="36"/>
  <c r="AA143" i="36"/>
  <c r="Z143" i="36"/>
  <c r="Y143" i="36"/>
  <c r="X143" i="36"/>
  <c r="W143" i="36"/>
  <c r="V143" i="36"/>
  <c r="AA140" i="36"/>
  <c r="Y140" i="36"/>
  <c r="Y139" i="36"/>
  <c r="X139" i="36"/>
  <c r="W139" i="36"/>
  <c r="V139" i="36"/>
  <c r="Y138" i="36"/>
  <c r="X138" i="36"/>
  <c r="W138" i="36"/>
  <c r="V138" i="36"/>
  <c r="Y137" i="36"/>
  <c r="X137" i="36"/>
  <c r="V137" i="36"/>
  <c r="W137" i="36"/>
  <c r="Y136" i="36"/>
  <c r="AB135" i="36"/>
  <c r="Y133" i="36"/>
  <c r="AB131" i="36"/>
  <c r="AA131" i="36"/>
  <c r="AB130" i="36"/>
  <c r="AA130" i="36"/>
  <c r="Z130" i="36"/>
  <c r="Z131" i="36" s="1"/>
  <c r="Y130" i="36"/>
  <c r="X130" i="36"/>
  <c r="W130" i="36"/>
  <c r="V130" i="36"/>
  <c r="Y129" i="36"/>
  <c r="X129" i="36"/>
  <c r="W129" i="36"/>
  <c r="V129" i="36"/>
  <c r="Y128" i="36"/>
  <c r="X128" i="36"/>
  <c r="W128" i="36"/>
  <c r="V128" i="36"/>
  <c r="Y127" i="36"/>
  <c r="X127" i="36"/>
  <c r="W127" i="36"/>
  <c r="V127" i="36"/>
  <c r="Y126" i="36"/>
  <c r="X126" i="36"/>
  <c r="W126" i="36"/>
  <c r="V126" i="36"/>
  <c r="Y125" i="36"/>
  <c r="X125" i="36"/>
  <c r="W125" i="36"/>
  <c r="V125" i="36"/>
  <c r="Y124" i="36"/>
  <c r="X124" i="36"/>
  <c r="W124" i="36"/>
  <c r="V124" i="36"/>
  <c r="Y123" i="36"/>
  <c r="X123" i="36"/>
  <c r="W123" i="36"/>
  <c r="V123" i="36"/>
  <c r="AB121" i="36"/>
  <c r="AB132" i="36" s="1"/>
  <c r="AA121" i="36"/>
  <c r="Z121" i="36"/>
  <c r="Z132" i="36" s="1"/>
  <c r="Z133" i="36" s="1"/>
  <c r="Y120" i="36"/>
  <c r="X120" i="36"/>
  <c r="W120" i="36"/>
  <c r="V120" i="36"/>
  <c r="AC120" i="36" s="1"/>
  <c r="Y119" i="36"/>
  <c r="X119" i="36"/>
  <c r="W119" i="36"/>
  <c r="Z118" i="36"/>
  <c r="Y118" i="36"/>
  <c r="V118" i="36"/>
  <c r="X118" i="36"/>
  <c r="W118" i="36"/>
  <c r="Y117" i="36"/>
  <c r="X117" i="36"/>
  <c r="W117" i="36"/>
  <c r="V117" i="36"/>
  <c r="AC117" i="36" s="1"/>
  <c r="Y116" i="36"/>
  <c r="X116" i="36"/>
  <c r="W116" i="36"/>
  <c r="V116" i="36"/>
  <c r="Y115" i="36"/>
  <c r="X115" i="36"/>
  <c r="V115" i="36"/>
  <c r="Y114" i="36"/>
  <c r="X114" i="36"/>
  <c r="W114" i="36"/>
  <c r="Y113" i="36"/>
  <c r="X113" i="36"/>
  <c r="W113" i="36"/>
  <c r="Y112" i="36"/>
  <c r="X112" i="36"/>
  <c r="W112" i="36"/>
  <c r="V112" i="36"/>
  <c r="Y111" i="36"/>
  <c r="X111" i="36"/>
  <c r="W111" i="36"/>
  <c r="V111" i="36"/>
  <c r="Y110" i="36"/>
  <c r="X110" i="36"/>
  <c r="W110" i="36"/>
  <c r="V110" i="36"/>
  <c r="Y109" i="36"/>
  <c r="X109" i="36"/>
  <c r="W109" i="36"/>
  <c r="V109" i="36"/>
  <c r="Y108" i="36"/>
  <c r="X108" i="36"/>
  <c r="W108" i="36"/>
  <c r="V108" i="36"/>
  <c r="Y107" i="36"/>
  <c r="X107" i="36"/>
  <c r="W107" i="36"/>
  <c r="AC105" i="36"/>
  <c r="AB105" i="36"/>
  <c r="AA105" i="36"/>
  <c r="Z105" i="36"/>
  <c r="Y105" i="36"/>
  <c r="X105" i="36"/>
  <c r="W105" i="36"/>
  <c r="V105" i="36"/>
  <c r="AA103" i="36"/>
  <c r="Y102" i="36"/>
  <c r="X102" i="36"/>
  <c r="W102" i="36"/>
  <c r="V102" i="36"/>
  <c r="Y101" i="36"/>
  <c r="X101" i="36"/>
  <c r="W101" i="36"/>
  <c r="V101" i="36"/>
  <c r="AB100" i="36"/>
  <c r="AB103" i="36" s="1"/>
  <c r="AA100" i="36"/>
  <c r="Z100" i="36"/>
  <c r="Z103" i="36" s="1"/>
  <c r="Y100" i="36"/>
  <c r="X100" i="36"/>
  <c r="W100" i="36"/>
  <c r="V100" i="36"/>
  <c r="Y99" i="36"/>
  <c r="X99" i="36"/>
  <c r="W99" i="36"/>
  <c r="V99" i="36"/>
  <c r="Y95" i="36"/>
  <c r="X95" i="36"/>
  <c r="W95" i="36"/>
  <c r="V95" i="36"/>
  <c r="Y94" i="36"/>
  <c r="X94" i="36"/>
  <c r="W94" i="36"/>
  <c r="V94" i="36"/>
  <c r="Y93" i="36"/>
  <c r="X93" i="36"/>
  <c r="W93" i="36"/>
  <c r="V93" i="36"/>
  <c r="Y92" i="36"/>
  <c r="X92" i="36"/>
  <c r="W92" i="36"/>
  <c r="V92" i="36"/>
  <c r="AB90" i="36"/>
  <c r="AA90" i="36"/>
  <c r="Z90" i="36"/>
  <c r="Y89" i="36"/>
  <c r="X89" i="36"/>
  <c r="W89" i="36"/>
  <c r="V89" i="36"/>
  <c r="Y88" i="36"/>
  <c r="X88" i="36"/>
  <c r="W88" i="36"/>
  <c r="V88" i="36"/>
  <c r="Y87" i="36"/>
  <c r="X87" i="36"/>
  <c r="W87" i="36"/>
  <c r="V87" i="36"/>
  <c r="Y86" i="36"/>
  <c r="X86" i="36"/>
  <c r="W86" i="36"/>
  <c r="V86" i="36"/>
  <c r="AC86" i="36" s="1"/>
  <c r="Y85" i="36"/>
  <c r="X85" i="36"/>
  <c r="W85" i="36"/>
  <c r="V85" i="36"/>
  <c r="Y84" i="36"/>
  <c r="W84" i="36"/>
  <c r="V84" i="36"/>
  <c r="Y83" i="36"/>
  <c r="W83" i="36"/>
  <c r="V83" i="36"/>
  <c r="Y82" i="36"/>
  <c r="X82" i="36"/>
  <c r="W82" i="36"/>
  <c r="V82" i="36"/>
  <c r="AB80" i="36"/>
  <c r="AA80" i="36"/>
  <c r="Z80" i="36"/>
  <c r="Y79" i="36"/>
  <c r="X79" i="36"/>
  <c r="W79" i="36"/>
  <c r="V79" i="36"/>
  <c r="Y78" i="36"/>
  <c r="X78" i="36"/>
  <c r="W78" i="36"/>
  <c r="V78" i="36"/>
  <c r="Y77" i="36"/>
  <c r="X77" i="36"/>
  <c r="W77" i="36"/>
  <c r="V77" i="36"/>
  <c r="Y76" i="36"/>
  <c r="X76" i="36"/>
  <c r="W76" i="36"/>
  <c r="V76" i="36"/>
  <c r="Y75" i="36"/>
  <c r="X75" i="36"/>
  <c r="W75" i="36"/>
  <c r="V75" i="36"/>
  <c r="Y74" i="36"/>
  <c r="X74" i="36"/>
  <c r="W74" i="36"/>
  <c r="AC72" i="36"/>
  <c r="AB72" i="36"/>
  <c r="AA72" i="36"/>
  <c r="Z72" i="36"/>
  <c r="Y72" i="36"/>
  <c r="X72" i="36"/>
  <c r="W72" i="36"/>
  <c r="V72" i="36"/>
  <c r="AB63" i="36"/>
  <c r="AA63" i="36"/>
  <c r="Y63" i="36"/>
  <c r="AB61" i="36"/>
  <c r="AB64" i="36" s="1"/>
  <c r="AA61" i="36"/>
  <c r="AA64" i="36" s="1"/>
  <c r="Z61" i="36"/>
  <c r="Z64" i="36" s="1"/>
  <c r="Y60" i="36"/>
  <c r="X60" i="36"/>
  <c r="W60" i="36"/>
  <c r="V60" i="36"/>
  <c r="Y59" i="36"/>
  <c r="X59" i="36"/>
  <c r="AC59" i="36" s="1"/>
  <c r="W59" i="36"/>
  <c r="V59" i="36"/>
  <c r="Y58" i="36"/>
  <c r="X58" i="36"/>
  <c r="W58" i="36"/>
  <c r="V58" i="36"/>
  <c r="Y57" i="36"/>
  <c r="X57" i="36"/>
  <c r="W57" i="36"/>
  <c r="V57" i="36"/>
  <c r="Y56" i="36"/>
  <c r="X56" i="36"/>
  <c r="W56" i="36"/>
  <c r="V56" i="36"/>
  <c r="Y55" i="36"/>
  <c r="X55" i="36"/>
  <c r="W55" i="36"/>
  <c r="V55" i="36"/>
  <c r="Y54" i="36"/>
  <c r="X54" i="36"/>
  <c r="W54" i="36"/>
  <c r="V54" i="36"/>
  <c r="Y53" i="36"/>
  <c r="X53" i="36"/>
  <c r="W53" i="36"/>
  <c r="V53" i="36"/>
  <c r="Y52" i="36"/>
  <c r="X52" i="36"/>
  <c r="AC52" i="36" s="1"/>
  <c r="W52" i="36"/>
  <c r="V52" i="36"/>
  <c r="Y51" i="36"/>
  <c r="X51" i="36"/>
  <c r="W51" i="36"/>
  <c r="V51" i="36"/>
  <c r="Y50" i="36"/>
  <c r="X50" i="36"/>
  <c r="W50" i="36"/>
  <c r="V50" i="36"/>
  <c r="Y49" i="36"/>
  <c r="X49" i="36"/>
  <c r="W49" i="36"/>
  <c r="V49" i="36"/>
  <c r="Y48" i="36"/>
  <c r="X48" i="36"/>
  <c r="W48" i="36"/>
  <c r="V48" i="36"/>
  <c r="Y47" i="36"/>
  <c r="X47" i="36"/>
  <c r="W47" i="36"/>
  <c r="V47" i="36"/>
  <c r="Y46" i="36"/>
  <c r="X46" i="36"/>
  <c r="W46" i="36"/>
  <c r="V46" i="36"/>
  <c r="Y45" i="36"/>
  <c r="X45" i="36"/>
  <c r="W45" i="36"/>
  <c r="V45" i="36"/>
  <c r="Y44" i="36"/>
  <c r="X44" i="36"/>
  <c r="W44" i="36"/>
  <c r="V44" i="36"/>
  <c r="Y43" i="36"/>
  <c r="X43" i="36"/>
  <c r="W43" i="36"/>
  <c r="V43" i="36"/>
  <c r="Y42" i="36"/>
  <c r="X42" i="36"/>
  <c r="W42" i="36"/>
  <c r="V42" i="36"/>
  <c r="Y41" i="36"/>
  <c r="X41" i="36"/>
  <c r="W41" i="36"/>
  <c r="V41" i="36"/>
  <c r="Y40" i="36"/>
  <c r="X40" i="36"/>
  <c r="W40" i="36"/>
  <c r="V40" i="36"/>
  <c r="Y39" i="36"/>
  <c r="X39" i="36"/>
  <c r="W39" i="36"/>
  <c r="V39" i="36"/>
  <c r="AC38" i="36"/>
  <c r="AB38" i="36"/>
  <c r="AA38" i="36"/>
  <c r="Z38" i="36"/>
  <c r="Y38" i="36"/>
  <c r="X38" i="36"/>
  <c r="W38" i="36"/>
  <c r="V38" i="36"/>
  <c r="AB36" i="36"/>
  <c r="AB140" i="36" s="1"/>
  <c r="AA36" i="36"/>
  <c r="AA135" i="36" s="1"/>
  <c r="Z36" i="36"/>
  <c r="Z135" i="36" s="1"/>
  <c r="X135" i="36"/>
  <c r="W140" i="36"/>
  <c r="Y35" i="36"/>
  <c r="X35" i="36"/>
  <c r="W35" i="36"/>
  <c r="V35" i="36"/>
  <c r="Y34" i="36"/>
  <c r="X34" i="36"/>
  <c r="W34" i="36"/>
  <c r="V34" i="36"/>
  <c r="Y33" i="36"/>
  <c r="X33" i="36"/>
  <c r="W33" i="36"/>
  <c r="V33" i="36"/>
  <c r="Y32" i="36"/>
  <c r="X32" i="36"/>
  <c r="W32" i="36"/>
  <c r="V32" i="36"/>
  <c r="Y31" i="36"/>
  <c r="X31" i="36"/>
  <c r="W31" i="36"/>
  <c r="V31" i="36"/>
  <c r="Y30" i="36"/>
  <c r="X30" i="36"/>
  <c r="W30" i="36"/>
  <c r="V30" i="36"/>
  <c r="Y29" i="36"/>
  <c r="X29" i="36"/>
  <c r="W29" i="36"/>
  <c r="V29" i="36"/>
  <c r="Y28" i="36"/>
  <c r="X28" i="36"/>
  <c r="W28" i="36"/>
  <c r="V28" i="36"/>
  <c r="Y27" i="36"/>
  <c r="X27" i="36"/>
  <c r="W27" i="36"/>
  <c r="V27" i="36"/>
  <c r="AC26" i="36"/>
  <c r="AB26" i="36"/>
  <c r="AA26" i="36"/>
  <c r="Z26" i="36"/>
  <c r="Y26" i="36"/>
  <c r="X26" i="36"/>
  <c r="W26" i="36"/>
  <c r="V26" i="36"/>
  <c r="Y24" i="36"/>
  <c r="X24" i="36"/>
  <c r="W24" i="36"/>
  <c r="V24" i="36"/>
  <c r="Y23" i="36"/>
  <c r="W23" i="36"/>
  <c r="V23" i="36"/>
  <c r="Y22" i="36"/>
  <c r="X22" i="36"/>
  <c r="W22" i="36"/>
  <c r="V22" i="36"/>
  <c r="Y21" i="36"/>
  <c r="X21" i="36"/>
  <c r="W21" i="36"/>
  <c r="V21" i="36"/>
  <c r="Y20" i="36"/>
  <c r="X20" i="36"/>
  <c r="W20" i="36"/>
  <c r="V20" i="36"/>
  <c r="C207" i="43"/>
  <c r="C206" i="43"/>
  <c r="C203" i="43"/>
  <c r="C200" i="43"/>
  <c r="C194" i="43"/>
  <c r="C193" i="43"/>
  <c r="C192" i="43"/>
  <c r="C188" i="43"/>
  <c r="C181" i="43"/>
  <c r="C180" i="43"/>
  <c r="C179" i="43"/>
  <c r="C177" i="43"/>
  <c r="C176" i="43"/>
  <c r="C173" i="43"/>
  <c r="C165" i="43"/>
  <c r="C151" i="43"/>
  <c r="C148" i="43"/>
  <c r="C139" i="43"/>
  <c r="C137" i="43"/>
  <c r="C130" i="43"/>
  <c r="C127" i="43"/>
  <c r="C126" i="43"/>
  <c r="C120" i="43"/>
  <c r="C118" i="43"/>
  <c r="C116" i="43"/>
  <c r="C113" i="43"/>
  <c r="C112" i="43"/>
  <c r="C111" i="43"/>
  <c r="C110" i="43"/>
  <c r="C108" i="43"/>
  <c r="C102" i="43"/>
  <c r="C92" i="43"/>
  <c r="C88" i="43"/>
  <c r="C87" i="43"/>
  <c r="C84" i="43"/>
  <c r="C79" i="43"/>
  <c r="C77" i="43"/>
  <c r="C76" i="43"/>
  <c r="C75" i="43"/>
  <c r="C57" i="43"/>
  <c r="C56" i="43"/>
  <c r="C55" i="43"/>
  <c r="C50" i="43"/>
  <c r="C45" i="43"/>
  <c r="C44" i="43"/>
  <c r="C43" i="43"/>
  <c r="C35" i="43"/>
  <c r="C33" i="43"/>
  <c r="C32" i="43"/>
  <c r="I19" i="35"/>
  <c r="H19" i="35"/>
  <c r="G19" i="35"/>
  <c r="F19" i="35"/>
  <c r="E19" i="35"/>
  <c r="D19" i="35"/>
  <c r="C19" i="35"/>
  <c r="B19" i="35"/>
  <c r="H17" i="35"/>
  <c r="G17" i="35"/>
  <c r="F17" i="35"/>
  <c r="D17" i="35"/>
  <c r="C17" i="35"/>
  <c r="B17" i="35"/>
  <c r="C187" i="43" s="1"/>
  <c r="I16" i="35"/>
  <c r="I15" i="35"/>
  <c r="C15" i="43" s="1"/>
  <c r="C49" i="47" s="1"/>
  <c r="I14" i="35"/>
  <c r="C14" i="43" s="1"/>
  <c r="C48" i="47" s="1"/>
  <c r="I13" i="35"/>
  <c r="C13" i="43" s="1"/>
  <c r="C47" i="47" s="1"/>
  <c r="I12" i="35"/>
  <c r="I11" i="35"/>
  <c r="I10" i="35"/>
  <c r="I9" i="35"/>
  <c r="I8" i="35"/>
  <c r="C8" i="43" s="1"/>
  <c r="C42" i="47" s="1"/>
  <c r="I7" i="35"/>
  <c r="C7" i="43" s="1"/>
  <c r="C41" i="47" s="1"/>
  <c r="I6" i="35"/>
  <c r="I5" i="35"/>
  <c r="I4" i="35"/>
  <c r="I17" i="35" s="1"/>
  <c r="C103" i="45"/>
  <c r="B103" i="45"/>
  <c r="E218" i="19"/>
  <c r="I19" i="19"/>
  <c r="H19" i="19"/>
  <c r="G19" i="19"/>
  <c r="F19" i="19"/>
  <c r="E19" i="19"/>
  <c r="D19" i="19"/>
  <c r="C19" i="19"/>
  <c r="B19" i="19"/>
  <c r="H17" i="19"/>
  <c r="G17" i="19"/>
  <c r="F17" i="19"/>
  <c r="D17" i="19"/>
  <c r="C17" i="19"/>
  <c r="B17" i="19"/>
  <c r="I16" i="19"/>
  <c r="I15" i="19"/>
  <c r="I14" i="19"/>
  <c r="I13" i="19"/>
  <c r="I12" i="19"/>
  <c r="I11" i="19"/>
  <c r="I10" i="19"/>
  <c r="I17" i="19" s="1"/>
  <c r="I9" i="19"/>
  <c r="I8" i="19"/>
  <c r="I7" i="19"/>
  <c r="I6" i="19"/>
  <c r="I5" i="19"/>
  <c r="I4" i="19"/>
  <c r="C77" i="48"/>
  <c r="C75" i="48"/>
  <c r="C98" i="48"/>
  <c r="C96" i="48"/>
  <c r="C44" i="48"/>
  <c r="C43" i="48"/>
  <c r="C42" i="48"/>
  <c r="H41" i="48"/>
  <c r="C41" i="48"/>
  <c r="C40" i="48"/>
  <c r="C39" i="48"/>
  <c r="C38" i="48"/>
  <c r="C37" i="48"/>
  <c r="C36" i="48"/>
  <c r="C35" i="48"/>
  <c r="C33" i="48"/>
  <c r="H50" i="47"/>
  <c r="C44" i="47"/>
  <c r="C45" i="47"/>
  <c r="C46" i="47"/>
  <c r="C31" i="48"/>
  <c r="C29" i="48"/>
  <c r="C28" i="48"/>
  <c r="C27" i="48"/>
  <c r="G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38" i="46"/>
  <c r="J5" i="45"/>
  <c r="K5" i="45"/>
  <c r="L5" i="45"/>
  <c r="M5" i="45"/>
  <c r="N5" i="45"/>
  <c r="O5" i="45"/>
  <c r="P5" i="45"/>
  <c r="J6" i="45"/>
  <c r="K6" i="45"/>
  <c r="L6" i="45"/>
  <c r="M6" i="45"/>
  <c r="N6" i="45"/>
  <c r="O6" i="45"/>
  <c r="P6" i="45"/>
  <c r="J7" i="45"/>
  <c r="K7" i="45"/>
  <c r="L7" i="45"/>
  <c r="M7" i="45"/>
  <c r="N7" i="45"/>
  <c r="O7" i="45"/>
  <c r="P7" i="45"/>
  <c r="J8" i="45"/>
  <c r="K8" i="45"/>
  <c r="L8" i="45"/>
  <c r="M8" i="45"/>
  <c r="N8" i="45"/>
  <c r="O8" i="45"/>
  <c r="P8" i="45"/>
  <c r="J9" i="45"/>
  <c r="K9" i="45"/>
  <c r="L9" i="45"/>
  <c r="M9" i="45"/>
  <c r="N9" i="45"/>
  <c r="O9" i="45"/>
  <c r="P9" i="45"/>
  <c r="J10" i="45"/>
  <c r="K10" i="45"/>
  <c r="L10" i="45"/>
  <c r="M10" i="45"/>
  <c r="N10" i="45"/>
  <c r="O10" i="45"/>
  <c r="P10" i="45"/>
  <c r="J11" i="45"/>
  <c r="K11" i="45"/>
  <c r="L11" i="45"/>
  <c r="M11" i="45"/>
  <c r="N11" i="45"/>
  <c r="O11" i="45"/>
  <c r="P11" i="45"/>
  <c r="J12" i="45"/>
  <c r="K12" i="45"/>
  <c r="L12" i="45"/>
  <c r="M12" i="45"/>
  <c r="N12" i="45"/>
  <c r="O12" i="45"/>
  <c r="P12" i="45"/>
  <c r="J13" i="45"/>
  <c r="K13" i="45"/>
  <c r="L13" i="45"/>
  <c r="M13" i="45"/>
  <c r="N13" i="45"/>
  <c r="O13" i="45"/>
  <c r="P13" i="45"/>
  <c r="P13" i="43" s="1"/>
  <c r="J14" i="45"/>
  <c r="K14" i="45"/>
  <c r="L14" i="45"/>
  <c r="M14" i="45"/>
  <c r="N14" i="45"/>
  <c r="O14" i="45"/>
  <c r="P14" i="45"/>
  <c r="P14" i="43" s="1"/>
  <c r="J15" i="45"/>
  <c r="K15" i="45"/>
  <c r="L15" i="45"/>
  <c r="M15" i="45"/>
  <c r="N15" i="45"/>
  <c r="O15" i="45"/>
  <c r="P15" i="45"/>
  <c r="P15" i="43" s="1"/>
  <c r="J16" i="45"/>
  <c r="K16" i="45"/>
  <c r="L16" i="45"/>
  <c r="M16" i="45"/>
  <c r="N16" i="45"/>
  <c r="O16" i="45"/>
  <c r="P16" i="45"/>
  <c r="P16" i="43" s="1"/>
  <c r="P4" i="45"/>
  <c r="O4" i="45"/>
  <c r="N4" i="45"/>
  <c r="M4" i="45"/>
  <c r="L4" i="45"/>
  <c r="H199" i="45"/>
  <c r="H201" i="45"/>
  <c r="H202" i="45"/>
  <c r="H203" i="45"/>
  <c r="H204" i="45"/>
  <c r="H205" i="45"/>
  <c r="H198" i="45"/>
  <c r="H173" i="45"/>
  <c r="H174" i="45"/>
  <c r="H175" i="45"/>
  <c r="H176" i="45"/>
  <c r="H177" i="45"/>
  <c r="H180" i="45"/>
  <c r="H181" i="45"/>
  <c r="H184" i="45"/>
  <c r="H185" i="45"/>
  <c r="H186" i="45"/>
  <c r="H188" i="45"/>
  <c r="H189" i="45"/>
  <c r="H190" i="45"/>
  <c r="H191" i="45"/>
  <c r="H192" i="45"/>
  <c r="H193" i="45"/>
  <c r="H194" i="45"/>
  <c r="H172" i="45"/>
  <c r="H158" i="45"/>
  <c r="H159" i="45"/>
  <c r="H162" i="45"/>
  <c r="H163" i="45"/>
  <c r="H165" i="45"/>
  <c r="H169" i="45"/>
  <c r="H145" i="45"/>
  <c r="H146" i="45"/>
  <c r="H151" i="45"/>
  <c r="H152" i="45"/>
  <c r="H137" i="45"/>
  <c r="H138" i="45"/>
  <c r="H139" i="45"/>
  <c r="H124" i="45"/>
  <c r="H125" i="45"/>
  <c r="H126" i="45"/>
  <c r="H127" i="45"/>
  <c r="H128" i="45"/>
  <c r="H123" i="45"/>
  <c r="H108" i="45"/>
  <c r="H113" i="45"/>
  <c r="H116" i="45"/>
  <c r="H119" i="45"/>
  <c r="H107" i="45"/>
  <c r="H101" i="45"/>
  <c r="H102" i="45"/>
  <c r="H99" i="45"/>
  <c r="H94" i="45"/>
  <c r="H95" i="45"/>
  <c r="H89" i="45"/>
  <c r="H85" i="45"/>
  <c r="H86" i="45"/>
  <c r="H87" i="45"/>
  <c r="H88" i="45"/>
  <c r="H82" i="45"/>
  <c r="H75" i="45"/>
  <c r="H76" i="45"/>
  <c r="H77" i="45"/>
  <c r="H78" i="45"/>
  <c r="H40" i="45"/>
  <c r="H28" i="48" s="1"/>
  <c r="H41" i="45"/>
  <c r="H42" i="45"/>
  <c r="H43" i="45"/>
  <c r="H31" i="48" s="1"/>
  <c r="H44" i="45"/>
  <c r="H45" i="45"/>
  <c r="H29" i="48" s="1"/>
  <c r="H46" i="45"/>
  <c r="H40" i="48" s="1"/>
  <c r="H47" i="45"/>
  <c r="H48" i="45"/>
  <c r="H42" i="48" s="1"/>
  <c r="H49" i="45"/>
  <c r="H50" i="45"/>
  <c r="H43" i="48" s="1"/>
  <c r="H51" i="45"/>
  <c r="H52" i="45"/>
  <c r="H53" i="45"/>
  <c r="H54" i="45"/>
  <c r="H33" i="48" s="1"/>
  <c r="H55" i="45"/>
  <c r="H56" i="45"/>
  <c r="H57" i="45"/>
  <c r="H58" i="45"/>
  <c r="H39" i="48" s="1"/>
  <c r="H59" i="45"/>
  <c r="H60" i="45"/>
  <c r="H39" i="45"/>
  <c r="H27" i="48" s="1"/>
  <c r="H28" i="45"/>
  <c r="H37" i="48" s="1"/>
  <c r="H29" i="45"/>
  <c r="H30" i="45"/>
  <c r="H31" i="45"/>
  <c r="H32" i="45"/>
  <c r="H34" i="45"/>
  <c r="H35" i="45"/>
  <c r="H27" i="45"/>
  <c r="H35" i="48" s="1"/>
  <c r="H21" i="45"/>
  <c r="H22" i="45"/>
  <c r="H24" i="45"/>
  <c r="H20" i="45"/>
  <c r="H5" i="45"/>
  <c r="H39" i="46" s="1"/>
  <c r="H8" i="45"/>
  <c r="H42" i="46" s="1"/>
  <c r="H10" i="45"/>
  <c r="H44" i="46" s="1"/>
  <c r="H11" i="45"/>
  <c r="H45" i="46" s="1"/>
  <c r="H12" i="45"/>
  <c r="H46" i="46" s="1"/>
  <c r="H14" i="45"/>
  <c r="H48" i="46" s="1"/>
  <c r="H15" i="45"/>
  <c r="H49" i="46" s="1"/>
  <c r="H16" i="45"/>
  <c r="H50" i="46" s="1"/>
  <c r="H4" i="45"/>
  <c r="H38" i="46" s="1"/>
  <c r="G4" i="45"/>
  <c r="H237" i="45"/>
  <c r="H221" i="45"/>
  <c r="H215" i="45"/>
  <c r="H214" i="45"/>
  <c r="H228" i="45" s="1"/>
  <c r="H213" i="45"/>
  <c r="H227" i="45" s="1"/>
  <c r="H197" i="45"/>
  <c r="H171" i="45"/>
  <c r="H155" i="45"/>
  <c r="H143" i="45"/>
  <c r="H105" i="45"/>
  <c r="H72" i="45"/>
  <c r="H38" i="45"/>
  <c r="H26" i="45"/>
  <c r="H19" i="45"/>
  <c r="C200" i="45"/>
  <c r="C199" i="45"/>
  <c r="C197" i="45"/>
  <c r="C188" i="45"/>
  <c r="C196" i="45" s="1"/>
  <c r="C171" i="45"/>
  <c r="C170" i="45"/>
  <c r="C155" i="45"/>
  <c r="C154" i="45"/>
  <c r="C143" i="45"/>
  <c r="C141" i="45"/>
  <c r="C131" i="45"/>
  <c r="C132" i="45" s="1"/>
  <c r="C69" i="45" s="1"/>
  <c r="C121" i="45"/>
  <c r="C105" i="45"/>
  <c r="C90" i="45"/>
  <c r="C97" i="45" s="1"/>
  <c r="C70" i="45" s="1"/>
  <c r="C80" i="45"/>
  <c r="C72" i="45"/>
  <c r="C61" i="45"/>
  <c r="C64" i="45" s="1"/>
  <c r="C38" i="45"/>
  <c r="C36" i="45"/>
  <c r="C63" i="45" s="1"/>
  <c r="C26" i="45"/>
  <c r="C19" i="45"/>
  <c r="C17" i="45"/>
  <c r="C3" i="45"/>
  <c r="K4" i="45"/>
  <c r="J5" i="43"/>
  <c r="K5" i="43"/>
  <c r="J6" i="43"/>
  <c r="K6" i="43"/>
  <c r="J7" i="43"/>
  <c r="K7" i="43"/>
  <c r="J8" i="43"/>
  <c r="K8" i="43"/>
  <c r="J9" i="43"/>
  <c r="K9" i="43"/>
  <c r="J10" i="43"/>
  <c r="K10" i="43"/>
  <c r="K21" i="43" s="1"/>
  <c r="J11" i="43"/>
  <c r="K11" i="43"/>
  <c r="J12" i="43"/>
  <c r="K12" i="43"/>
  <c r="K13" i="43"/>
  <c r="K4" i="43"/>
  <c r="J4" i="43"/>
  <c r="P11" i="44"/>
  <c r="H214" i="44"/>
  <c r="H228" i="44" s="1"/>
  <c r="H215" i="44"/>
  <c r="H216" i="44"/>
  <c r="H199" i="44"/>
  <c r="H200" i="44"/>
  <c r="H201" i="44"/>
  <c r="H202" i="44"/>
  <c r="H204" i="44"/>
  <c r="H205" i="44"/>
  <c r="H206" i="44"/>
  <c r="H207" i="44"/>
  <c r="H174" i="44"/>
  <c r="H175" i="44"/>
  <c r="H176" i="44"/>
  <c r="H177" i="44"/>
  <c r="H179" i="44"/>
  <c r="H180" i="44"/>
  <c r="H184" i="44"/>
  <c r="H185" i="44"/>
  <c r="H186" i="44"/>
  <c r="H188" i="44"/>
  <c r="H189" i="44"/>
  <c r="H190" i="44"/>
  <c r="H191" i="44"/>
  <c r="H192" i="44"/>
  <c r="H193" i="44"/>
  <c r="H194" i="44"/>
  <c r="H169" i="44"/>
  <c r="H158" i="44"/>
  <c r="H159" i="44"/>
  <c r="H162" i="44"/>
  <c r="H163" i="44"/>
  <c r="H165" i="44"/>
  <c r="H156" i="44"/>
  <c r="H145" i="44"/>
  <c r="H146" i="44"/>
  <c r="H151" i="44"/>
  <c r="H152" i="44"/>
  <c r="H138" i="44"/>
  <c r="H139" i="44"/>
  <c r="H124" i="44"/>
  <c r="H125" i="44"/>
  <c r="H126" i="44"/>
  <c r="H127" i="44"/>
  <c r="H128" i="44"/>
  <c r="H129" i="44"/>
  <c r="H123" i="44"/>
  <c r="H108" i="44"/>
  <c r="H109" i="44"/>
  <c r="H111" i="44"/>
  <c r="H112" i="44"/>
  <c r="H113" i="44"/>
  <c r="H120" i="44"/>
  <c r="H107" i="44"/>
  <c r="H101" i="44"/>
  <c r="H102" i="44"/>
  <c r="H99" i="44"/>
  <c r="H94" i="44"/>
  <c r="H95" i="44"/>
  <c r="H92" i="44"/>
  <c r="C101" i="44"/>
  <c r="C102" i="44"/>
  <c r="C99" i="44"/>
  <c r="H85" i="44"/>
  <c r="H86" i="44"/>
  <c r="H87" i="44"/>
  <c r="H88" i="44"/>
  <c r="H77" i="44"/>
  <c r="H78" i="44"/>
  <c r="H79" i="44"/>
  <c r="H40" i="44"/>
  <c r="H41" i="44"/>
  <c r="H42" i="44"/>
  <c r="H43" i="44"/>
  <c r="H44" i="44"/>
  <c r="H45" i="44"/>
  <c r="H46" i="44"/>
  <c r="H48" i="44"/>
  <c r="H49" i="44"/>
  <c r="H50" i="44"/>
  <c r="H51" i="44"/>
  <c r="H52" i="44"/>
  <c r="H53" i="44"/>
  <c r="H54" i="44"/>
  <c r="H55" i="44"/>
  <c r="H56" i="44"/>
  <c r="H57" i="44"/>
  <c r="H58" i="44"/>
  <c r="H59" i="44"/>
  <c r="H60" i="44"/>
  <c r="H39" i="44"/>
  <c r="H28" i="44"/>
  <c r="H29" i="44"/>
  <c r="H30" i="44"/>
  <c r="H31" i="44"/>
  <c r="H32" i="44"/>
  <c r="H33" i="44"/>
  <c r="H34" i="44"/>
  <c r="H21" i="44"/>
  <c r="H22" i="44"/>
  <c r="H23" i="44"/>
  <c r="H24" i="44"/>
  <c r="H20" i="44"/>
  <c r="H5" i="44"/>
  <c r="P5" i="44" s="1"/>
  <c r="P5" i="43" s="1"/>
  <c r="H6" i="44"/>
  <c r="P6" i="44" s="1"/>
  <c r="H7" i="44"/>
  <c r="P7" i="44" s="1"/>
  <c r="P7" i="43" s="1"/>
  <c r="H8" i="44"/>
  <c r="P8" i="44" s="1"/>
  <c r="H9" i="44"/>
  <c r="P9" i="43" s="1"/>
  <c r="H10" i="44"/>
  <c r="P10" i="44" s="1"/>
  <c r="P10" i="43" s="1"/>
  <c r="H11" i="44"/>
  <c r="H12" i="44"/>
  <c r="P12" i="44" s="1"/>
  <c r="P12" i="43" s="1"/>
  <c r="H13" i="44"/>
  <c r="H14" i="44"/>
  <c r="H15" i="44"/>
  <c r="H16" i="44"/>
  <c r="H4" i="44"/>
  <c r="P4" i="44" s="1"/>
  <c r="G4" i="44"/>
  <c r="H2" i="44"/>
  <c r="G2" i="44"/>
  <c r="H237" i="44"/>
  <c r="H221" i="44"/>
  <c r="H197" i="44"/>
  <c r="H171" i="44"/>
  <c r="H155" i="44"/>
  <c r="H143" i="44"/>
  <c r="H105" i="44"/>
  <c r="H89" i="44"/>
  <c r="H72" i="44"/>
  <c r="H38" i="44"/>
  <c r="H26" i="44"/>
  <c r="H19" i="44"/>
  <c r="H207" i="43"/>
  <c r="H123" i="43"/>
  <c r="H110" i="43"/>
  <c r="H76" i="43"/>
  <c r="H47" i="43"/>
  <c r="H54" i="43"/>
  <c r="H55" i="43"/>
  <c r="H56" i="43"/>
  <c r="H27" i="43"/>
  <c r="H23" i="43"/>
  <c r="H25" i="43"/>
  <c r="H7" i="43"/>
  <c r="H41" i="47" s="1"/>
  <c r="H8" i="43"/>
  <c r="H42" i="47" s="1"/>
  <c r="H14" i="43"/>
  <c r="H48" i="47" s="1"/>
  <c r="H16" i="43"/>
  <c r="C213" i="43"/>
  <c r="C214" i="43"/>
  <c r="C215" i="43"/>
  <c r="C199" i="43"/>
  <c r="C201" i="43"/>
  <c r="C202" i="43"/>
  <c r="C204" i="43"/>
  <c r="C205" i="43"/>
  <c r="C174" i="43"/>
  <c r="C175" i="43"/>
  <c r="C184" i="43"/>
  <c r="C185" i="43"/>
  <c r="C186" i="43"/>
  <c r="C189" i="43"/>
  <c r="C190" i="43"/>
  <c r="C191" i="43"/>
  <c r="C158" i="43"/>
  <c r="C159" i="43"/>
  <c r="C162" i="43"/>
  <c r="C163" i="43"/>
  <c r="C169" i="43"/>
  <c r="C145" i="43"/>
  <c r="C146" i="43"/>
  <c r="C152" i="43"/>
  <c r="C138" i="43"/>
  <c r="C125" i="43"/>
  <c r="C128" i="43"/>
  <c r="C129" i="43"/>
  <c r="C123" i="43"/>
  <c r="C109" i="43"/>
  <c r="C117" i="43"/>
  <c r="C119" i="43"/>
  <c r="C101" i="43"/>
  <c r="C99" i="43"/>
  <c r="C94" i="43"/>
  <c r="C95" i="43"/>
  <c r="C85" i="43"/>
  <c r="C86" i="43"/>
  <c r="C89" i="43"/>
  <c r="C78" i="43"/>
  <c r="C40" i="43"/>
  <c r="C68" i="48" s="1"/>
  <c r="C41" i="43"/>
  <c r="C42" i="43"/>
  <c r="C46" i="43"/>
  <c r="C80" i="48" s="1"/>
  <c r="C47" i="43"/>
  <c r="C81" i="48" s="1"/>
  <c r="C48" i="43"/>
  <c r="C82" i="48" s="1"/>
  <c r="C49" i="43"/>
  <c r="C51" i="43"/>
  <c r="C105" i="48" s="1"/>
  <c r="C52" i="43"/>
  <c r="C53" i="43"/>
  <c r="C54" i="43"/>
  <c r="C58" i="43"/>
  <c r="C79" i="48" s="1"/>
  <c r="C59" i="43"/>
  <c r="C60" i="43"/>
  <c r="C39" i="43"/>
  <c r="C67" i="48" s="1"/>
  <c r="C28" i="43"/>
  <c r="C29" i="43"/>
  <c r="C30" i="43"/>
  <c r="C31" i="43"/>
  <c r="C34" i="43"/>
  <c r="C27" i="43"/>
  <c r="C21" i="43"/>
  <c r="C22" i="43"/>
  <c r="C23" i="43"/>
  <c r="C24" i="43"/>
  <c r="C20" i="43"/>
  <c r="C5" i="43"/>
  <c r="C39" i="47" s="1"/>
  <c r="C6" i="43"/>
  <c r="C40" i="47" s="1"/>
  <c r="C9" i="43"/>
  <c r="C43" i="47" s="1"/>
  <c r="C10" i="43"/>
  <c r="C11" i="43"/>
  <c r="C12" i="43"/>
  <c r="C16" i="43"/>
  <c r="C50" i="47" s="1"/>
  <c r="C4" i="43"/>
  <c r="C38" i="47" s="1"/>
  <c r="B4" i="43"/>
  <c r="C2" i="43"/>
  <c r="B2" i="43"/>
  <c r="H221" i="43"/>
  <c r="H197" i="43"/>
  <c r="H171" i="43"/>
  <c r="H155" i="43"/>
  <c r="H143" i="43"/>
  <c r="H105" i="43"/>
  <c r="H89" i="43"/>
  <c r="H72" i="43"/>
  <c r="H38" i="43"/>
  <c r="H26" i="43"/>
  <c r="H19" i="43"/>
  <c r="E219" i="49"/>
  <c r="AC221" i="49"/>
  <c r="AB221" i="49"/>
  <c r="AA221" i="49"/>
  <c r="Z221" i="49"/>
  <c r="Y221" i="49"/>
  <c r="X221" i="49"/>
  <c r="W221" i="49"/>
  <c r="V221" i="49"/>
  <c r="S221" i="49"/>
  <c r="R221" i="49"/>
  <c r="Q221" i="49"/>
  <c r="P221" i="49"/>
  <c r="O221" i="49"/>
  <c r="N221" i="49"/>
  <c r="M221" i="49"/>
  <c r="L221" i="49"/>
  <c r="I221" i="49"/>
  <c r="H221" i="49"/>
  <c r="G221" i="49"/>
  <c r="F221" i="49"/>
  <c r="E221" i="49"/>
  <c r="D221" i="49"/>
  <c r="C221" i="49"/>
  <c r="B221" i="49"/>
  <c r="A221" i="49"/>
  <c r="B3" i="41"/>
  <c r="B74" i="41" s="1"/>
  <c r="I2" i="41"/>
  <c r="V2" i="40"/>
  <c r="B3" i="40"/>
  <c r="B74" i="40" s="1"/>
  <c r="L2" i="40"/>
  <c r="S2" i="40" s="1"/>
  <c r="I2" i="40"/>
  <c r="V2" i="36"/>
  <c r="S217" i="36"/>
  <c r="S2" i="36"/>
  <c r="I217" i="36"/>
  <c r="B3" i="36"/>
  <c r="B74" i="36" s="1"/>
  <c r="I2" i="36"/>
  <c r="J16" i="35"/>
  <c r="K16" i="43" s="1"/>
  <c r="J15" i="35"/>
  <c r="K15" i="43" s="1"/>
  <c r="J14" i="35"/>
  <c r="K14" i="43" s="1"/>
  <c r="J13" i="35"/>
  <c r="B3" i="35"/>
  <c r="I3" i="35" s="1"/>
  <c r="I2" i="35"/>
  <c r="I132" i="49" l="1"/>
  <c r="H99" i="48"/>
  <c r="H78" i="48"/>
  <c r="H38" i="48"/>
  <c r="H36" i="43"/>
  <c r="H63" i="43" s="1"/>
  <c r="AC88" i="49"/>
  <c r="H88" i="43" s="1"/>
  <c r="D134" i="49"/>
  <c r="D161" i="49"/>
  <c r="D170" i="49" s="1"/>
  <c r="D136" i="49"/>
  <c r="AC117" i="49"/>
  <c r="H117" i="43" s="1"/>
  <c r="AC119" i="49"/>
  <c r="H119" i="43" s="1"/>
  <c r="AC190" i="49"/>
  <c r="H190" i="43" s="1"/>
  <c r="AC216" i="49"/>
  <c r="H216" i="43" s="1"/>
  <c r="F141" i="49"/>
  <c r="F142" i="49" s="1"/>
  <c r="Q141" i="49"/>
  <c r="Q142" i="49" s="1"/>
  <c r="H36" i="48"/>
  <c r="H44" i="48"/>
  <c r="X36" i="49"/>
  <c r="X63" i="49" s="1"/>
  <c r="X65" i="49" s="1"/>
  <c r="AC45" i="49"/>
  <c r="H45" i="43" s="1"/>
  <c r="X131" i="49"/>
  <c r="AC126" i="49"/>
  <c r="H126" i="43" s="1"/>
  <c r="AC180" i="49"/>
  <c r="H180" i="43" s="1"/>
  <c r="Q161" i="49"/>
  <c r="Q134" i="49"/>
  <c r="Q136" i="49"/>
  <c r="G141" i="49"/>
  <c r="G142" i="49" s="1"/>
  <c r="S132" i="49"/>
  <c r="AC158" i="49"/>
  <c r="H158" i="43" s="1"/>
  <c r="AC162" i="49"/>
  <c r="H162" i="43" s="1"/>
  <c r="AC165" i="49"/>
  <c r="H165" i="43" s="1"/>
  <c r="AC177" i="49"/>
  <c r="H177" i="43" s="1"/>
  <c r="AC181" i="49"/>
  <c r="H181" i="43" s="1"/>
  <c r="AC184" i="49"/>
  <c r="H184" i="43" s="1"/>
  <c r="N136" i="49"/>
  <c r="N161" i="49"/>
  <c r="N170" i="49" s="1"/>
  <c r="N134" i="49"/>
  <c r="H141" i="49"/>
  <c r="H142" i="49" s="1"/>
  <c r="X154" i="49"/>
  <c r="B133" i="49"/>
  <c r="N90" i="49"/>
  <c r="N97" i="49" s="1"/>
  <c r="S83" i="49"/>
  <c r="S90" i="49" s="1"/>
  <c r="H134" i="49"/>
  <c r="H136" i="49"/>
  <c r="H161" i="49"/>
  <c r="I3" i="49"/>
  <c r="B74" i="49"/>
  <c r="AC32" i="49"/>
  <c r="H32" i="43" s="1"/>
  <c r="AC53" i="49"/>
  <c r="H53" i="43" s="1"/>
  <c r="AC94" i="49"/>
  <c r="H94" i="43" s="1"/>
  <c r="Y103" i="49"/>
  <c r="AC185" i="49"/>
  <c r="H185" i="43" s="1"/>
  <c r="P136" i="49"/>
  <c r="P141" i="49" s="1"/>
  <c r="P142" i="49" s="1"/>
  <c r="P161" i="49"/>
  <c r="P134" i="49"/>
  <c r="I131" i="49"/>
  <c r="P8" i="43"/>
  <c r="AC29" i="49"/>
  <c r="H29" i="43" s="1"/>
  <c r="H118" i="48" s="1"/>
  <c r="AC43" i="49"/>
  <c r="H43" i="43" s="1"/>
  <c r="AC51" i="49"/>
  <c r="H51" i="43" s="1"/>
  <c r="H126" i="48" s="1"/>
  <c r="AC87" i="49"/>
  <c r="H87" i="43" s="1"/>
  <c r="H100" i="44"/>
  <c r="H103" i="44" s="1"/>
  <c r="AC109" i="49"/>
  <c r="H109" i="43" s="1"/>
  <c r="AC120" i="49"/>
  <c r="H120" i="43" s="1"/>
  <c r="AC205" i="49"/>
  <c r="H205" i="43" s="1"/>
  <c r="B154" i="49"/>
  <c r="B161" i="49"/>
  <c r="B134" i="49"/>
  <c r="I134" i="49" s="1"/>
  <c r="B136" i="49"/>
  <c r="I136" i="49" s="1"/>
  <c r="D133" i="49"/>
  <c r="D141" i="49" s="1"/>
  <c r="D142" i="49" s="1"/>
  <c r="D210" i="49" s="1"/>
  <c r="F93" i="49"/>
  <c r="F170" i="49"/>
  <c r="AC57" i="49"/>
  <c r="H57" i="43" s="1"/>
  <c r="H115" i="48" s="1"/>
  <c r="AC75" i="49"/>
  <c r="H75" i="43" s="1"/>
  <c r="AC102" i="49"/>
  <c r="H102" i="43" s="1"/>
  <c r="AC118" i="49"/>
  <c r="H118" i="43" s="1"/>
  <c r="AC169" i="49"/>
  <c r="H169" i="43" s="1"/>
  <c r="AC179" i="49"/>
  <c r="H179" i="43" s="1"/>
  <c r="Y208" i="49"/>
  <c r="M133" i="49"/>
  <c r="M141" i="49" s="1"/>
  <c r="M142" i="49" s="1"/>
  <c r="M210" i="49" s="1"/>
  <c r="M170" i="49"/>
  <c r="S157" i="49"/>
  <c r="G93" i="49"/>
  <c r="G96" i="49" s="1"/>
  <c r="G97" i="49" s="1"/>
  <c r="G170" i="49"/>
  <c r="H117" i="48"/>
  <c r="AC112" i="49"/>
  <c r="H112" i="43" s="1"/>
  <c r="AC130" i="49"/>
  <c r="H130" i="43" s="1"/>
  <c r="AC139" i="49"/>
  <c r="H139" i="43" s="1"/>
  <c r="AC163" i="49"/>
  <c r="H163" i="43" s="1"/>
  <c r="AC176" i="49"/>
  <c r="H176" i="43" s="1"/>
  <c r="AC191" i="49"/>
  <c r="H191" i="43" s="1"/>
  <c r="AC194" i="49"/>
  <c r="H194" i="43" s="1"/>
  <c r="L133" i="49"/>
  <c r="I69" i="49"/>
  <c r="L154" i="49"/>
  <c r="S144" i="49"/>
  <c r="S154" i="49" s="1"/>
  <c r="P4" i="43"/>
  <c r="H75" i="48" s="1"/>
  <c r="AC22" i="49"/>
  <c r="H22" i="43" s="1"/>
  <c r="AC33" i="49"/>
  <c r="H33" i="43" s="1"/>
  <c r="V90" i="49"/>
  <c r="AC92" i="49"/>
  <c r="H92" i="43" s="1"/>
  <c r="X103" i="49"/>
  <c r="AC116" i="49"/>
  <c r="H116" i="43" s="1"/>
  <c r="AC159" i="49"/>
  <c r="H159" i="43" s="1"/>
  <c r="AC200" i="49"/>
  <c r="H200" i="43" s="1"/>
  <c r="I68" i="49"/>
  <c r="L134" i="49"/>
  <c r="S134" i="49" s="1"/>
  <c r="T134" i="49" s="1"/>
  <c r="P17" i="45"/>
  <c r="P18" i="45" s="1"/>
  <c r="AC52" i="49"/>
  <c r="H52" i="43" s="1"/>
  <c r="W90" i="49"/>
  <c r="AC189" i="49"/>
  <c r="H189" i="43" s="1"/>
  <c r="R161" i="49"/>
  <c r="R134" i="49"/>
  <c r="R136" i="49"/>
  <c r="I160" i="49"/>
  <c r="N196" i="49"/>
  <c r="S182" i="49"/>
  <c r="R141" i="49"/>
  <c r="R142" i="49" s="1"/>
  <c r="N141" i="49"/>
  <c r="N142" i="49" s="1"/>
  <c r="N210" i="49" s="1"/>
  <c r="S161" i="49"/>
  <c r="S132" i="42"/>
  <c r="I196" i="42"/>
  <c r="S134" i="42"/>
  <c r="T134" i="42" s="1"/>
  <c r="H134" i="42"/>
  <c r="H136" i="42"/>
  <c r="H141" i="42" s="1"/>
  <c r="H142" i="42" s="1"/>
  <c r="H161" i="42"/>
  <c r="AC24" i="42"/>
  <c r="AC30" i="42"/>
  <c r="AC33" i="42"/>
  <c r="AC75" i="42"/>
  <c r="AC86" i="42"/>
  <c r="AC109" i="42"/>
  <c r="V131" i="42"/>
  <c r="AC145" i="42"/>
  <c r="Y170" i="42"/>
  <c r="AC165" i="42"/>
  <c r="AC184" i="42"/>
  <c r="AC202" i="42"/>
  <c r="AC214" i="42"/>
  <c r="N136" i="42"/>
  <c r="N161" i="42"/>
  <c r="N170" i="42" s="1"/>
  <c r="N134" i="42"/>
  <c r="N141" i="42" s="1"/>
  <c r="N142" i="42" s="1"/>
  <c r="N210" i="42" s="1"/>
  <c r="L154" i="42"/>
  <c r="S144" i="42"/>
  <c r="S154" i="42" s="1"/>
  <c r="I136" i="42"/>
  <c r="B166" i="42"/>
  <c r="I166" i="42" s="1"/>
  <c r="I74" i="42"/>
  <c r="I80" i="42" s="1"/>
  <c r="B168" i="42"/>
  <c r="I168" i="42" s="1"/>
  <c r="B80" i="42"/>
  <c r="B97" i="42" s="1"/>
  <c r="B167" i="42"/>
  <c r="I167" i="42" s="1"/>
  <c r="B195" i="42"/>
  <c r="I195" i="42" s="1"/>
  <c r="AC48" i="42"/>
  <c r="S135" i="42"/>
  <c r="Q141" i="42"/>
  <c r="Q142" i="42" s="1"/>
  <c r="G141" i="42"/>
  <c r="G142" i="42" s="1"/>
  <c r="G210" i="42" s="1"/>
  <c r="S83" i="42"/>
  <c r="S90" i="42" s="1"/>
  <c r="N90" i="42"/>
  <c r="N97" i="42" s="1"/>
  <c r="I161" i="42"/>
  <c r="AC94" i="42"/>
  <c r="AC113" i="42"/>
  <c r="AC138" i="42"/>
  <c r="AC206" i="42"/>
  <c r="Q161" i="42"/>
  <c r="Q134" i="42"/>
  <c r="Q136" i="42"/>
  <c r="AC53" i="42"/>
  <c r="AC28" i="42"/>
  <c r="AC51" i="42"/>
  <c r="AC110" i="42"/>
  <c r="AC179" i="42"/>
  <c r="AC194" i="42"/>
  <c r="AC200" i="42"/>
  <c r="P161" i="42"/>
  <c r="P134" i="42"/>
  <c r="P136" i="42"/>
  <c r="M136" i="42"/>
  <c r="M161" i="42"/>
  <c r="M170" i="42" s="1"/>
  <c r="M134" i="42"/>
  <c r="R141" i="42"/>
  <c r="R142" i="42" s="1"/>
  <c r="R210" i="42" s="1"/>
  <c r="F93" i="42"/>
  <c r="F170" i="42"/>
  <c r="F210" i="42" s="1"/>
  <c r="D133" i="42"/>
  <c r="D141" i="42" s="1"/>
  <c r="D142" i="42" s="1"/>
  <c r="D210" i="42" s="1"/>
  <c r="S157" i="42"/>
  <c r="W36" i="42"/>
  <c r="W63" i="42" s="1"/>
  <c r="AC34" i="42"/>
  <c r="AC40" i="42"/>
  <c r="AC61" i="42" s="1"/>
  <c r="AC64" i="42" s="1"/>
  <c r="AC117" i="42"/>
  <c r="W154" i="42"/>
  <c r="AC173" i="42"/>
  <c r="S178" i="42"/>
  <c r="AC22" i="42"/>
  <c r="AC46" i="42"/>
  <c r="AC52" i="42"/>
  <c r="AC55" i="42"/>
  <c r="AC124" i="42"/>
  <c r="AC186" i="42"/>
  <c r="AC189" i="42"/>
  <c r="AC213" i="42"/>
  <c r="AC216" i="42"/>
  <c r="N196" i="42"/>
  <c r="S182" i="42"/>
  <c r="I160" i="42"/>
  <c r="I170" i="42" s="1"/>
  <c r="M133" i="42"/>
  <c r="R170" i="42"/>
  <c r="R93" i="42"/>
  <c r="R96" i="42" s="1"/>
  <c r="R97" i="42" s="1"/>
  <c r="P141" i="42"/>
  <c r="P142" i="42" s="1"/>
  <c r="L133" i="42"/>
  <c r="AC23" i="42"/>
  <c r="AC29" i="42"/>
  <c r="AC35" i="42"/>
  <c r="AC201" i="42"/>
  <c r="AC207" i="42"/>
  <c r="C121" i="42"/>
  <c r="C132" i="42" s="1"/>
  <c r="I115" i="42"/>
  <c r="I121" i="42" s="1"/>
  <c r="I132" i="42" s="1"/>
  <c r="B196" i="42"/>
  <c r="AC41" i="42"/>
  <c r="AC44" i="42"/>
  <c r="AC47" i="42"/>
  <c r="X96" i="42"/>
  <c r="AC118" i="42"/>
  <c r="AC180" i="42"/>
  <c r="AC190" i="42"/>
  <c r="B154" i="42"/>
  <c r="I144" i="42"/>
  <c r="I154" i="42" s="1"/>
  <c r="G93" i="42"/>
  <c r="G96" i="42" s="1"/>
  <c r="G97" i="42" s="1"/>
  <c r="G170" i="42"/>
  <c r="S136" i="42"/>
  <c r="AC50" i="42"/>
  <c r="AC56" i="42"/>
  <c r="AC59" i="42"/>
  <c r="X80" i="42"/>
  <c r="AC95" i="42"/>
  <c r="X154" i="42"/>
  <c r="AC174" i="42"/>
  <c r="AC193" i="42"/>
  <c r="AC217" i="42"/>
  <c r="I68" i="42"/>
  <c r="D196" i="42"/>
  <c r="I182" i="42"/>
  <c r="B121" i="42"/>
  <c r="B132" i="42" s="1"/>
  <c r="AC23" i="41"/>
  <c r="AC192" i="41"/>
  <c r="AC213" i="41"/>
  <c r="L132" i="41"/>
  <c r="AC29" i="41"/>
  <c r="AC36" i="41" s="1"/>
  <c r="AC63" i="41" s="1"/>
  <c r="AC52" i="41"/>
  <c r="S135" i="41"/>
  <c r="Q161" i="41"/>
  <c r="Q134" i="41"/>
  <c r="Q136" i="41"/>
  <c r="Q141" i="41" s="1"/>
  <c r="Q142" i="41" s="1"/>
  <c r="P141" i="41"/>
  <c r="P142" i="41" s="1"/>
  <c r="G170" i="41"/>
  <c r="G93" i="41"/>
  <c r="G96" i="41" s="1"/>
  <c r="G97" i="41" s="1"/>
  <c r="B166" i="41"/>
  <c r="I166" i="41" s="1"/>
  <c r="B80" i="41"/>
  <c r="B97" i="41" s="1"/>
  <c r="B168" i="41"/>
  <c r="I168" i="41" s="1"/>
  <c r="B167" i="41"/>
  <c r="I167" i="41" s="1"/>
  <c r="I74" i="41"/>
  <c r="I80" i="41" s="1"/>
  <c r="B195" i="41"/>
  <c r="I195" i="41" s="1"/>
  <c r="AC21" i="41"/>
  <c r="AC47" i="41"/>
  <c r="C121" i="41"/>
  <c r="C132" i="41" s="1"/>
  <c r="C134" i="41" s="1"/>
  <c r="I115" i="41"/>
  <c r="I121" i="41" s="1"/>
  <c r="I132" i="41" s="1"/>
  <c r="C136" i="41"/>
  <c r="C161" i="41"/>
  <c r="C170" i="41" s="1"/>
  <c r="AC41" i="41"/>
  <c r="AC152" i="41"/>
  <c r="AC204" i="41"/>
  <c r="AC216" i="41"/>
  <c r="S115" i="41"/>
  <c r="S121" i="41" s="1"/>
  <c r="S132" i="41" s="1"/>
  <c r="M121" i="41"/>
  <c r="M132" i="41" s="1"/>
  <c r="AC88" i="41"/>
  <c r="AC92" i="41"/>
  <c r="AC181" i="41"/>
  <c r="AC201" i="41"/>
  <c r="L154" i="41"/>
  <c r="S144" i="41"/>
  <c r="S154" i="41" s="1"/>
  <c r="B161" i="41"/>
  <c r="B136" i="41"/>
  <c r="I136" i="41" s="1"/>
  <c r="B134" i="41"/>
  <c r="F170" i="41"/>
  <c r="F93" i="41"/>
  <c r="AC24" i="41"/>
  <c r="AC45" i="41"/>
  <c r="AC175" i="41"/>
  <c r="H170" i="41"/>
  <c r="H93" i="41"/>
  <c r="H96" i="41" s="1"/>
  <c r="H97" i="41" s="1"/>
  <c r="N196" i="41"/>
  <c r="N210" i="41" s="1"/>
  <c r="S182" i="41"/>
  <c r="X61" i="41"/>
  <c r="X64" i="41" s="1"/>
  <c r="AC85" i="41"/>
  <c r="AC95" i="41"/>
  <c r="W154" i="41"/>
  <c r="AC165" i="41"/>
  <c r="AC202" i="41"/>
  <c r="B154" i="41"/>
  <c r="I144" i="41"/>
  <c r="I154" i="41" s="1"/>
  <c r="D196" i="41"/>
  <c r="I182" i="41"/>
  <c r="I196" i="41" s="1"/>
  <c r="P161" i="41"/>
  <c r="P134" i="41"/>
  <c r="P136" i="41"/>
  <c r="M170" i="41"/>
  <c r="S157" i="41"/>
  <c r="B133" i="41"/>
  <c r="V96" i="41"/>
  <c r="AC173" i="41"/>
  <c r="AC179" i="41"/>
  <c r="W208" i="41"/>
  <c r="R93" i="41"/>
  <c r="R96" i="41" s="1"/>
  <c r="R97" i="41" s="1"/>
  <c r="R170" i="41"/>
  <c r="AC28" i="41"/>
  <c r="AC39" i="41"/>
  <c r="AC54" i="41"/>
  <c r="AC57" i="41"/>
  <c r="AC86" i="41"/>
  <c r="AC112" i="41"/>
  <c r="AC146" i="41"/>
  <c r="AC163" i="41"/>
  <c r="AC176" i="41"/>
  <c r="S161" i="41"/>
  <c r="H133" i="41"/>
  <c r="H141" i="41" s="1"/>
  <c r="H142" i="41" s="1"/>
  <c r="H210" i="41" s="1"/>
  <c r="AC109" i="41"/>
  <c r="AC123" i="41"/>
  <c r="AC139" i="41"/>
  <c r="AC206" i="41"/>
  <c r="S140" i="41"/>
  <c r="S136" i="41"/>
  <c r="S83" i="41"/>
  <c r="S90" i="41" s="1"/>
  <c r="N90" i="41"/>
  <c r="N97" i="41" s="1"/>
  <c r="R133" i="41"/>
  <c r="R141" i="41" s="1"/>
  <c r="R142" i="41" s="1"/>
  <c r="R210" i="41" s="1"/>
  <c r="D90" i="41"/>
  <c r="D97" i="41" s="1"/>
  <c r="I83" i="41"/>
  <c r="I90" i="41" s="1"/>
  <c r="AC40" i="41"/>
  <c r="AC76" i="41"/>
  <c r="AC116" i="41"/>
  <c r="AC126" i="41"/>
  <c r="Y196" i="41"/>
  <c r="AC186" i="41"/>
  <c r="AC200" i="41"/>
  <c r="AC215" i="41"/>
  <c r="F133" i="41"/>
  <c r="F141" i="41" s="1"/>
  <c r="F142" i="41" s="1"/>
  <c r="F210" i="41" s="1"/>
  <c r="S178" i="41"/>
  <c r="D134" i="41"/>
  <c r="D141" i="41" s="1"/>
  <c r="D142" i="41" s="1"/>
  <c r="D210" i="41" s="1"/>
  <c r="D136" i="41"/>
  <c r="D161" i="41"/>
  <c r="D170" i="41" s="1"/>
  <c r="G141" i="41"/>
  <c r="G142" i="41" s="1"/>
  <c r="G210" i="41" s="1"/>
  <c r="AC30" i="40"/>
  <c r="Y61" i="40"/>
  <c r="Y64" i="40" s="1"/>
  <c r="AC101" i="40"/>
  <c r="AC173" i="40"/>
  <c r="AC176" i="40"/>
  <c r="I144" i="40"/>
  <c r="I154" i="40" s="1"/>
  <c r="B154" i="40"/>
  <c r="D133" i="40"/>
  <c r="AC39" i="40"/>
  <c r="AC116" i="40"/>
  <c r="AC139" i="40"/>
  <c r="AC200" i="40"/>
  <c r="D134" i="40"/>
  <c r="AC45" i="40"/>
  <c r="AC127" i="40"/>
  <c r="I3" i="40"/>
  <c r="W36" i="40"/>
  <c r="W63" i="40" s="1"/>
  <c r="W65" i="40" s="1"/>
  <c r="AC40" i="40"/>
  <c r="AC177" i="40"/>
  <c r="R134" i="40"/>
  <c r="R161" i="40"/>
  <c r="R136" i="40"/>
  <c r="N161" i="40"/>
  <c r="N170" i="40" s="1"/>
  <c r="N136" i="40"/>
  <c r="N134" i="40"/>
  <c r="N141" i="40" s="1"/>
  <c r="N142" i="40" s="1"/>
  <c r="N210" i="40" s="1"/>
  <c r="F136" i="40"/>
  <c r="F134" i="40"/>
  <c r="F141" i="40" s="1"/>
  <c r="F142" i="40" s="1"/>
  <c r="F161" i="40"/>
  <c r="H141" i="40"/>
  <c r="H142" i="40" s="1"/>
  <c r="R141" i="40"/>
  <c r="R142" i="40" s="1"/>
  <c r="B133" i="40"/>
  <c r="AC57" i="40"/>
  <c r="Y154" i="40"/>
  <c r="C134" i="40"/>
  <c r="C161" i="40"/>
  <c r="C170" i="40" s="1"/>
  <c r="C136" i="40"/>
  <c r="S182" i="40"/>
  <c r="N196" i="40"/>
  <c r="I121" i="40"/>
  <c r="I132" i="40" s="1"/>
  <c r="I68" i="40" s="1"/>
  <c r="S136" i="40"/>
  <c r="AC22" i="40"/>
  <c r="W61" i="40"/>
  <c r="W64" i="40" s="1"/>
  <c r="X96" i="40"/>
  <c r="L133" i="40"/>
  <c r="AC184" i="40"/>
  <c r="X208" i="40"/>
  <c r="AC201" i="40"/>
  <c r="S83" i="40"/>
  <c r="S90" i="40" s="1"/>
  <c r="N90" i="40"/>
  <c r="N97" i="40" s="1"/>
  <c r="L154" i="40"/>
  <c r="S144" i="40"/>
  <c r="S154" i="40" s="1"/>
  <c r="C133" i="40"/>
  <c r="B168" i="40"/>
  <c r="I168" i="40" s="1"/>
  <c r="B195" i="40"/>
  <c r="B166" i="40"/>
  <c r="I166" i="40" s="1"/>
  <c r="B80" i="40"/>
  <c r="B97" i="40" s="1"/>
  <c r="I74" i="40"/>
  <c r="I80" i="40" s="1"/>
  <c r="B167" i="40"/>
  <c r="I167" i="40" s="1"/>
  <c r="AC204" i="40"/>
  <c r="I140" i="40"/>
  <c r="S135" i="40"/>
  <c r="P170" i="40"/>
  <c r="P93" i="40"/>
  <c r="AC35" i="40"/>
  <c r="AC50" i="40"/>
  <c r="AC53" i="40"/>
  <c r="W80" i="40"/>
  <c r="W96" i="40"/>
  <c r="AC145" i="40"/>
  <c r="AC205" i="40"/>
  <c r="S140" i="40"/>
  <c r="I135" i="40"/>
  <c r="Q133" i="40"/>
  <c r="G141" i="40"/>
  <c r="G142" i="40" s="1"/>
  <c r="H170" i="40"/>
  <c r="H93" i="40"/>
  <c r="H96" i="40" s="1"/>
  <c r="H97" i="40" s="1"/>
  <c r="AC32" i="40"/>
  <c r="X80" i="40"/>
  <c r="AC185" i="40"/>
  <c r="AC188" i="40"/>
  <c r="AC199" i="40"/>
  <c r="Q134" i="40"/>
  <c r="Q161" i="40"/>
  <c r="Q136" i="40"/>
  <c r="G170" i="40"/>
  <c r="G93" i="40"/>
  <c r="G96" i="40" s="1"/>
  <c r="G97" i="40" s="1"/>
  <c r="P133" i="40"/>
  <c r="P141" i="40" s="1"/>
  <c r="P142" i="40"/>
  <c r="P210" i="40" s="1"/>
  <c r="AC20" i="40"/>
  <c r="AC27" i="40"/>
  <c r="AC44" i="40"/>
  <c r="AC59" i="40"/>
  <c r="AC88" i="40"/>
  <c r="X131" i="40"/>
  <c r="AC169" i="40"/>
  <c r="AC191" i="40"/>
  <c r="B161" i="40"/>
  <c r="B136" i="40"/>
  <c r="B134" i="40"/>
  <c r="I134" i="40" s="1"/>
  <c r="J134" i="40" s="1"/>
  <c r="S115" i="40"/>
  <c r="S121" i="40" s="1"/>
  <c r="S132" i="40" s="1"/>
  <c r="M121" i="40"/>
  <c r="M132" i="40" s="1"/>
  <c r="S157" i="40"/>
  <c r="M170" i="40"/>
  <c r="Q210" i="36"/>
  <c r="AC101" i="36"/>
  <c r="AC112" i="36"/>
  <c r="S115" i="36"/>
  <c r="S121" i="36" s="1"/>
  <c r="S132" i="36" s="1"/>
  <c r="M121" i="36"/>
  <c r="M132" i="36" s="1"/>
  <c r="M134" i="36" s="1"/>
  <c r="L133" i="36"/>
  <c r="AC57" i="36"/>
  <c r="S135" i="36"/>
  <c r="G141" i="36"/>
  <c r="G142" i="36" s="1"/>
  <c r="R134" i="36"/>
  <c r="R136" i="36"/>
  <c r="R141" i="36" s="1"/>
  <c r="R142" i="36" s="1"/>
  <c r="R161" i="36"/>
  <c r="M161" i="36"/>
  <c r="M136" i="36"/>
  <c r="I114" i="36"/>
  <c r="B121" i="36"/>
  <c r="B132" i="36" s="1"/>
  <c r="I83" i="36"/>
  <c r="I90" i="36" s="1"/>
  <c r="D90" i="36"/>
  <c r="D97" i="36" s="1"/>
  <c r="AC30" i="36"/>
  <c r="I115" i="36"/>
  <c r="C121" i="36"/>
  <c r="C132" i="36" s="1"/>
  <c r="P170" i="36"/>
  <c r="P93" i="36"/>
  <c r="X103" i="36"/>
  <c r="H136" i="36"/>
  <c r="H161" i="36"/>
  <c r="H134" i="36"/>
  <c r="H141" i="36" s="1"/>
  <c r="H142" i="36" s="1"/>
  <c r="I160" i="36"/>
  <c r="P141" i="36"/>
  <c r="P142" i="36" s="1"/>
  <c r="AC102" i="36"/>
  <c r="L187" i="36"/>
  <c r="L164" i="36"/>
  <c r="S164" i="36" s="1"/>
  <c r="N182" i="36"/>
  <c r="X182" i="36" s="1"/>
  <c r="L178" i="36"/>
  <c r="L149" i="36"/>
  <c r="S149" i="36" s="1"/>
  <c r="N84" i="36"/>
  <c r="N83" i="36"/>
  <c r="L212" i="36"/>
  <c r="S212" i="36" s="1"/>
  <c r="M157" i="36"/>
  <c r="L148" i="36"/>
  <c r="S148" i="36" s="1"/>
  <c r="L144" i="36"/>
  <c r="N183" i="36"/>
  <c r="L160" i="36"/>
  <c r="L153" i="36"/>
  <c r="L150" i="36"/>
  <c r="S150" i="36" s="1"/>
  <c r="L147" i="36"/>
  <c r="S147" i="36" s="1"/>
  <c r="G93" i="36"/>
  <c r="G96" i="36" s="1"/>
  <c r="G97" i="36" s="1"/>
  <c r="G170" i="36"/>
  <c r="D134" i="36"/>
  <c r="D136" i="36"/>
  <c r="I136" i="36" s="1"/>
  <c r="D161" i="36"/>
  <c r="D170" i="36" s="1"/>
  <c r="C170" i="36"/>
  <c r="I157" i="36"/>
  <c r="AC192" i="36"/>
  <c r="I144" i="36"/>
  <c r="I154" i="36" s="1"/>
  <c r="B154" i="36"/>
  <c r="F93" i="36"/>
  <c r="F170" i="36"/>
  <c r="F141" i="36"/>
  <c r="F142" i="36" s="1"/>
  <c r="F210" i="36" s="1"/>
  <c r="Q93" i="36"/>
  <c r="Q96" i="36" s="1"/>
  <c r="Q97" i="36" s="1"/>
  <c r="Q170" i="36"/>
  <c r="I74" i="36"/>
  <c r="I80" i="36" s="1"/>
  <c r="B168" i="36"/>
  <c r="I168" i="36" s="1"/>
  <c r="B80" i="36"/>
  <c r="B97" i="36" s="1"/>
  <c r="B167" i="36"/>
  <c r="I167" i="36" s="1"/>
  <c r="B195" i="36"/>
  <c r="B166" i="36"/>
  <c r="I166" i="36" s="1"/>
  <c r="AC41" i="36"/>
  <c r="AC215" i="36"/>
  <c r="S136" i="36"/>
  <c r="AC169" i="36"/>
  <c r="L134" i="36"/>
  <c r="I135" i="36"/>
  <c r="D196" i="36"/>
  <c r="I182" i="36"/>
  <c r="S161" i="36"/>
  <c r="AC185" i="36"/>
  <c r="AC188" i="36"/>
  <c r="AC194" i="36"/>
  <c r="AC40" i="36"/>
  <c r="AC58" i="36"/>
  <c r="AC163" i="36"/>
  <c r="AC42" i="36"/>
  <c r="AC28" i="36"/>
  <c r="X154" i="36"/>
  <c r="AC151" i="36"/>
  <c r="AC186" i="36"/>
  <c r="AC29" i="36"/>
  <c r="X80" i="36"/>
  <c r="AC85" i="36"/>
  <c r="AC92" i="36"/>
  <c r="AC95" i="36"/>
  <c r="AC53" i="36"/>
  <c r="AC152" i="36"/>
  <c r="V61" i="36"/>
  <c r="V64" i="36" s="1"/>
  <c r="AC47" i="36"/>
  <c r="AC128" i="36"/>
  <c r="AC23" i="36"/>
  <c r="AC43" i="36"/>
  <c r="AC46" i="36"/>
  <c r="AC49" i="36"/>
  <c r="AC54" i="36"/>
  <c r="AC60" i="36"/>
  <c r="AC75" i="36"/>
  <c r="W96" i="36"/>
  <c r="AC111" i="36"/>
  <c r="AC127" i="36"/>
  <c r="AC176" i="36"/>
  <c r="AC200" i="36"/>
  <c r="AC202" i="36"/>
  <c r="AC125" i="36"/>
  <c r="AC159" i="36"/>
  <c r="AC203" i="36"/>
  <c r="AC191" i="36"/>
  <c r="AC55" i="36"/>
  <c r="AC24" i="36"/>
  <c r="V36" i="36"/>
  <c r="V63" i="36" s="1"/>
  <c r="AC99" i="36"/>
  <c r="W103" i="36"/>
  <c r="V164" i="36"/>
  <c r="AC164" i="36" s="1"/>
  <c r="W196" i="36"/>
  <c r="AC189" i="36"/>
  <c r="AC216" i="36"/>
  <c r="AC21" i="36"/>
  <c r="AC35" i="36"/>
  <c r="AC50" i="36"/>
  <c r="AC79" i="36"/>
  <c r="AC109" i="36"/>
  <c r="AC118" i="36"/>
  <c r="AC76" i="36"/>
  <c r="AC33" i="36"/>
  <c r="X96" i="36"/>
  <c r="AC126" i="36"/>
  <c r="AC129" i="36"/>
  <c r="AC139" i="36"/>
  <c r="W208" i="36"/>
  <c r="AC204" i="36"/>
  <c r="AC207" i="36"/>
  <c r="AC213" i="36"/>
  <c r="AC39" i="36"/>
  <c r="Y103" i="36"/>
  <c r="AC116" i="36"/>
  <c r="AC146" i="36"/>
  <c r="AC158" i="36"/>
  <c r="AC180" i="36"/>
  <c r="AC184" i="36"/>
  <c r="X208" i="36"/>
  <c r="AC94" i="36"/>
  <c r="X131" i="36"/>
  <c r="Y154" i="36"/>
  <c r="AC162" i="36"/>
  <c r="AC181" i="36"/>
  <c r="AC190" i="36"/>
  <c r="AC214" i="36"/>
  <c r="AC22" i="36"/>
  <c r="AC45" i="36"/>
  <c r="AC51" i="36"/>
  <c r="AC77" i="36"/>
  <c r="AC110" i="36"/>
  <c r="W154" i="36"/>
  <c r="AC199" i="36"/>
  <c r="AC31" i="36"/>
  <c r="AC34" i="36"/>
  <c r="Y61" i="36"/>
  <c r="Y64" i="36" s="1"/>
  <c r="Y65" i="36" s="1"/>
  <c r="AC48" i="36"/>
  <c r="AC87" i="36"/>
  <c r="AC100" i="36"/>
  <c r="AC130" i="36"/>
  <c r="AC137" i="36"/>
  <c r="AC165" i="36"/>
  <c r="AC175" i="36"/>
  <c r="AC205" i="36"/>
  <c r="G133" i="35"/>
  <c r="G141" i="35" s="1"/>
  <c r="G142" i="35" s="1"/>
  <c r="G210" i="35" s="1"/>
  <c r="C84" i="48"/>
  <c r="H136" i="35"/>
  <c r="H161" i="35"/>
  <c r="H134" i="35"/>
  <c r="G170" i="35"/>
  <c r="G93" i="35"/>
  <c r="G96" i="35" s="1"/>
  <c r="G97" i="35" s="1"/>
  <c r="I136" i="35"/>
  <c r="C78" i="48"/>
  <c r="G134" i="35"/>
  <c r="I80" i="35"/>
  <c r="C133" i="35"/>
  <c r="C141" i="35" s="1"/>
  <c r="C142" i="35" s="1"/>
  <c r="C210" i="35" s="1"/>
  <c r="D141" i="35"/>
  <c r="D142" i="35" s="1"/>
  <c r="D210" i="35" s="1"/>
  <c r="B133" i="35"/>
  <c r="F141" i="35"/>
  <c r="F142" i="35" s="1"/>
  <c r="I121" i="35"/>
  <c r="I132" i="35" s="1"/>
  <c r="H133" i="35"/>
  <c r="H141" i="35" s="1"/>
  <c r="H142" i="35" s="1"/>
  <c r="F134" i="35"/>
  <c r="F136" i="35"/>
  <c r="F161" i="35"/>
  <c r="I161" i="35" s="1"/>
  <c r="I170" i="35" s="1"/>
  <c r="B134" i="35"/>
  <c r="I134" i="35" s="1"/>
  <c r="C121" i="19"/>
  <c r="C132" i="19" s="1"/>
  <c r="C134" i="19" s="1"/>
  <c r="I115" i="19"/>
  <c r="I121" i="19" s="1"/>
  <c r="I132" i="19" s="1"/>
  <c r="G210" i="19"/>
  <c r="B121" i="19"/>
  <c r="B132" i="19" s="1"/>
  <c r="C161" i="19"/>
  <c r="C170" i="19" s="1"/>
  <c r="C136" i="19"/>
  <c r="I136" i="19" s="1"/>
  <c r="H141" i="19"/>
  <c r="H142" i="19" s="1"/>
  <c r="D133" i="19"/>
  <c r="F170" i="19"/>
  <c r="F93" i="19"/>
  <c r="G170" i="19"/>
  <c r="G93" i="19"/>
  <c r="G96" i="19" s="1"/>
  <c r="G97" i="19" s="1"/>
  <c r="H134" i="19"/>
  <c r="H136" i="19"/>
  <c r="H161" i="19"/>
  <c r="D161" i="19"/>
  <c r="D170" i="19" s="1"/>
  <c r="D134" i="19"/>
  <c r="D136" i="19"/>
  <c r="F141" i="19"/>
  <c r="F142" i="19" s="1"/>
  <c r="F210" i="19" s="1"/>
  <c r="H97" i="48"/>
  <c r="H76" i="48"/>
  <c r="H110" i="48"/>
  <c r="H89" i="48"/>
  <c r="H68" i="48"/>
  <c r="H36" i="44"/>
  <c r="H63" i="44" s="1"/>
  <c r="AB136" i="49"/>
  <c r="AB161" i="49"/>
  <c r="AB134" i="49"/>
  <c r="H101" i="48"/>
  <c r="H80" i="48"/>
  <c r="H122" i="48"/>
  <c r="H124" i="48"/>
  <c r="H103" i="48"/>
  <c r="H82" i="48"/>
  <c r="H69" i="48"/>
  <c r="H90" i="48"/>
  <c r="H111" i="48"/>
  <c r="AA136" i="49"/>
  <c r="AA161" i="49"/>
  <c r="V131" i="49"/>
  <c r="AC124" i="49"/>
  <c r="H124" i="43" s="1"/>
  <c r="P17" i="44"/>
  <c r="P18" i="44" s="1"/>
  <c r="P6" i="43"/>
  <c r="W61" i="49"/>
  <c r="W64" i="49" s="1"/>
  <c r="H83" i="44"/>
  <c r="X61" i="49"/>
  <c r="X64" i="49" s="1"/>
  <c r="AB133" i="49"/>
  <c r="AB141" i="49" s="1"/>
  <c r="AB142" i="49"/>
  <c r="H120" i="48"/>
  <c r="S2" i="49"/>
  <c r="Y61" i="49"/>
  <c r="Y64" i="49" s="1"/>
  <c r="Y65" i="49"/>
  <c r="AA134" i="49"/>
  <c r="W137" i="49"/>
  <c r="AC137" i="49" s="1"/>
  <c r="H137" i="43" s="1"/>
  <c r="H137" i="44"/>
  <c r="AC198" i="49"/>
  <c r="V206" i="49"/>
  <c r="AC206" i="49" s="1"/>
  <c r="H206" i="43" s="1"/>
  <c r="H206" i="45"/>
  <c r="AC36" i="49"/>
  <c r="AC63" i="49" s="1"/>
  <c r="H71" i="48"/>
  <c r="H113" i="48"/>
  <c r="H92" i="48"/>
  <c r="AA133" i="49"/>
  <c r="AA141" i="49" s="1"/>
  <c r="AA142" i="49" s="1"/>
  <c r="H198" i="44"/>
  <c r="H61" i="45"/>
  <c r="H64" i="45" s="1"/>
  <c r="AC60" i="49"/>
  <c r="H60" i="43" s="1"/>
  <c r="AC174" i="49"/>
  <c r="H174" i="43" s="1"/>
  <c r="W208" i="49"/>
  <c r="AC204" i="49"/>
  <c r="H204" i="43" s="1"/>
  <c r="P22" i="43"/>
  <c r="H182" i="44"/>
  <c r="X80" i="49"/>
  <c r="V113" i="49"/>
  <c r="AC113" i="49" s="1"/>
  <c r="H113" i="43" s="1"/>
  <c r="Z132" i="49"/>
  <c r="H130" i="44"/>
  <c r="H131" i="44" s="1"/>
  <c r="Y196" i="49"/>
  <c r="H187" i="44"/>
  <c r="X208" i="49"/>
  <c r="L3" i="49"/>
  <c r="AC100" i="49"/>
  <c r="H100" i="43" s="1"/>
  <c r="H148" i="44"/>
  <c r="V173" i="49"/>
  <c r="AC173" i="49" s="1"/>
  <c r="H173" i="43" s="1"/>
  <c r="H36" i="45"/>
  <c r="H63" i="45" s="1"/>
  <c r="H3" i="44"/>
  <c r="H115" i="44"/>
  <c r="Z135" i="49"/>
  <c r="Z63" i="49"/>
  <c r="Z65" i="49" s="1"/>
  <c r="Z140" i="49"/>
  <c r="AC107" i="49"/>
  <c r="AC193" i="49"/>
  <c r="H193" i="43" s="1"/>
  <c r="H98" i="48"/>
  <c r="H77" i="48"/>
  <c r="P11" i="43"/>
  <c r="H96" i="48" s="1"/>
  <c r="V17" i="49"/>
  <c r="V3" i="49"/>
  <c r="AC3" i="49" s="1"/>
  <c r="AC4" i="49"/>
  <c r="V36" i="49"/>
  <c r="V63" i="49" s="1"/>
  <c r="H75" i="44"/>
  <c r="AC111" i="49"/>
  <c r="H111" i="43" s="1"/>
  <c r="W140" i="49"/>
  <c r="V203" i="49"/>
  <c r="AC203" i="49" s="1"/>
  <c r="H203" i="43" s="1"/>
  <c r="H203" i="44"/>
  <c r="H61" i="44"/>
  <c r="H64" i="44" s="1"/>
  <c r="H123" i="48"/>
  <c r="H102" i="48"/>
  <c r="H81" i="48"/>
  <c r="H92" i="45"/>
  <c r="W36" i="49"/>
  <c r="W63" i="49" s="1"/>
  <c r="X121" i="49"/>
  <c r="X132" i="49" s="1"/>
  <c r="AC127" i="49"/>
  <c r="H127" i="43" s="1"/>
  <c r="X140" i="49"/>
  <c r="AC156" i="49"/>
  <c r="H179" i="45"/>
  <c r="AC201" i="49"/>
  <c r="H201" i="43" s="1"/>
  <c r="H121" i="48"/>
  <c r="H100" i="48"/>
  <c r="H79" i="48"/>
  <c r="AC77" i="49"/>
  <c r="H77" i="43" s="1"/>
  <c r="AC138" i="49"/>
  <c r="H138" i="43" s="1"/>
  <c r="Y140" i="49"/>
  <c r="AC146" i="49"/>
  <c r="H146" i="43" s="1"/>
  <c r="AC151" i="49"/>
  <c r="H151" i="43" s="1"/>
  <c r="H39" i="43"/>
  <c r="H82" i="43"/>
  <c r="H131" i="45"/>
  <c r="H119" i="48"/>
  <c r="H9" i="45"/>
  <c r="H43" i="46" s="1"/>
  <c r="AC50" i="49"/>
  <c r="H50" i="43" s="1"/>
  <c r="Y134" i="49"/>
  <c r="AC99" i="49"/>
  <c r="H118" i="44"/>
  <c r="Y154" i="49"/>
  <c r="AC188" i="49"/>
  <c r="H188" i="43" s="1"/>
  <c r="AC214" i="49"/>
  <c r="H7" i="45"/>
  <c r="H41" i="46" s="1"/>
  <c r="W79" i="49"/>
  <c r="W80" i="49" s="1"/>
  <c r="W97" i="49" s="1"/>
  <c r="V96" i="49"/>
  <c r="H116" i="44"/>
  <c r="H119" i="44"/>
  <c r="W129" i="49"/>
  <c r="W131" i="49" s="1"/>
  <c r="H135" i="45"/>
  <c r="H140" i="44"/>
  <c r="H178" i="44"/>
  <c r="H181" i="44"/>
  <c r="H200" i="45"/>
  <c r="H208" i="45" s="1"/>
  <c r="H109" i="45"/>
  <c r="W135" i="49"/>
  <c r="H112" i="45"/>
  <c r="V172" i="49"/>
  <c r="V61" i="49"/>
  <c r="V64" i="49" s="1"/>
  <c r="W115" i="49"/>
  <c r="H140" i="45"/>
  <c r="H100" i="45"/>
  <c r="H103" i="45" s="1"/>
  <c r="H111" i="45"/>
  <c r="H6" i="45"/>
  <c r="H13" i="45"/>
  <c r="H47" i="46" s="1"/>
  <c r="H207" i="45"/>
  <c r="AA65" i="42"/>
  <c r="Z133" i="42"/>
  <c r="AB141" i="42"/>
  <c r="AB161" i="42"/>
  <c r="AB134" i="42"/>
  <c r="AB136" i="42"/>
  <c r="X131" i="42"/>
  <c r="AC88" i="42"/>
  <c r="X140" i="42"/>
  <c r="X130" i="42"/>
  <c r="AC130" i="42" s="1"/>
  <c r="V140" i="42"/>
  <c r="V5" i="42"/>
  <c r="AC5" i="42" s="1"/>
  <c r="L3" i="42"/>
  <c r="AC21" i="42"/>
  <c r="AC32" i="42"/>
  <c r="W135" i="42"/>
  <c r="AC77" i="42"/>
  <c r="V90" i="42"/>
  <c r="W140" i="42"/>
  <c r="AC177" i="42"/>
  <c r="V203" i="42"/>
  <c r="AC203" i="42" s="1"/>
  <c r="V36" i="42"/>
  <c r="V63" i="42" s="1"/>
  <c r="X61" i="42"/>
  <c r="X64" i="42" s="1"/>
  <c r="X65" i="42" s="1"/>
  <c r="W79" i="42"/>
  <c r="AC79" i="42" s="1"/>
  <c r="AC108" i="42"/>
  <c r="AC159" i="42"/>
  <c r="W196" i="42"/>
  <c r="S2" i="42"/>
  <c r="X182" i="42"/>
  <c r="AC182" i="42" s="1"/>
  <c r="AC82" i="42"/>
  <c r="AC85" i="42"/>
  <c r="AC87" i="42"/>
  <c r="AC99" i="42"/>
  <c r="AC100" i="42"/>
  <c r="W103" i="42"/>
  <c r="AC127" i="42"/>
  <c r="W129" i="42"/>
  <c r="AC129" i="42" s="1"/>
  <c r="AC146" i="42"/>
  <c r="AC172" i="42"/>
  <c r="I3" i="42"/>
  <c r="AC31" i="42"/>
  <c r="Z63" i="42"/>
  <c r="Z65" i="42" s="1"/>
  <c r="V198" i="42"/>
  <c r="V61" i="42"/>
  <c r="V64" i="42" s="1"/>
  <c r="X136" i="42"/>
  <c r="X134" i="42"/>
  <c r="V76" i="42"/>
  <c r="AC76" i="42" s="1"/>
  <c r="AC107" i="42"/>
  <c r="AB142" i="42"/>
  <c r="W208" i="42"/>
  <c r="W61" i="42"/>
  <c r="W64" i="42" s="1"/>
  <c r="Y134" i="42"/>
  <c r="Y103" i="42"/>
  <c r="AC120" i="42"/>
  <c r="Z135" i="42"/>
  <c r="AC137" i="42"/>
  <c r="AC156" i="42"/>
  <c r="V176" i="42"/>
  <c r="AC176" i="42" s="1"/>
  <c r="X208" i="42"/>
  <c r="AC43" i="42"/>
  <c r="AC60" i="42"/>
  <c r="X121" i="42"/>
  <c r="X132" i="42" s="1"/>
  <c r="AA133" i="42"/>
  <c r="AC139" i="42"/>
  <c r="E218" i="42"/>
  <c r="AC181" i="42"/>
  <c r="AC191" i="42"/>
  <c r="Y208" i="42"/>
  <c r="AC4" i="42"/>
  <c r="Y61" i="42"/>
  <c r="Y64" i="42" s="1"/>
  <c r="Y65" i="42" s="1"/>
  <c r="AC116" i="42"/>
  <c r="Y196" i="42"/>
  <c r="Y210" i="42" s="1"/>
  <c r="Y218" i="42" s="1"/>
  <c r="V111" i="42"/>
  <c r="AC111" i="42" s="1"/>
  <c r="V151" i="42"/>
  <c r="AC151" i="42" s="1"/>
  <c r="V96" i="42"/>
  <c r="Z65" i="41"/>
  <c r="AA136" i="41"/>
  <c r="AA161" i="41"/>
  <c r="V203" i="41"/>
  <c r="AC203" i="41" s="1"/>
  <c r="I3" i="41"/>
  <c r="W61" i="41"/>
  <c r="W64" i="41" s="1"/>
  <c r="W65" i="41" s="1"/>
  <c r="AC43" i="41"/>
  <c r="W196" i="41"/>
  <c r="W79" i="41"/>
  <c r="AC79" i="41" s="1"/>
  <c r="Y61" i="41"/>
  <c r="Y64" i="41" s="1"/>
  <c r="Y65" i="41" s="1"/>
  <c r="V90" i="41"/>
  <c r="AC55" i="41"/>
  <c r="AC108" i="41"/>
  <c r="Z132" i="41"/>
  <c r="AC124" i="41"/>
  <c r="V130" i="41"/>
  <c r="Y154" i="41"/>
  <c r="V140" i="41"/>
  <c r="Y135" i="41"/>
  <c r="AC137" i="41"/>
  <c r="W115" i="41"/>
  <c r="AC115" i="41" s="1"/>
  <c r="X36" i="41"/>
  <c r="X63" i="41" s="1"/>
  <c r="X65" i="41" s="1"/>
  <c r="AC53" i="41"/>
  <c r="AC61" i="41" s="1"/>
  <c r="AC64" i="41" s="1"/>
  <c r="AB132" i="41"/>
  <c r="W80" i="41"/>
  <c r="AC100" i="41"/>
  <c r="W103" i="41"/>
  <c r="AC107" i="41"/>
  <c r="V7" i="41"/>
  <c r="AC7" i="41" s="1"/>
  <c r="AC17" i="41" s="1"/>
  <c r="AC156" i="41"/>
  <c r="V172" i="41"/>
  <c r="V208" i="41"/>
  <c r="V36" i="41"/>
  <c r="V63" i="41" s="1"/>
  <c r="V65" i="41" s="1"/>
  <c r="W90" i="41"/>
  <c r="X103" i="41"/>
  <c r="AC99" i="41"/>
  <c r="X121" i="41"/>
  <c r="V119" i="41"/>
  <c r="AC119" i="41" s="1"/>
  <c r="Y134" i="41"/>
  <c r="Y103" i="41"/>
  <c r="X208" i="41"/>
  <c r="AC198" i="41"/>
  <c r="AC60" i="41"/>
  <c r="V75" i="41"/>
  <c r="AC75" i="41" s="1"/>
  <c r="W131" i="41"/>
  <c r="Y208" i="41"/>
  <c r="V77" i="41"/>
  <c r="AC77" i="41" s="1"/>
  <c r="V111" i="41"/>
  <c r="AC111" i="41" s="1"/>
  <c r="X130" i="41"/>
  <c r="X131" i="41" s="1"/>
  <c r="AA131" i="41"/>
  <c r="AA132" i="41" s="1"/>
  <c r="X135" i="41"/>
  <c r="AB135" i="41"/>
  <c r="X140" i="41"/>
  <c r="AB63" i="41"/>
  <c r="AB65" i="41" s="1"/>
  <c r="W96" i="41"/>
  <c r="V135" i="41"/>
  <c r="Z140" i="41"/>
  <c r="Y65" i="40"/>
  <c r="Z65" i="40"/>
  <c r="AB133" i="40"/>
  <c r="AC129" i="40"/>
  <c r="V6" i="40"/>
  <c r="AC6" i="40" s="1"/>
  <c r="W135" i="40"/>
  <c r="V36" i="40"/>
  <c r="V63" i="40" s="1"/>
  <c r="AC47" i="40"/>
  <c r="AC58" i="40"/>
  <c r="AC60" i="40"/>
  <c r="V76" i="40"/>
  <c r="AC76" i="40" s="1"/>
  <c r="W103" i="40"/>
  <c r="V107" i="40"/>
  <c r="V117" i="40"/>
  <c r="AC117" i="40" s="1"/>
  <c r="W129" i="40"/>
  <c r="W131" i="40" s="1"/>
  <c r="W151" i="40"/>
  <c r="W154" i="40" s="1"/>
  <c r="AC162" i="40"/>
  <c r="AC198" i="40"/>
  <c r="V203" i="40"/>
  <c r="AC215" i="40"/>
  <c r="AC217" i="40"/>
  <c r="AC34" i="40"/>
  <c r="X135" i="40"/>
  <c r="AC79" i="40"/>
  <c r="X103" i="40"/>
  <c r="X118" i="40"/>
  <c r="X121" i="40" s="1"/>
  <c r="X132" i="40" s="1"/>
  <c r="AC175" i="40"/>
  <c r="W208" i="40"/>
  <c r="AC29" i="40"/>
  <c r="Y134" i="40"/>
  <c r="AC82" i="40"/>
  <c r="AC102" i="40"/>
  <c r="W140" i="40"/>
  <c r="AC146" i="40"/>
  <c r="Y196" i="40"/>
  <c r="AC179" i="40"/>
  <c r="AC190" i="40"/>
  <c r="Y208" i="40"/>
  <c r="AB63" i="40"/>
  <c r="AB65" i="40" s="1"/>
  <c r="AB140" i="40"/>
  <c r="AA65" i="40"/>
  <c r="W90" i="40"/>
  <c r="W97" i="40" s="1"/>
  <c r="AC94" i="40"/>
  <c r="V109" i="40"/>
  <c r="AC109" i="40" s="1"/>
  <c r="V118" i="40"/>
  <c r="AC124" i="40"/>
  <c r="AC138" i="40"/>
  <c r="X140" i="40"/>
  <c r="AC192" i="40"/>
  <c r="V10" i="40"/>
  <c r="AC10" i="40" s="1"/>
  <c r="V4" i="40"/>
  <c r="X36" i="40"/>
  <c r="X63" i="40" s="1"/>
  <c r="X65" i="40" s="1"/>
  <c r="AC126" i="40"/>
  <c r="AC158" i="40"/>
  <c r="V172" i="40"/>
  <c r="AC181" i="40"/>
  <c r="W196" i="40"/>
  <c r="AC24" i="40"/>
  <c r="AC46" i="40"/>
  <c r="AC48" i="40"/>
  <c r="AC128" i="40"/>
  <c r="AC152" i="40"/>
  <c r="AC156" i="40"/>
  <c r="AC216" i="40"/>
  <c r="V61" i="40"/>
  <c r="V64" i="40" s="1"/>
  <c r="V96" i="40"/>
  <c r="AC41" i="40"/>
  <c r="AC52" i="40"/>
  <c r="AC85" i="40"/>
  <c r="AC165" i="40"/>
  <c r="V113" i="40"/>
  <c r="AC113" i="40" s="1"/>
  <c r="Y170" i="40"/>
  <c r="Y210" i="40" s="1"/>
  <c r="Y218" i="40" s="1"/>
  <c r="V108" i="40"/>
  <c r="AC108" i="40" s="1"/>
  <c r="AC123" i="40"/>
  <c r="V131" i="40"/>
  <c r="AC21" i="40"/>
  <c r="V135" i="40"/>
  <c r="AC99" i="40"/>
  <c r="AC103" i="40" s="1"/>
  <c r="V103" i="40"/>
  <c r="W115" i="40"/>
  <c r="W121" i="40" s="1"/>
  <c r="V75" i="40"/>
  <c r="AC75" i="40" s="1"/>
  <c r="V119" i="40"/>
  <c r="AC119" i="40" s="1"/>
  <c r="V65" i="36"/>
  <c r="Y134" i="36"/>
  <c r="V140" i="36"/>
  <c r="V107" i="36"/>
  <c r="AC32" i="36"/>
  <c r="AC44" i="36"/>
  <c r="V113" i="36"/>
  <c r="AC113" i="36" s="1"/>
  <c r="AA132" i="36"/>
  <c r="V131" i="36"/>
  <c r="AC124" i="36"/>
  <c r="Y196" i="36"/>
  <c r="Y208" i="36"/>
  <c r="AC156" i="36"/>
  <c r="V90" i="36"/>
  <c r="AC82" i="36"/>
  <c r="W36" i="36"/>
  <c r="W63" i="36" s="1"/>
  <c r="AC56" i="36"/>
  <c r="AA65" i="36"/>
  <c r="W90" i="36"/>
  <c r="V173" i="36"/>
  <c r="AC173" i="36" s="1"/>
  <c r="AC177" i="36"/>
  <c r="AC193" i="36"/>
  <c r="X36" i="36"/>
  <c r="X63" i="36" s="1"/>
  <c r="AB65" i="36"/>
  <c r="AC88" i="36"/>
  <c r="V119" i="36"/>
  <c r="AC119" i="36" s="1"/>
  <c r="Y135" i="36"/>
  <c r="V179" i="36"/>
  <c r="AC179" i="36" s="1"/>
  <c r="W61" i="36"/>
  <c r="W64" i="36" s="1"/>
  <c r="V212" i="36"/>
  <c r="AC212" i="36" s="1"/>
  <c r="X61" i="36"/>
  <c r="X64" i="36" s="1"/>
  <c r="AC108" i="36"/>
  <c r="W131" i="36"/>
  <c r="X140" i="36"/>
  <c r="Y170" i="36"/>
  <c r="W80" i="36"/>
  <c r="AC78" i="36"/>
  <c r="V148" i="36"/>
  <c r="AC148" i="36" s="1"/>
  <c r="AC20" i="36"/>
  <c r="AB133" i="36"/>
  <c r="X121" i="36"/>
  <c r="AC138" i="36"/>
  <c r="AC206" i="36"/>
  <c r="AC27" i="36"/>
  <c r="W135" i="36"/>
  <c r="Z63" i="36"/>
  <c r="Z65" i="36" s="1"/>
  <c r="V103" i="36"/>
  <c r="V172" i="36"/>
  <c r="Z140" i="36"/>
  <c r="V96" i="36"/>
  <c r="AC123" i="36"/>
  <c r="V198" i="36"/>
  <c r="C92" i="48"/>
  <c r="C71" i="48"/>
  <c r="C73" i="48"/>
  <c r="C69" i="48"/>
  <c r="C90" i="48"/>
  <c r="C124" i="43"/>
  <c r="C107" i="43"/>
  <c r="C94" i="48"/>
  <c r="K22" i="43"/>
  <c r="K26" i="43" s="1"/>
  <c r="K30" i="43" s="1"/>
  <c r="C82" i="43"/>
  <c r="C198" i="43"/>
  <c r="C115" i="43"/>
  <c r="C83" i="48"/>
  <c r="C104" i="48"/>
  <c r="C99" i="48"/>
  <c r="C100" i="48"/>
  <c r="C140" i="43"/>
  <c r="C149" i="43"/>
  <c r="C101" i="48"/>
  <c r="C102" i="48"/>
  <c r="C150" i="43"/>
  <c r="C103" i="48"/>
  <c r="C135" i="43"/>
  <c r="C183" i="43"/>
  <c r="C88" i="48"/>
  <c r="C89" i="48"/>
  <c r="J17" i="35"/>
  <c r="C164" i="43"/>
  <c r="C178" i="43"/>
  <c r="C147" i="43"/>
  <c r="C153" i="43"/>
  <c r="C160" i="43"/>
  <c r="H65" i="45"/>
  <c r="K17" i="45"/>
  <c r="C208" i="45"/>
  <c r="C65" i="45"/>
  <c r="C68" i="45"/>
  <c r="C142" i="45"/>
  <c r="K17" i="43"/>
  <c r="K18" i="43" s="1"/>
  <c r="K20" i="43"/>
  <c r="K24" i="43" s="1"/>
  <c r="K28" i="43" s="1"/>
  <c r="C76" i="48" s="1"/>
  <c r="K25" i="43"/>
  <c r="K29" i="43" s="1"/>
  <c r="C97" i="48" s="1"/>
  <c r="H17" i="44"/>
  <c r="O219" i="49"/>
  <c r="L2" i="41"/>
  <c r="V2" i="41" s="1"/>
  <c r="L3" i="41"/>
  <c r="L74" i="41" s="1"/>
  <c r="L3" i="40"/>
  <c r="L74" i="40" s="1"/>
  <c r="L3" i="36"/>
  <c r="L74" i="36" s="1"/>
  <c r="V74" i="36" s="1"/>
  <c r="AC74" i="36" s="1"/>
  <c r="I3" i="36"/>
  <c r="B195" i="49" l="1"/>
  <c r="B166" i="49"/>
  <c r="I74" i="49"/>
  <c r="I80" i="49" s="1"/>
  <c r="I97" i="49" s="1"/>
  <c r="I70" i="49" s="1"/>
  <c r="B168" i="49"/>
  <c r="I168" i="49" s="1"/>
  <c r="B80" i="49"/>
  <c r="B97" i="49" s="1"/>
  <c r="B167" i="49"/>
  <c r="I167" i="49" s="1"/>
  <c r="P20" i="43"/>
  <c r="H93" i="49"/>
  <c r="H96" i="49" s="1"/>
  <c r="H97" i="49" s="1"/>
  <c r="H170" i="49"/>
  <c r="H84" i="48"/>
  <c r="H73" i="48"/>
  <c r="R170" i="49"/>
  <c r="R93" i="49"/>
  <c r="R96" i="49" s="1"/>
  <c r="R97" i="49" s="1"/>
  <c r="J134" i="49"/>
  <c r="H65" i="44"/>
  <c r="S3" i="49"/>
  <c r="L74" i="49"/>
  <c r="H105" i="48"/>
  <c r="I161" i="49"/>
  <c r="H208" i="44"/>
  <c r="AC79" i="49"/>
  <c r="H79" i="43" s="1"/>
  <c r="P170" i="49"/>
  <c r="P210" i="49" s="1"/>
  <c r="P93" i="49"/>
  <c r="R210" i="49"/>
  <c r="I133" i="49"/>
  <c r="B141" i="49"/>
  <c r="B142" i="49" s="1"/>
  <c r="H94" i="48"/>
  <c r="S69" i="49"/>
  <c r="S68" i="49"/>
  <c r="S136" i="49"/>
  <c r="G210" i="49"/>
  <c r="H210" i="49"/>
  <c r="F210" i="49"/>
  <c r="H3" i="45"/>
  <c r="W65" i="49"/>
  <c r="L141" i="49"/>
  <c r="L142" i="49" s="1"/>
  <c r="S133" i="49"/>
  <c r="F96" i="49"/>
  <c r="F97" i="49" s="1"/>
  <c r="I93" i="49"/>
  <c r="I96" i="49" s="1"/>
  <c r="Q170" i="49"/>
  <c r="Q210" i="49" s="1"/>
  <c r="Q93" i="49"/>
  <c r="Q96" i="49" s="1"/>
  <c r="Q97" i="49" s="1"/>
  <c r="Y210" i="49"/>
  <c r="Y218" i="49" s="1"/>
  <c r="Y219" i="49" s="1"/>
  <c r="H210" i="42"/>
  <c r="W131" i="42"/>
  <c r="Q210" i="42"/>
  <c r="Q218" i="42" s="1"/>
  <c r="S68" i="42"/>
  <c r="S69" i="42"/>
  <c r="AC103" i="42"/>
  <c r="S161" i="42"/>
  <c r="W80" i="42"/>
  <c r="W97" i="42" s="1"/>
  <c r="I69" i="42"/>
  <c r="P170" i="42"/>
  <c r="P210" i="42" s="1"/>
  <c r="P93" i="42"/>
  <c r="B133" i="42"/>
  <c r="B134" i="42"/>
  <c r="I134" i="42" s="1"/>
  <c r="J134" i="42" s="1"/>
  <c r="L141" i="42"/>
  <c r="L142" i="42" s="1"/>
  <c r="S133" i="42"/>
  <c r="S3" i="42"/>
  <c r="L74" i="42"/>
  <c r="Q93" i="42"/>
  <c r="Q96" i="42" s="1"/>
  <c r="Q97" i="42" s="1"/>
  <c r="Q170" i="42"/>
  <c r="AC36" i="42"/>
  <c r="AC63" i="42" s="1"/>
  <c r="AC65" i="42" s="1"/>
  <c r="C133" i="42"/>
  <c r="C141" i="42" s="1"/>
  <c r="C142" i="42" s="1"/>
  <c r="C210" i="42" s="1"/>
  <c r="C134" i="42"/>
  <c r="H93" i="42"/>
  <c r="H96" i="42" s="1"/>
  <c r="H97" i="42" s="1"/>
  <c r="H170" i="42"/>
  <c r="M141" i="42"/>
  <c r="M142" i="42" s="1"/>
  <c r="M210" i="42" s="1"/>
  <c r="W65" i="42"/>
  <c r="B170" i="42"/>
  <c r="I93" i="42"/>
  <c r="I96" i="42" s="1"/>
  <c r="I97" i="42" s="1"/>
  <c r="I70" i="42" s="1"/>
  <c r="F96" i="42"/>
  <c r="F97" i="42" s="1"/>
  <c r="I69" i="41"/>
  <c r="Q210" i="41"/>
  <c r="S69" i="41"/>
  <c r="S68" i="41"/>
  <c r="P93" i="41"/>
  <c r="P170" i="41"/>
  <c r="M133" i="41"/>
  <c r="M134" i="41"/>
  <c r="Q93" i="41"/>
  <c r="Q96" i="41" s="1"/>
  <c r="Q97" i="41" s="1"/>
  <c r="Q170" i="41"/>
  <c r="AC103" i="41"/>
  <c r="B170" i="41"/>
  <c r="L168" i="41"/>
  <c r="S168" i="41" s="1"/>
  <c r="L195" i="41"/>
  <c r="L167" i="41"/>
  <c r="S167" i="41" s="1"/>
  <c r="L80" i="41"/>
  <c r="L97" i="41" s="1"/>
  <c r="S74" i="41"/>
  <c r="S80" i="41" s="1"/>
  <c r="L166" i="41"/>
  <c r="I161" i="41"/>
  <c r="I170" i="41" s="1"/>
  <c r="L133" i="41"/>
  <c r="L134" i="41"/>
  <c r="I133" i="41"/>
  <c r="B141" i="41"/>
  <c r="B142" i="41" s="1"/>
  <c r="I134" i="41"/>
  <c r="J134" i="41" s="1"/>
  <c r="AC208" i="41"/>
  <c r="AC130" i="41"/>
  <c r="I68" i="41"/>
  <c r="P210" i="41"/>
  <c r="C142" i="41"/>
  <c r="C210" i="41" s="1"/>
  <c r="C133" i="41"/>
  <c r="C141" i="41" s="1"/>
  <c r="B196" i="41"/>
  <c r="F96" i="41"/>
  <c r="F97" i="41" s="1"/>
  <c r="I93" i="41"/>
  <c r="I96" i="41" s="1"/>
  <c r="I97" i="41" s="1"/>
  <c r="I70" i="41" s="1"/>
  <c r="P96" i="40"/>
  <c r="P97" i="40" s="1"/>
  <c r="AC36" i="40"/>
  <c r="AC63" i="40" s="1"/>
  <c r="Q170" i="40"/>
  <c r="Q93" i="40"/>
  <c r="Q96" i="40" s="1"/>
  <c r="Q97" i="40" s="1"/>
  <c r="Q141" i="40"/>
  <c r="Q142" i="40" s="1"/>
  <c r="Q210" i="40" s="1"/>
  <c r="AC118" i="40"/>
  <c r="AC140" i="40"/>
  <c r="S161" i="40"/>
  <c r="W132" i="40"/>
  <c r="R93" i="40"/>
  <c r="R96" i="40" s="1"/>
  <c r="R97" i="40" s="1"/>
  <c r="R170" i="40"/>
  <c r="AC61" i="40"/>
  <c r="AC64" i="40" s="1"/>
  <c r="S68" i="40"/>
  <c r="B141" i="40"/>
  <c r="B142" i="40" s="1"/>
  <c r="I133" i="40"/>
  <c r="D141" i="40"/>
  <c r="D142" i="40" s="1"/>
  <c r="D210" i="40" s="1"/>
  <c r="D218" i="40" s="1"/>
  <c r="M133" i="40"/>
  <c r="M141" i="40" s="1"/>
  <c r="M142" i="40"/>
  <c r="M210" i="40" s="1"/>
  <c r="M134" i="40"/>
  <c r="S134" i="40" s="1"/>
  <c r="T134" i="40" s="1"/>
  <c r="R210" i="40"/>
  <c r="S69" i="40"/>
  <c r="H210" i="40"/>
  <c r="I69" i="40"/>
  <c r="F170" i="40"/>
  <c r="F210" i="40" s="1"/>
  <c r="F93" i="40"/>
  <c r="L167" i="40"/>
  <c r="S167" i="40" s="1"/>
  <c r="S74" i="40"/>
  <c r="S80" i="40" s="1"/>
  <c r="L168" i="40"/>
  <c r="S168" i="40" s="1"/>
  <c r="L80" i="40"/>
  <c r="L97" i="40" s="1"/>
  <c r="L195" i="40"/>
  <c r="L166" i="40"/>
  <c r="I136" i="40"/>
  <c r="I195" i="40"/>
  <c r="I196" i="40" s="1"/>
  <c r="B196" i="40"/>
  <c r="G210" i="40"/>
  <c r="I161" i="40"/>
  <c r="I170" i="40" s="1"/>
  <c r="B170" i="40"/>
  <c r="S133" i="40"/>
  <c r="L141" i="40"/>
  <c r="L142" i="40" s="1"/>
  <c r="C141" i="40"/>
  <c r="C142" i="40" s="1"/>
  <c r="C210" i="40" s="1"/>
  <c r="AC135" i="40"/>
  <c r="B133" i="36"/>
  <c r="B134" i="36"/>
  <c r="L154" i="36"/>
  <c r="S144" i="36"/>
  <c r="S154" i="36" s="1"/>
  <c r="P210" i="36"/>
  <c r="X65" i="36"/>
  <c r="V144" i="36"/>
  <c r="AC144" i="36" s="1"/>
  <c r="B170" i="36"/>
  <c r="V147" i="36"/>
  <c r="AC147" i="36" s="1"/>
  <c r="I121" i="36"/>
  <c r="I132" i="36" s="1"/>
  <c r="L80" i="36"/>
  <c r="L97" i="36" s="1"/>
  <c r="L167" i="36"/>
  <c r="S167" i="36" s="1"/>
  <c r="L195" i="36"/>
  <c r="S195" i="36" s="1"/>
  <c r="L166" i="36"/>
  <c r="S166" i="36" s="1"/>
  <c r="S74" i="36"/>
  <c r="S80" i="36" s="1"/>
  <c r="L168" i="36"/>
  <c r="S168" i="36" s="1"/>
  <c r="S68" i="36"/>
  <c r="N90" i="36"/>
  <c r="N97" i="36" s="1"/>
  <c r="S83" i="36"/>
  <c r="X83" i="36"/>
  <c r="H93" i="36"/>
  <c r="H96" i="36" s="1"/>
  <c r="H97" i="36" s="1"/>
  <c r="H170" i="36"/>
  <c r="H210" i="36" s="1"/>
  <c r="S133" i="36"/>
  <c r="L141" i="36"/>
  <c r="L142" i="36" s="1"/>
  <c r="S84" i="36"/>
  <c r="X84" i="36"/>
  <c r="AC84" i="36" s="1"/>
  <c r="I161" i="36"/>
  <c r="I170" i="36" s="1"/>
  <c r="F96" i="36"/>
  <c r="F97" i="36" s="1"/>
  <c r="M133" i="36"/>
  <c r="M141" i="36" s="1"/>
  <c r="M142" i="36" s="1"/>
  <c r="M210" i="36" s="1"/>
  <c r="S157" i="36"/>
  <c r="M170" i="36"/>
  <c r="S178" i="36"/>
  <c r="V178" i="36"/>
  <c r="AC178" i="36" s="1"/>
  <c r="P96" i="36"/>
  <c r="P97" i="36" s="1"/>
  <c r="R93" i="36"/>
  <c r="R96" i="36" s="1"/>
  <c r="R97" i="36" s="1"/>
  <c r="R170" i="36"/>
  <c r="R210" i="36" s="1"/>
  <c r="S69" i="36"/>
  <c r="I195" i="36"/>
  <c r="I196" i="36" s="1"/>
  <c r="B196" i="36"/>
  <c r="V149" i="36"/>
  <c r="AC149" i="36" s="1"/>
  <c r="V150" i="36"/>
  <c r="AC150" i="36" s="1"/>
  <c r="AC154" i="36" s="1"/>
  <c r="D141" i="36"/>
  <c r="D142" i="36" s="1"/>
  <c r="D210" i="36" s="1"/>
  <c r="S153" i="36"/>
  <c r="V153" i="36"/>
  <c r="AC153" i="36" s="1"/>
  <c r="C133" i="36"/>
  <c r="C134" i="36"/>
  <c r="S134" i="36"/>
  <c r="T134" i="36" s="1"/>
  <c r="S160" i="36"/>
  <c r="V160" i="36"/>
  <c r="AC160" i="36" s="1"/>
  <c r="S187" i="36"/>
  <c r="V187" i="36"/>
  <c r="AC187" i="36" s="1"/>
  <c r="W157" i="36"/>
  <c r="AC157" i="36" s="1"/>
  <c r="S182" i="36"/>
  <c r="N196" i="36"/>
  <c r="N210" i="36" s="1"/>
  <c r="AC61" i="36"/>
  <c r="AC64" i="36" s="1"/>
  <c r="S183" i="36"/>
  <c r="X183" i="36"/>
  <c r="AC183" i="36" s="1"/>
  <c r="G210" i="36"/>
  <c r="Y210" i="36"/>
  <c r="AC103" i="36"/>
  <c r="X132" i="36"/>
  <c r="AC131" i="36"/>
  <c r="V80" i="36"/>
  <c r="V97" i="36" s="1"/>
  <c r="V154" i="36"/>
  <c r="AC182" i="36"/>
  <c r="F210" i="35"/>
  <c r="I133" i="35"/>
  <c r="B141" i="35"/>
  <c r="B142" i="35" s="1"/>
  <c r="B210" i="35" s="1"/>
  <c r="I68" i="35"/>
  <c r="I69" i="35"/>
  <c r="H170" i="35"/>
  <c r="H210" i="35" s="1"/>
  <c r="H93" i="35"/>
  <c r="H96" i="35" s="1"/>
  <c r="H97" i="35" s="1"/>
  <c r="J134" i="35"/>
  <c r="F170" i="35"/>
  <c r="F93" i="35"/>
  <c r="I68" i="19"/>
  <c r="G218" i="19"/>
  <c r="H170" i="19"/>
  <c r="H210" i="19" s="1"/>
  <c r="H93" i="19"/>
  <c r="H96" i="19" s="1"/>
  <c r="H97" i="19" s="1"/>
  <c r="B133" i="19"/>
  <c r="B134" i="19"/>
  <c r="I134" i="19" s="1"/>
  <c r="J134" i="19" s="1"/>
  <c r="I161" i="19"/>
  <c r="I170" i="19" s="1"/>
  <c r="F96" i="19"/>
  <c r="F97" i="19" s="1"/>
  <c r="F218" i="19" s="1"/>
  <c r="C133" i="19"/>
  <c r="C141" i="19" s="1"/>
  <c r="C142" i="19"/>
  <c r="C210" i="19" s="1"/>
  <c r="C218" i="19" s="1"/>
  <c r="D141" i="19"/>
  <c r="D142" i="19" s="1"/>
  <c r="D210" i="19" s="1"/>
  <c r="I69" i="19"/>
  <c r="AC115" i="49"/>
  <c r="H115" i="43" s="1"/>
  <c r="W121" i="49"/>
  <c r="W132" i="49" s="1"/>
  <c r="H107" i="43"/>
  <c r="V140" i="49"/>
  <c r="AC140" i="49" s="1"/>
  <c r="H140" i="43" s="1"/>
  <c r="H136" i="45"/>
  <c r="V114" i="49"/>
  <c r="AC114" i="49" s="1"/>
  <c r="AC121" i="49" s="1"/>
  <c r="W136" i="49"/>
  <c r="W161" i="49"/>
  <c r="V65" i="49"/>
  <c r="H183" i="44"/>
  <c r="X136" i="49"/>
  <c r="X134" i="49"/>
  <c r="AC103" i="49"/>
  <c r="H99" i="43"/>
  <c r="H103" i="43" s="1"/>
  <c r="AC17" i="49"/>
  <c r="H4" i="43"/>
  <c r="P17" i="43"/>
  <c r="P18" i="43" s="1"/>
  <c r="H150" i="44"/>
  <c r="V212" i="49"/>
  <c r="AC212" i="49" s="1"/>
  <c r="H212" i="43" s="1"/>
  <c r="H226" i="43" s="1"/>
  <c r="V74" i="49"/>
  <c r="H156" i="43"/>
  <c r="H153" i="44"/>
  <c r="H149" i="44"/>
  <c r="V149" i="49"/>
  <c r="AC149" i="49" s="1"/>
  <c r="H149" i="43" s="1"/>
  <c r="W157" i="49"/>
  <c r="H160" i="44"/>
  <c r="H125" i="48"/>
  <c r="H104" i="48"/>
  <c r="H83" i="48"/>
  <c r="AC129" i="49"/>
  <c r="H129" i="43" s="1"/>
  <c r="H131" i="43" s="1"/>
  <c r="V2" i="49"/>
  <c r="AC2" i="49" s="1"/>
  <c r="H2" i="43" s="1"/>
  <c r="H2" i="45"/>
  <c r="P21" i="43"/>
  <c r="H67" i="48"/>
  <c r="H109" i="48"/>
  <c r="H88" i="48"/>
  <c r="H114" i="45"/>
  <c r="H214" i="43"/>
  <c r="H228" i="43" s="1"/>
  <c r="X84" i="49"/>
  <c r="AC84" i="49" s="1"/>
  <c r="H84" i="43" s="1"/>
  <c r="AC172" i="49"/>
  <c r="V147" i="49"/>
  <c r="AC147" i="49" s="1"/>
  <c r="H147" i="43" s="1"/>
  <c r="H147" i="44"/>
  <c r="AC131" i="49"/>
  <c r="AC208" i="49"/>
  <c r="H198" i="43"/>
  <c r="H208" i="43" s="1"/>
  <c r="AA170" i="49"/>
  <c r="AA210" i="49" s="1"/>
  <c r="AA93" i="49"/>
  <c r="AA96" i="49" s="1"/>
  <c r="AA97" i="49" s="1"/>
  <c r="H61" i="43"/>
  <c r="H64" i="43" s="1"/>
  <c r="H65" i="43" s="1"/>
  <c r="H135" i="44"/>
  <c r="V135" i="49"/>
  <c r="AC135" i="49" s="1"/>
  <c r="H135" i="43" s="1"/>
  <c r="V208" i="49"/>
  <c r="H156" i="45"/>
  <c r="H172" i="44"/>
  <c r="H17" i="45"/>
  <c r="H40" i="46"/>
  <c r="AC61" i="49"/>
  <c r="AC64" i="49" s="1"/>
  <c r="AC65" i="49" s="1"/>
  <c r="AB93" i="49"/>
  <c r="AB96" i="49" s="1"/>
  <c r="AB97" i="49" s="1"/>
  <c r="AB170" i="49"/>
  <c r="AB210" i="49" s="1"/>
  <c r="V144" i="49"/>
  <c r="H183" i="45"/>
  <c r="H150" i="45"/>
  <c r="H147" i="45"/>
  <c r="V160" i="49"/>
  <c r="H153" i="45"/>
  <c r="H149" i="45"/>
  <c r="H84" i="45"/>
  <c r="Z133" i="49"/>
  <c r="Z141" i="49" s="1"/>
  <c r="Z142" i="49"/>
  <c r="H115" i="45"/>
  <c r="Z134" i="49"/>
  <c r="Z136" i="49"/>
  <c r="Z161" i="49"/>
  <c r="AC131" i="42"/>
  <c r="V147" i="42"/>
  <c r="AC147" i="42" s="1"/>
  <c r="X161" i="42"/>
  <c r="X170" i="42" s="1"/>
  <c r="V2" i="42"/>
  <c r="AC2" i="42" s="1"/>
  <c r="G2" i="43" s="1"/>
  <c r="P2" i="43" s="1"/>
  <c r="G2" i="45"/>
  <c r="W157" i="42"/>
  <c r="Z161" i="42"/>
  <c r="Z134" i="42"/>
  <c r="Z136" i="42"/>
  <c r="AB170" i="42"/>
  <c r="AB210" i="42" s="1"/>
  <c r="AB93" i="42"/>
  <c r="AB96" i="42" s="1"/>
  <c r="AB97" i="42" s="1"/>
  <c r="V212" i="42"/>
  <c r="AC212" i="42" s="1"/>
  <c r="V136" i="42"/>
  <c r="V178" i="42"/>
  <c r="AC178" i="42" s="1"/>
  <c r="V160" i="42"/>
  <c r="V153" i="42"/>
  <c r="AC153" i="42" s="1"/>
  <c r="Z141" i="42"/>
  <c r="Z142" i="42" s="1"/>
  <c r="V150" i="42"/>
  <c r="AC150" i="42" s="1"/>
  <c r="V161" i="42"/>
  <c r="V135" i="42"/>
  <c r="AC135" i="42" s="1"/>
  <c r="V133" i="42"/>
  <c r="V65" i="42"/>
  <c r="AC140" i="42"/>
  <c r="V144" i="42"/>
  <c r="V208" i="42"/>
  <c r="AC198" i="42"/>
  <c r="AC208" i="42" s="1"/>
  <c r="AA161" i="42"/>
  <c r="AA136" i="42"/>
  <c r="AA134" i="42"/>
  <c r="AA141" i="42" s="1"/>
  <c r="AA142" i="42" s="1"/>
  <c r="V149" i="42"/>
  <c r="AC149" i="42" s="1"/>
  <c r="V187" i="42"/>
  <c r="AC187" i="42" s="1"/>
  <c r="V114" i="42"/>
  <c r="AC114" i="42" s="1"/>
  <c r="X183" i="42"/>
  <c r="V164" i="42"/>
  <c r="AC164" i="42" s="1"/>
  <c r="AC17" i="42"/>
  <c r="G4" i="43"/>
  <c r="G38" i="47" s="1"/>
  <c r="V3" i="42"/>
  <c r="AC3" i="42" s="1"/>
  <c r="V148" i="42"/>
  <c r="AC148" i="42" s="1"/>
  <c r="W136" i="42"/>
  <c r="W161" i="42"/>
  <c r="X84" i="42"/>
  <c r="AC84" i="42" s="1"/>
  <c r="V17" i="42"/>
  <c r="X83" i="42"/>
  <c r="W115" i="42"/>
  <c r="W136" i="41"/>
  <c r="W134" i="41"/>
  <c r="AA133" i="41"/>
  <c r="V114" i="41"/>
  <c r="AC114" i="41" s="1"/>
  <c r="V17" i="41"/>
  <c r="Z134" i="41"/>
  <c r="Z136" i="41"/>
  <c r="Z161" i="41"/>
  <c r="W121" i="41"/>
  <c r="W132" i="41" s="1"/>
  <c r="AC121" i="41"/>
  <c r="Y210" i="41"/>
  <c r="Y218" i="41" s="1"/>
  <c r="V150" i="41"/>
  <c r="AC150" i="41" s="1"/>
  <c r="V121" i="41"/>
  <c r="V153" i="41"/>
  <c r="AC153" i="41" s="1"/>
  <c r="AC65" i="41"/>
  <c r="V149" i="41"/>
  <c r="AC149" i="41" s="1"/>
  <c r="AB136" i="41"/>
  <c r="AB161" i="41"/>
  <c r="AB134" i="41"/>
  <c r="X84" i="41"/>
  <c r="AC84" i="41" s="1"/>
  <c r="AB133" i="41"/>
  <c r="Z133" i="41"/>
  <c r="V74" i="41"/>
  <c r="X133" i="41"/>
  <c r="AC131" i="41"/>
  <c r="V131" i="41"/>
  <c r="AC135" i="41"/>
  <c r="X183" i="41"/>
  <c r="AC183" i="41" s="1"/>
  <c r="V144" i="41"/>
  <c r="V136" i="41"/>
  <c r="X132" i="41"/>
  <c r="W140" i="41"/>
  <c r="AC140" i="41" s="1"/>
  <c r="AC172" i="41"/>
  <c r="AA134" i="41"/>
  <c r="W97" i="41"/>
  <c r="AA170" i="41"/>
  <c r="AA93" i="41"/>
  <c r="AA96" i="41" s="1"/>
  <c r="AA97" i="41" s="1"/>
  <c r="S3" i="41"/>
  <c r="AC65" i="40"/>
  <c r="V153" i="40"/>
  <c r="AC153" i="40" s="1"/>
  <c r="AC115" i="40"/>
  <c r="X133" i="40"/>
  <c r="AC172" i="40"/>
  <c r="V150" i="40"/>
  <c r="AC150" i="40" s="1"/>
  <c r="W157" i="40"/>
  <c r="V114" i="40"/>
  <c r="AC114" i="40" s="1"/>
  <c r="V74" i="40"/>
  <c r="V65" i="40"/>
  <c r="V166" i="40"/>
  <c r="AC166" i="40" s="1"/>
  <c r="X136" i="40"/>
  <c r="W136" i="40"/>
  <c r="W161" i="40"/>
  <c r="W134" i="40"/>
  <c r="AA136" i="40"/>
  <c r="AA161" i="40"/>
  <c r="AA134" i="40"/>
  <c r="AA141" i="40" s="1"/>
  <c r="AA142" i="40" s="1"/>
  <c r="Z136" i="40"/>
  <c r="Z161" i="40"/>
  <c r="Z134" i="40"/>
  <c r="V178" i="40"/>
  <c r="AC178" i="40" s="1"/>
  <c r="V121" i="40"/>
  <c r="V132" i="40" s="1"/>
  <c r="AC107" i="40"/>
  <c r="AC151" i="40"/>
  <c r="AC131" i="40"/>
  <c r="AC4" i="40"/>
  <c r="AC17" i="40" s="1"/>
  <c r="V17" i="40"/>
  <c r="AB161" i="40"/>
  <c r="AB134" i="40"/>
  <c r="AB141" i="40" s="1"/>
  <c r="AB142" i="40" s="1"/>
  <c r="AB136" i="40"/>
  <c r="AC203" i="40"/>
  <c r="AC208" i="40" s="1"/>
  <c r="V208" i="40"/>
  <c r="AC140" i="36"/>
  <c r="AA134" i="36"/>
  <c r="AA136" i="36"/>
  <c r="AA161" i="36"/>
  <c r="W136" i="36"/>
  <c r="W97" i="36"/>
  <c r="AC80" i="36"/>
  <c r="W65" i="36"/>
  <c r="V208" i="36"/>
  <c r="AC198" i="36"/>
  <c r="AC208" i="36" s="1"/>
  <c r="AC36" i="36"/>
  <c r="AC63" i="36" s="1"/>
  <c r="V114" i="36"/>
  <c r="AC114" i="36" s="1"/>
  <c r="AC107" i="36"/>
  <c r="X161" i="36"/>
  <c r="X170" i="36" s="1"/>
  <c r="AA133" i="36"/>
  <c r="V135" i="36"/>
  <c r="AC135" i="36" s="1"/>
  <c r="AB136" i="36"/>
  <c r="AB161" i="36"/>
  <c r="AB134" i="36"/>
  <c r="AC172" i="36"/>
  <c r="X134" i="36"/>
  <c r="X133" i="36"/>
  <c r="AB141" i="36"/>
  <c r="AB142" i="36" s="1"/>
  <c r="Z134" i="36"/>
  <c r="Z136" i="36"/>
  <c r="Z161" i="36"/>
  <c r="W115" i="36"/>
  <c r="C182" i="43"/>
  <c r="C212" i="43"/>
  <c r="C114" i="43"/>
  <c r="C134" i="43"/>
  <c r="C161" i="43"/>
  <c r="C156" i="43"/>
  <c r="C100" i="44"/>
  <c r="C103" i="44" s="1"/>
  <c r="C100" i="43"/>
  <c r="C103" i="43" s="1"/>
  <c r="C168" i="43"/>
  <c r="C167" i="43"/>
  <c r="C166" i="43"/>
  <c r="C172" i="43"/>
  <c r="C157" i="43"/>
  <c r="K157" i="43" s="1"/>
  <c r="D218" i="19"/>
  <c r="C210" i="45"/>
  <c r="C218" i="45" s="1"/>
  <c r="K32" i="43"/>
  <c r="S2" i="41"/>
  <c r="S3" i="40"/>
  <c r="S3" i="36"/>
  <c r="I195" i="49" l="1"/>
  <c r="I196" i="49" s="1"/>
  <c r="B196" i="49"/>
  <c r="P25" i="43"/>
  <c r="V121" i="49"/>
  <c r="V132" i="49" s="1"/>
  <c r="P26" i="43"/>
  <c r="P30" i="43" s="1"/>
  <c r="B210" i="49"/>
  <c r="I141" i="49"/>
  <c r="I142" i="49" s="1"/>
  <c r="J133" i="49"/>
  <c r="I166" i="49"/>
  <c r="I170" i="49" s="1"/>
  <c r="B170" i="49"/>
  <c r="P96" i="49"/>
  <c r="P97" i="49" s="1"/>
  <c r="S93" i="49"/>
  <c r="S96" i="49" s="1"/>
  <c r="P24" i="43"/>
  <c r="P28" i="43" s="1"/>
  <c r="S74" i="49"/>
  <c r="S80" i="49" s="1"/>
  <c r="S97" i="49" s="1"/>
  <c r="S70" i="49" s="1"/>
  <c r="L168" i="49"/>
  <c r="S168" i="49" s="1"/>
  <c r="H168" i="45" s="1"/>
  <c r="L195" i="49"/>
  <c r="V195" i="49" s="1"/>
  <c r="L166" i="49"/>
  <c r="L167" i="49"/>
  <c r="S167" i="49" s="1"/>
  <c r="H167" i="45" s="1"/>
  <c r="L80" i="49"/>
  <c r="L97" i="49" s="1"/>
  <c r="S141" i="49"/>
  <c r="S142" i="49" s="1"/>
  <c r="T133" i="49"/>
  <c r="P96" i="42"/>
  <c r="P97" i="42" s="1"/>
  <c r="S93" i="42"/>
  <c r="S96" i="42" s="1"/>
  <c r="L195" i="42"/>
  <c r="L168" i="42"/>
  <c r="S168" i="42" s="1"/>
  <c r="L167" i="42"/>
  <c r="S167" i="42" s="1"/>
  <c r="L80" i="42"/>
  <c r="L97" i="42" s="1"/>
  <c r="L166" i="42"/>
  <c r="S74" i="42"/>
  <c r="S80" i="42" s="1"/>
  <c r="V121" i="42"/>
  <c r="V132" i="42" s="1"/>
  <c r="S141" i="42"/>
  <c r="S142" i="42" s="1"/>
  <c r="T133" i="42"/>
  <c r="AC136" i="42"/>
  <c r="V74" i="42"/>
  <c r="I133" i="42"/>
  <c r="B141" i="42"/>
  <c r="B142" i="42" s="1"/>
  <c r="B210" i="42" s="1"/>
  <c r="B218" i="42" s="1"/>
  <c r="V132" i="41"/>
  <c r="L141" i="41"/>
  <c r="L142" i="41" s="1"/>
  <c r="S133" i="41"/>
  <c r="S166" i="41"/>
  <c r="S170" i="41" s="1"/>
  <c r="L170" i="41"/>
  <c r="M141" i="41"/>
  <c r="M142" i="41" s="1"/>
  <c r="M210" i="41" s="1"/>
  <c r="M218" i="41" s="1"/>
  <c r="P96" i="41"/>
  <c r="P97" i="41" s="1"/>
  <c r="S93" i="41"/>
  <c r="S96" i="41" s="1"/>
  <c r="S97" i="41" s="1"/>
  <c r="S70" i="41" s="1"/>
  <c r="S195" i="41"/>
  <c r="S196" i="41" s="1"/>
  <c r="L196" i="41"/>
  <c r="B210" i="41"/>
  <c r="I141" i="41"/>
  <c r="I142" i="41" s="1"/>
  <c r="J133" i="41"/>
  <c r="S134" i="41"/>
  <c r="T134" i="41" s="1"/>
  <c r="I141" i="40"/>
  <c r="I142" i="40" s="1"/>
  <c r="J133" i="40"/>
  <c r="S195" i="40"/>
  <c r="S196" i="40" s="1"/>
  <c r="L196" i="40"/>
  <c r="S141" i="40"/>
  <c r="S142" i="40" s="1"/>
  <c r="T133" i="40"/>
  <c r="L210" i="40"/>
  <c r="V168" i="40"/>
  <c r="AC168" i="40" s="1"/>
  <c r="V167" i="40"/>
  <c r="AC167" i="40" s="1"/>
  <c r="F96" i="40"/>
  <c r="F97" i="40" s="1"/>
  <c r="I93" i="40"/>
  <c r="I96" i="40" s="1"/>
  <c r="I97" i="40" s="1"/>
  <c r="I70" i="40" s="1"/>
  <c r="B210" i="40"/>
  <c r="S93" i="40"/>
  <c r="S96" i="40" s="1"/>
  <c r="S97" i="40" s="1"/>
  <c r="S70" i="40" s="1"/>
  <c r="S166" i="40"/>
  <c r="S170" i="40" s="1"/>
  <c r="L170" i="40"/>
  <c r="I134" i="36"/>
  <c r="J134" i="36" s="1"/>
  <c r="I69" i="36"/>
  <c r="I68" i="36"/>
  <c r="I133" i="36"/>
  <c r="B141" i="36"/>
  <c r="B142" i="36" s="1"/>
  <c r="B210" i="36" s="1"/>
  <c r="S141" i="36"/>
  <c r="S142" i="36" s="1"/>
  <c r="T133" i="36"/>
  <c r="S170" i="36"/>
  <c r="X90" i="36"/>
  <c r="X97" i="36" s="1"/>
  <c r="AC83" i="36"/>
  <c r="AC90" i="36" s="1"/>
  <c r="C141" i="36"/>
  <c r="C142" i="36" s="1"/>
  <c r="C210" i="36" s="1"/>
  <c r="S93" i="36"/>
  <c r="S96" i="36" s="1"/>
  <c r="V166" i="36"/>
  <c r="AC166" i="36" s="1"/>
  <c r="L170" i="36"/>
  <c r="S90" i="36"/>
  <c r="X196" i="36"/>
  <c r="S97" i="36"/>
  <c r="S70" i="36" s="1"/>
  <c r="L196" i="36"/>
  <c r="L210" i="36" s="1"/>
  <c r="S196" i="36"/>
  <c r="AC65" i="36"/>
  <c r="I93" i="36"/>
  <c r="I96" i="36" s="1"/>
  <c r="I97" i="36" s="1"/>
  <c r="I70" i="36" s="1"/>
  <c r="V168" i="36"/>
  <c r="AC168" i="36" s="1"/>
  <c r="V195" i="36"/>
  <c r="V167" i="36"/>
  <c r="AC167" i="36" s="1"/>
  <c r="J133" i="35"/>
  <c r="I141" i="35"/>
  <c r="I142" i="35" s="1"/>
  <c r="F96" i="35"/>
  <c r="F97" i="35" s="1"/>
  <c r="I93" i="35"/>
  <c r="I96" i="35" s="1"/>
  <c r="I97" i="35" s="1"/>
  <c r="I70" i="35" s="1"/>
  <c r="I133" i="19"/>
  <c r="B141" i="19"/>
  <c r="B142" i="19" s="1"/>
  <c r="B210" i="19" s="1"/>
  <c r="I93" i="19"/>
  <c r="I96" i="19" s="1"/>
  <c r="I97" i="19" s="1"/>
  <c r="I70" i="19" s="1"/>
  <c r="H218" i="19"/>
  <c r="AC160" i="49"/>
  <c r="H160" i="43" s="1"/>
  <c r="AC157" i="49"/>
  <c r="W170" i="49"/>
  <c r="V166" i="49"/>
  <c r="AC166" i="49" s="1"/>
  <c r="H166" i="43" s="1"/>
  <c r="H148" i="45"/>
  <c r="V148" i="49"/>
  <c r="AC148" i="49" s="1"/>
  <c r="H148" i="43" s="1"/>
  <c r="AC74" i="49"/>
  <c r="V80" i="49"/>
  <c r="V97" i="49" s="1"/>
  <c r="H172" i="43"/>
  <c r="X161" i="49"/>
  <c r="X170" i="49" s="1"/>
  <c r="H121" i="45"/>
  <c r="H132" i="45" s="1"/>
  <c r="V178" i="49"/>
  <c r="H168" i="44"/>
  <c r="V168" i="49"/>
  <c r="AC168" i="49" s="1"/>
  <c r="H168" i="43" s="1"/>
  <c r="H84" i="44"/>
  <c r="H90" i="44" s="1"/>
  <c r="V153" i="49"/>
  <c r="AC153" i="49" s="1"/>
  <c r="H153" i="43" s="1"/>
  <c r="H212" i="44"/>
  <c r="AC68" i="49"/>
  <c r="H114" i="43"/>
  <c r="H136" i="44"/>
  <c r="V136" i="49"/>
  <c r="AC136" i="49" s="1"/>
  <c r="H136" i="43" s="1"/>
  <c r="AB218" i="49"/>
  <c r="AB219" i="49" s="1"/>
  <c r="X133" i="49"/>
  <c r="X141" i="49" s="1"/>
  <c r="X142" i="49" s="1"/>
  <c r="AC144" i="49"/>
  <c r="H187" i="45"/>
  <c r="V187" i="49"/>
  <c r="AC187" i="49" s="1"/>
  <c r="H187" i="43" s="1"/>
  <c r="W134" i="49"/>
  <c r="Z170" i="49"/>
  <c r="Z210" i="49" s="1"/>
  <c r="Z93" i="49"/>
  <c r="X183" i="49"/>
  <c r="AC183" i="49" s="1"/>
  <c r="H183" i="43" s="1"/>
  <c r="H230" i="43"/>
  <c r="H182" i="45"/>
  <c r="X182" i="49"/>
  <c r="H212" i="45"/>
  <c r="H74" i="45"/>
  <c r="H80" i="45" s="1"/>
  <c r="V134" i="49"/>
  <c r="W133" i="49"/>
  <c r="W141" i="49" s="1"/>
  <c r="W142" i="49" s="1"/>
  <c r="W210" i="49" s="1"/>
  <c r="W218" i="49" s="1"/>
  <c r="V150" i="49"/>
  <c r="AC150" i="49" s="1"/>
  <c r="H150" i="43" s="1"/>
  <c r="H114" i="44"/>
  <c r="H167" i="44"/>
  <c r="H38" i="47"/>
  <c r="H3" i="43"/>
  <c r="H17" i="43"/>
  <c r="H164" i="45"/>
  <c r="V164" i="49"/>
  <c r="AC164" i="49" s="1"/>
  <c r="H164" i="43" s="1"/>
  <c r="H144" i="44"/>
  <c r="H154" i="44" s="1"/>
  <c r="H74" i="44"/>
  <c r="H80" i="44" s="1"/>
  <c r="N218" i="49"/>
  <c r="X83" i="49"/>
  <c r="AA218" i="49"/>
  <c r="AC132" i="49"/>
  <c r="H160" i="45"/>
  <c r="AC69" i="49"/>
  <c r="H161" i="44"/>
  <c r="V161" i="49"/>
  <c r="H157" i="44"/>
  <c r="H161" i="45"/>
  <c r="AA210" i="42"/>
  <c r="Z93" i="42"/>
  <c r="Z170" i="42"/>
  <c r="AC161" i="42"/>
  <c r="AC157" i="42"/>
  <c r="W170" i="42"/>
  <c r="AC83" i="42"/>
  <c r="AC90" i="42" s="1"/>
  <c r="X90" i="42"/>
  <c r="X97" i="42" s="1"/>
  <c r="AC160" i="42"/>
  <c r="W134" i="42"/>
  <c r="X133" i="42"/>
  <c r="X141" i="42" s="1"/>
  <c r="X142" i="42" s="1"/>
  <c r="D218" i="42"/>
  <c r="AC74" i="42"/>
  <c r="AC80" i="42" s="1"/>
  <c r="V80" i="42"/>
  <c r="V97" i="42" s="1"/>
  <c r="Z210" i="42"/>
  <c r="W121" i="42"/>
  <c r="W132" i="42" s="1"/>
  <c r="AC115" i="42"/>
  <c r="AC121" i="42" s="1"/>
  <c r="AC132" i="42" s="1"/>
  <c r="AC183" i="42"/>
  <c r="X196" i="42"/>
  <c r="AA93" i="42"/>
  <c r="AA96" i="42" s="1"/>
  <c r="AA97" i="42" s="1"/>
  <c r="AA170" i="42"/>
  <c r="P218" i="42"/>
  <c r="N218" i="42"/>
  <c r="AC144" i="42"/>
  <c r="AC154" i="42" s="1"/>
  <c r="V154" i="42"/>
  <c r="V195" i="42"/>
  <c r="V134" i="42"/>
  <c r="AB218" i="42"/>
  <c r="R218" i="41"/>
  <c r="V166" i="41"/>
  <c r="AC166" i="41" s="1"/>
  <c r="Z170" i="41"/>
  <c r="Z93" i="41"/>
  <c r="X182" i="41"/>
  <c r="AC68" i="41"/>
  <c r="V187" i="41"/>
  <c r="AC187" i="41" s="1"/>
  <c r="W133" i="41"/>
  <c r="W141" i="41" s="1"/>
  <c r="W142" i="41" s="1"/>
  <c r="V160" i="41"/>
  <c r="V168" i="41"/>
  <c r="AC168" i="41" s="1"/>
  <c r="V178" i="41"/>
  <c r="AA141" i="41"/>
  <c r="AA142" i="41" s="1"/>
  <c r="AA210" i="41" s="1"/>
  <c r="AA218" i="41" s="1"/>
  <c r="AC136" i="41"/>
  <c r="V80" i="41"/>
  <c r="V97" i="41" s="1"/>
  <c r="AC74" i="41"/>
  <c r="AC80" i="41" s="1"/>
  <c r="AB170" i="41"/>
  <c r="AB93" i="41"/>
  <c r="AB96" i="41" s="1"/>
  <c r="AB97" i="41" s="1"/>
  <c r="D218" i="41"/>
  <c r="X161" i="41"/>
  <c r="X170" i="41" s="1"/>
  <c r="AC144" i="41"/>
  <c r="X134" i="41"/>
  <c r="X141" i="41" s="1"/>
  <c r="X142" i="41" s="1"/>
  <c r="N218" i="41"/>
  <c r="X83" i="41"/>
  <c r="W161" i="41"/>
  <c r="Z141" i="41"/>
  <c r="Z142" i="41" s="1"/>
  <c r="AC132" i="41"/>
  <c r="X136" i="41"/>
  <c r="V147" i="41"/>
  <c r="AC147" i="41" s="1"/>
  <c r="W157" i="41"/>
  <c r="AB141" i="41"/>
  <c r="AB142" i="41" s="1"/>
  <c r="V212" i="41"/>
  <c r="AC212" i="41" s="1"/>
  <c r="V164" i="41"/>
  <c r="AC164" i="41" s="1"/>
  <c r="V195" i="41"/>
  <c r="AC195" i="41" s="1"/>
  <c r="V148" i="41"/>
  <c r="AC148" i="41" s="1"/>
  <c r="V167" i="41"/>
  <c r="AC167" i="41" s="1"/>
  <c r="V161" i="41"/>
  <c r="AA93" i="40"/>
  <c r="AA96" i="40" s="1"/>
  <c r="AA97" i="40" s="1"/>
  <c r="AA170" i="40"/>
  <c r="X84" i="40"/>
  <c r="AC84" i="40" s="1"/>
  <c r="AB93" i="40"/>
  <c r="AB96" i="40" s="1"/>
  <c r="AB97" i="40" s="1"/>
  <c r="AB170" i="40"/>
  <c r="AB210" i="40" s="1"/>
  <c r="V147" i="40"/>
  <c r="AC147" i="40" s="1"/>
  <c r="X83" i="40"/>
  <c r="X161" i="40"/>
  <c r="X170" i="40" s="1"/>
  <c r="X134" i="40"/>
  <c r="X141" i="40" s="1"/>
  <c r="X142" i="40" s="1"/>
  <c r="X182" i="40"/>
  <c r="V149" i="40"/>
  <c r="AC149" i="40" s="1"/>
  <c r="AC121" i="40"/>
  <c r="AC132" i="40" s="1"/>
  <c r="AC69" i="40" s="1"/>
  <c r="V148" i="40"/>
  <c r="AC148" i="40" s="1"/>
  <c r="V160" i="40"/>
  <c r="V195" i="40"/>
  <c r="P218" i="40"/>
  <c r="V212" i="40"/>
  <c r="AC212" i="40" s="1"/>
  <c r="V133" i="40"/>
  <c r="W133" i="40"/>
  <c r="W141" i="40" s="1"/>
  <c r="W142" i="40" s="1"/>
  <c r="W210" i="40" s="1"/>
  <c r="W218" i="40" s="1"/>
  <c r="C218" i="40"/>
  <c r="H218" i="40"/>
  <c r="V144" i="40"/>
  <c r="G218" i="40"/>
  <c r="V134" i="40"/>
  <c r="X183" i="40"/>
  <c r="AC183" i="40" s="1"/>
  <c r="Z170" i="40"/>
  <c r="Z93" i="40"/>
  <c r="V164" i="40"/>
  <c r="AC164" i="40" s="1"/>
  <c r="Z141" i="40"/>
  <c r="Z142" i="40" s="1"/>
  <c r="V161" i="40"/>
  <c r="V80" i="40"/>
  <c r="V97" i="40" s="1"/>
  <c r="AC74" i="40"/>
  <c r="AC80" i="40" s="1"/>
  <c r="V136" i="40"/>
  <c r="AC136" i="40" s="1"/>
  <c r="AA210" i="40"/>
  <c r="V187" i="40"/>
  <c r="AC187" i="40" s="1"/>
  <c r="AC157" i="40"/>
  <c r="W170" i="40"/>
  <c r="V134" i="36"/>
  <c r="AC134" i="36" s="1"/>
  <c r="W161" i="36"/>
  <c r="W170" i="36" s="1"/>
  <c r="AA141" i="36"/>
  <c r="AA142" i="36" s="1"/>
  <c r="AA210" i="36" s="1"/>
  <c r="Z170" i="36"/>
  <c r="Z93" i="36"/>
  <c r="X136" i="36"/>
  <c r="X141" i="36" s="1"/>
  <c r="X142" i="36" s="1"/>
  <c r="X210" i="36" s="1"/>
  <c r="V133" i="36"/>
  <c r="Z141" i="36"/>
  <c r="Z142" i="36" s="1"/>
  <c r="W134" i="36"/>
  <c r="V136" i="36"/>
  <c r="AC115" i="36"/>
  <c r="W121" i="36"/>
  <c r="W132" i="36" s="1"/>
  <c r="V161" i="36"/>
  <c r="V121" i="36"/>
  <c r="V132" i="36" s="1"/>
  <c r="AB170" i="36"/>
  <c r="AB210" i="36" s="1"/>
  <c r="AB93" i="36"/>
  <c r="AB96" i="36" s="1"/>
  <c r="AB97" i="36" s="1"/>
  <c r="AA170" i="36"/>
  <c r="AA93" i="36"/>
  <c r="AA96" i="36" s="1"/>
  <c r="AA97" i="36" s="1"/>
  <c r="C74" i="43"/>
  <c r="C83" i="43"/>
  <c r="C136" i="43"/>
  <c r="C144" i="43"/>
  <c r="C67" i="45"/>
  <c r="AC161" i="49" l="1"/>
  <c r="H161" i="43" s="1"/>
  <c r="V167" i="49"/>
  <c r="AC167" i="49" s="1"/>
  <c r="H167" i="43" s="1"/>
  <c r="H97" i="44"/>
  <c r="H70" i="44" s="1"/>
  <c r="S195" i="49"/>
  <c r="L196" i="49"/>
  <c r="H170" i="44"/>
  <c r="H166" i="44"/>
  <c r="I210" i="49"/>
  <c r="I67" i="49" s="1"/>
  <c r="S166" i="49"/>
  <c r="L170" i="49"/>
  <c r="L210" i="49" s="1"/>
  <c r="L218" i="49" s="1"/>
  <c r="S195" i="42"/>
  <c r="S196" i="42" s="1"/>
  <c r="L196" i="42"/>
  <c r="S97" i="42"/>
  <c r="S70" i="42" s="1"/>
  <c r="S166" i="42"/>
  <c r="S170" i="42" s="1"/>
  <c r="S210" i="42" s="1"/>
  <c r="S67" i="42" s="1"/>
  <c r="L170" i="42"/>
  <c r="L210" i="42" s="1"/>
  <c r="L218" i="42" s="1"/>
  <c r="I141" i="42"/>
  <c r="I142" i="42" s="1"/>
  <c r="J133" i="42"/>
  <c r="I210" i="41"/>
  <c r="I67" i="41"/>
  <c r="S141" i="41"/>
  <c r="S142" i="41" s="1"/>
  <c r="T133" i="41"/>
  <c r="L210" i="41"/>
  <c r="AC68" i="40"/>
  <c r="S210" i="40"/>
  <c r="S67" i="40"/>
  <c r="I210" i="40"/>
  <c r="I67" i="40"/>
  <c r="J133" i="36"/>
  <c r="I141" i="36"/>
  <c r="I142" i="36" s="1"/>
  <c r="S210" i="36"/>
  <c r="S67" i="36"/>
  <c r="AC136" i="36"/>
  <c r="AC195" i="36"/>
  <c r="AC196" i="36" s="1"/>
  <c r="AD195" i="36"/>
  <c r="V196" i="36"/>
  <c r="I210" i="35"/>
  <c r="I67" i="35"/>
  <c r="I141" i="19"/>
  <c r="I142" i="19" s="1"/>
  <c r="J133" i="19"/>
  <c r="H134" i="45"/>
  <c r="H133" i="44"/>
  <c r="AC83" i="49"/>
  <c r="X90" i="49"/>
  <c r="X97" i="49" s="1"/>
  <c r="H157" i="43"/>
  <c r="H226" i="45"/>
  <c r="H230" i="45" s="1"/>
  <c r="R218" i="49"/>
  <c r="R219" i="49" s="1"/>
  <c r="H218" i="49"/>
  <c r="H195" i="44"/>
  <c r="H196" i="44" s="1"/>
  <c r="AD195" i="49"/>
  <c r="AC195" i="49"/>
  <c r="H195" i="43" s="1"/>
  <c r="H69" i="45"/>
  <c r="P218" i="49"/>
  <c r="P219" i="49" s="1"/>
  <c r="H144" i="45"/>
  <c r="B218" i="49"/>
  <c r="AC182" i="49"/>
  <c r="H182" i="43" s="1"/>
  <c r="X196" i="49"/>
  <c r="X210" i="49" s="1"/>
  <c r="AC178" i="49"/>
  <c r="V196" i="49"/>
  <c r="H170" i="43"/>
  <c r="H178" i="45"/>
  <c r="Q218" i="49"/>
  <c r="Q219" i="49" s="1"/>
  <c r="AC134" i="49"/>
  <c r="H134" i="43" s="1"/>
  <c r="AC154" i="49"/>
  <c r="H144" i="43"/>
  <c r="V154" i="49"/>
  <c r="H83" i="45"/>
  <c r="H90" i="45" s="1"/>
  <c r="H97" i="45" s="1"/>
  <c r="F218" i="49"/>
  <c r="F219" i="49" s="1"/>
  <c r="H68" i="45"/>
  <c r="H121" i="44"/>
  <c r="H132" i="44" s="1"/>
  <c r="H68" i="44" s="1"/>
  <c r="H157" i="45"/>
  <c r="H121" i="43"/>
  <c r="H132" i="43" s="1"/>
  <c r="H68" i="43" s="1"/>
  <c r="H134" i="44"/>
  <c r="G218" i="49"/>
  <c r="G219" i="49" s="1"/>
  <c r="M218" i="49"/>
  <c r="M219" i="49" s="1"/>
  <c r="V133" i="49"/>
  <c r="C218" i="49"/>
  <c r="C219" i="49" s="1"/>
  <c r="AC93" i="49"/>
  <c r="Z96" i="49"/>
  <c r="Z97" i="49" s="1"/>
  <c r="Z218" i="49" s="1"/>
  <c r="D218" i="49"/>
  <c r="D219" i="49" s="1"/>
  <c r="H226" i="44"/>
  <c r="H230" i="44" s="1"/>
  <c r="AC80" i="49"/>
  <c r="H74" i="43"/>
  <c r="H80" i="43" s="1"/>
  <c r="AC195" i="42"/>
  <c r="AC196" i="42" s="1"/>
  <c r="AD195" i="42"/>
  <c r="V196" i="42"/>
  <c r="AC69" i="42"/>
  <c r="G218" i="42"/>
  <c r="X210" i="42"/>
  <c r="F218" i="42"/>
  <c r="AC134" i="42"/>
  <c r="AC68" i="42"/>
  <c r="V168" i="42"/>
  <c r="AC168" i="42" s="1"/>
  <c r="H218" i="42"/>
  <c r="R218" i="42"/>
  <c r="AA218" i="42"/>
  <c r="V166" i="42"/>
  <c r="Z96" i="42"/>
  <c r="Z97" i="42" s="1"/>
  <c r="Z218" i="42" s="1"/>
  <c r="AC93" i="42"/>
  <c r="AC96" i="42" s="1"/>
  <c r="AC97" i="42" s="1"/>
  <c r="M218" i="42"/>
  <c r="W133" i="42"/>
  <c r="C218" i="42"/>
  <c r="V141" i="42"/>
  <c r="V142" i="42" s="1"/>
  <c r="V167" i="42"/>
  <c r="AC167" i="42" s="1"/>
  <c r="X218" i="42"/>
  <c r="AC157" i="41"/>
  <c r="W170" i="41"/>
  <c r="W210" i="41" s="1"/>
  <c r="W218" i="41" s="1"/>
  <c r="AB218" i="41"/>
  <c r="V134" i="41"/>
  <c r="AC134" i="41" s="1"/>
  <c r="X90" i="41"/>
  <c r="X97" i="41" s="1"/>
  <c r="AC83" i="41"/>
  <c r="AC90" i="41" s="1"/>
  <c r="AC97" i="41" s="1"/>
  <c r="Z96" i="41"/>
  <c r="Z97" i="41" s="1"/>
  <c r="Z218" i="41" s="1"/>
  <c r="AC93" i="41"/>
  <c r="AC96" i="41" s="1"/>
  <c r="G218" i="41"/>
  <c r="B218" i="41"/>
  <c r="V133" i="41"/>
  <c r="AC178" i="41"/>
  <c r="V196" i="41"/>
  <c r="AC154" i="41"/>
  <c r="AB210" i="41"/>
  <c r="V154" i="41"/>
  <c r="Q218" i="41"/>
  <c r="AC160" i="41"/>
  <c r="V170" i="41"/>
  <c r="AC69" i="41"/>
  <c r="AC161" i="41"/>
  <c r="H218" i="41"/>
  <c r="Z210" i="41"/>
  <c r="F218" i="41"/>
  <c r="L218" i="41"/>
  <c r="P218" i="41"/>
  <c r="X196" i="41"/>
  <c r="X210" i="41" s="1"/>
  <c r="AC182" i="41"/>
  <c r="C218" i="41"/>
  <c r="AB218" i="40"/>
  <c r="AC160" i="40"/>
  <c r="V170" i="40"/>
  <c r="M218" i="40"/>
  <c r="N218" i="40"/>
  <c r="R218" i="40"/>
  <c r="AC161" i="40"/>
  <c r="L218" i="40"/>
  <c r="AD195" i="40"/>
  <c r="AC195" i="40"/>
  <c r="Z210" i="40"/>
  <c r="AC134" i="40"/>
  <c r="B218" i="40"/>
  <c r="F218" i="40"/>
  <c r="AC83" i="40"/>
  <c r="AC90" i="40" s="1"/>
  <c r="X90" i="40"/>
  <c r="X97" i="40" s="1"/>
  <c r="V196" i="40"/>
  <c r="Z96" i="40"/>
  <c r="Z97" i="40" s="1"/>
  <c r="AC93" i="40"/>
  <c r="AC96" i="40" s="1"/>
  <c r="V154" i="40"/>
  <c r="AC144" i="40"/>
  <c r="AC154" i="40" s="1"/>
  <c r="V141" i="40"/>
  <c r="V142" i="40" s="1"/>
  <c r="AC133" i="40"/>
  <c r="Q218" i="40"/>
  <c r="X196" i="40"/>
  <c r="X210" i="40" s="1"/>
  <c r="AC182" i="40"/>
  <c r="AC196" i="40" s="1"/>
  <c r="AA218" i="40"/>
  <c r="AC121" i="36"/>
  <c r="AC132" i="36" s="1"/>
  <c r="W133" i="36"/>
  <c r="W141" i="36" s="1"/>
  <c r="W142" i="36" s="1"/>
  <c r="W210" i="36" s="1"/>
  <c r="Z96" i="36"/>
  <c r="Z97" i="36" s="1"/>
  <c r="AC93" i="36"/>
  <c r="AC96" i="36" s="1"/>
  <c r="AC97" i="36" s="1"/>
  <c r="AC70" i="36" s="1"/>
  <c r="Z210" i="36"/>
  <c r="AC161" i="36"/>
  <c r="AC170" i="36" s="1"/>
  <c r="V170" i="36"/>
  <c r="AC133" i="36"/>
  <c r="V141" i="36"/>
  <c r="V142" i="36" s="1"/>
  <c r="C93" i="43"/>
  <c r="C96" i="43" s="1"/>
  <c r="C195" i="43"/>
  <c r="C133" i="43"/>
  <c r="B219" i="49"/>
  <c r="AA219" i="49"/>
  <c r="W219" i="49"/>
  <c r="N219" i="49"/>
  <c r="Z219" i="49"/>
  <c r="H219" i="49"/>
  <c r="AC170" i="49" l="1"/>
  <c r="S170" i="49"/>
  <c r="S210" i="49" s="1"/>
  <c r="S67" i="49" s="1"/>
  <c r="H166" i="45"/>
  <c r="H170" i="45" s="1"/>
  <c r="V170" i="49"/>
  <c r="S196" i="49"/>
  <c r="H195" i="45"/>
  <c r="I210" i="42"/>
  <c r="I67" i="42" s="1"/>
  <c r="S210" i="41"/>
  <c r="S67" i="41" s="1"/>
  <c r="AC170" i="40"/>
  <c r="AC141" i="40"/>
  <c r="AC142" i="40" s="1"/>
  <c r="AC210" i="40" s="1"/>
  <c r="AC218" i="40" s="1"/>
  <c r="V210" i="40"/>
  <c r="V218" i="40" s="1"/>
  <c r="AC97" i="40"/>
  <c r="AC70" i="40" s="1"/>
  <c r="I210" i="36"/>
  <c r="I67" i="36" s="1"/>
  <c r="V210" i="36"/>
  <c r="AC141" i="36"/>
  <c r="I210" i="19"/>
  <c r="I67" i="19" s="1"/>
  <c r="H70" i="45"/>
  <c r="H178" i="43"/>
  <c r="AC196" i="49"/>
  <c r="H154" i="43"/>
  <c r="X218" i="49"/>
  <c r="H69" i="43"/>
  <c r="H93" i="43"/>
  <c r="AC96" i="49"/>
  <c r="AC133" i="49"/>
  <c r="V141" i="49"/>
  <c r="V142" i="49" s="1"/>
  <c r="H83" i="43"/>
  <c r="H90" i="43" s="1"/>
  <c r="H97" i="43" s="1"/>
  <c r="AC90" i="49"/>
  <c r="H133" i="45"/>
  <c r="H141" i="45" s="1"/>
  <c r="H141" i="44"/>
  <c r="H154" i="45"/>
  <c r="H196" i="45"/>
  <c r="H93" i="45"/>
  <c r="H69" i="44"/>
  <c r="P195" i="43"/>
  <c r="H93" i="44"/>
  <c r="AC166" i="42"/>
  <c r="AC170" i="42" s="1"/>
  <c r="V170" i="42"/>
  <c r="V210" i="42" s="1"/>
  <c r="V218" i="42" s="1"/>
  <c r="S218" i="42"/>
  <c r="W141" i="42"/>
  <c r="W142" i="42" s="1"/>
  <c r="W210" i="42" s="1"/>
  <c r="W218" i="42" s="1"/>
  <c r="AC133" i="42"/>
  <c r="AC141" i="42" s="1"/>
  <c r="AC142" i="42" s="1"/>
  <c r="AC70" i="42"/>
  <c r="AC70" i="41"/>
  <c r="AC196" i="41"/>
  <c r="X218" i="41"/>
  <c r="V141" i="41"/>
  <c r="V142" i="41" s="1"/>
  <c r="V210" i="41" s="1"/>
  <c r="V218" i="41" s="1"/>
  <c r="AC133" i="41"/>
  <c r="AC141" i="41" s="1"/>
  <c r="AC142" i="41" s="1"/>
  <c r="AC170" i="41"/>
  <c r="Z218" i="40"/>
  <c r="X218" i="40"/>
  <c r="I218" i="40"/>
  <c r="AC142" i="36"/>
  <c r="AC69" i="36"/>
  <c r="AC68" i="36"/>
  <c r="X219" i="49"/>
  <c r="L219" i="49"/>
  <c r="V210" i="49" l="1"/>
  <c r="V218" i="49" s="1"/>
  <c r="V219" i="49" s="1"/>
  <c r="AC97" i="49"/>
  <c r="AC67" i="40"/>
  <c r="AC70" i="49"/>
  <c r="H70" i="43"/>
  <c r="H196" i="43"/>
  <c r="H142" i="45"/>
  <c r="H210" i="45" s="1"/>
  <c r="S218" i="49"/>
  <c r="S219" i="49" s="1"/>
  <c r="I218" i="49"/>
  <c r="H142" i="44"/>
  <c r="H210" i="44" s="1"/>
  <c r="AC141" i="49"/>
  <c r="AC142" i="49" s="1"/>
  <c r="H133" i="43"/>
  <c r="H141" i="43" s="1"/>
  <c r="AC210" i="42"/>
  <c r="AC218" i="42" s="1"/>
  <c r="I218" i="42"/>
  <c r="I218" i="41"/>
  <c r="AC210" i="41"/>
  <c r="AC218" i="41" s="1"/>
  <c r="S218" i="41"/>
  <c r="S218" i="40"/>
  <c r="AC210" i="36"/>
  <c r="AC67" i="36" s="1"/>
  <c r="I219" i="49"/>
  <c r="H67" i="45" l="1"/>
  <c r="H252" i="45"/>
  <c r="H238" i="45"/>
  <c r="H251" i="45"/>
  <c r="H250" i="45"/>
  <c r="H244" i="45"/>
  <c r="H246" i="45"/>
  <c r="H254" i="45"/>
  <c r="H248" i="45"/>
  <c r="H241" i="45"/>
  <c r="H249" i="45"/>
  <c r="H243" i="45"/>
  <c r="H218" i="45"/>
  <c r="H253" i="45"/>
  <c r="H224" i="45"/>
  <c r="H231" i="45" s="1"/>
  <c r="H245" i="45"/>
  <c r="H247" i="45"/>
  <c r="H142" i="43"/>
  <c r="H210" i="43" s="1"/>
  <c r="H242" i="43" s="1"/>
  <c r="H242" i="45"/>
  <c r="AC210" i="49"/>
  <c r="AC218" i="49" s="1"/>
  <c r="AC219" i="49" s="1"/>
  <c r="H67" i="44"/>
  <c r="H243" i="44"/>
  <c r="H238" i="44"/>
  <c r="H224" i="44"/>
  <c r="H231" i="44" s="1"/>
  <c r="H252" i="44"/>
  <c r="H241" i="44"/>
  <c r="H251" i="44"/>
  <c r="H249" i="44"/>
  <c r="H245" i="44"/>
  <c r="H254" i="44"/>
  <c r="H250" i="44"/>
  <c r="H248" i="44"/>
  <c r="H253" i="44"/>
  <c r="H218" i="44"/>
  <c r="H223" i="44" s="1"/>
  <c r="H247" i="44"/>
  <c r="H244" i="44"/>
  <c r="H246" i="44"/>
  <c r="H242" i="44"/>
  <c r="AC67" i="42"/>
  <c r="AC67" i="41"/>
  <c r="AC67" i="49" l="1"/>
  <c r="H256" i="45"/>
  <c r="H67" i="43"/>
  <c r="H246" i="43"/>
  <c r="H252" i="43"/>
  <c r="H250" i="43"/>
  <c r="H251" i="43"/>
  <c r="H244" i="43"/>
  <c r="H249" i="43"/>
  <c r="H243" i="43"/>
  <c r="H245" i="43"/>
  <c r="H248" i="43"/>
  <c r="H247" i="43"/>
  <c r="H241" i="43"/>
  <c r="H254" i="43"/>
  <c r="H224" i="43"/>
  <c r="H231" i="43" s="1"/>
  <c r="H218" i="43"/>
  <c r="H253" i="43"/>
  <c r="H256" i="44"/>
  <c r="H223" i="45"/>
  <c r="H219" i="45"/>
  <c r="E219" i="19"/>
  <c r="B3" i="19"/>
  <c r="I2" i="19"/>
  <c r="L21" i="19"/>
  <c r="J17" i="45"/>
  <c r="J18" i="45" s="1"/>
  <c r="J4" i="45"/>
  <c r="C13" i="48"/>
  <c r="D12" i="48" s="1"/>
  <c r="D13" i="48" s="1"/>
  <c r="E12" i="48" s="1"/>
  <c r="E13" i="48" s="1"/>
  <c r="F12" i="48" s="1"/>
  <c r="F13" i="48" s="1"/>
  <c r="G12" i="48" s="1"/>
  <c r="G13" i="48" s="1"/>
  <c r="H12" i="48" s="1"/>
  <c r="H13" i="48" s="1"/>
  <c r="C24" i="48"/>
  <c r="D24" i="48"/>
  <c r="E24" i="48"/>
  <c r="F24" i="48"/>
  <c r="G24" i="48"/>
  <c r="H24" i="48"/>
  <c r="C52" i="48"/>
  <c r="D52" i="48"/>
  <c r="E52" i="48"/>
  <c r="F52" i="48"/>
  <c r="G52" i="48"/>
  <c r="H52" i="48"/>
  <c r="C64" i="48"/>
  <c r="D64" i="48"/>
  <c r="E64" i="48"/>
  <c r="F64" i="48"/>
  <c r="G64" i="48"/>
  <c r="H64" i="48"/>
  <c r="C15" i="47"/>
  <c r="D14" i="47" s="1"/>
  <c r="D15" i="47" s="1"/>
  <c r="E14" i="47" s="1"/>
  <c r="E15" i="47" s="1"/>
  <c r="F14" i="47" s="1"/>
  <c r="F15" i="47" s="1"/>
  <c r="G14" i="47" s="1"/>
  <c r="G15" i="47" s="1"/>
  <c r="H14" i="47" s="1"/>
  <c r="H15" i="47" s="1"/>
  <c r="C35" i="47"/>
  <c r="C36" i="47"/>
  <c r="D35" i="47" s="1"/>
  <c r="D36" i="47"/>
  <c r="E35" i="47" s="1"/>
  <c r="E36" i="47" s="1"/>
  <c r="F35" i="47" s="1"/>
  <c r="F36" i="47" s="1"/>
  <c r="G35" i="47" s="1"/>
  <c r="G36" i="47" s="1"/>
  <c r="H35" i="47" s="1"/>
  <c r="H36" i="47" s="1"/>
  <c r="C58" i="47"/>
  <c r="C59" i="47"/>
  <c r="D58" i="47" s="1"/>
  <c r="D59" i="47" s="1"/>
  <c r="E58" i="47" s="1"/>
  <c r="E59" i="47" s="1"/>
  <c r="F58" i="47" s="1"/>
  <c r="F59" i="47" s="1"/>
  <c r="G58" i="47" s="1"/>
  <c r="G59" i="47" s="1"/>
  <c r="H58" i="47" s="1"/>
  <c r="H59" i="47" s="1"/>
  <c r="C19" i="46"/>
  <c r="C20" i="46"/>
  <c r="C21" i="46"/>
  <c r="C67" i="46"/>
  <c r="C68" i="46"/>
  <c r="C25" i="46"/>
  <c r="C27" i="46"/>
  <c r="C28" i="46"/>
  <c r="C29" i="46"/>
  <c r="C15" i="46"/>
  <c r="D14" i="46" s="1"/>
  <c r="D15" i="46" s="1"/>
  <c r="E14" i="46" s="1"/>
  <c r="E15" i="46" s="1"/>
  <c r="F14" i="46" s="1"/>
  <c r="F15" i="46" s="1"/>
  <c r="G14" i="46" s="1"/>
  <c r="G15" i="46" s="1"/>
  <c r="H14" i="46" s="1"/>
  <c r="H15" i="46" s="1"/>
  <c r="C17" i="46"/>
  <c r="C35" i="46"/>
  <c r="C36" i="46" s="1"/>
  <c r="D35" i="46" s="1"/>
  <c r="D36" i="46" s="1"/>
  <c r="E35" i="46" s="1"/>
  <c r="E36" i="46" s="1"/>
  <c r="F35" i="46" s="1"/>
  <c r="F36" i="46" s="1"/>
  <c r="G35" i="46" s="1"/>
  <c r="G36" i="46" s="1"/>
  <c r="H35" i="46" s="1"/>
  <c r="H36" i="46" s="1"/>
  <c r="C18" i="46"/>
  <c r="C22" i="46"/>
  <c r="C26" i="46"/>
  <c r="C58" i="46"/>
  <c r="C59" i="46"/>
  <c r="D58" i="46" s="1"/>
  <c r="D59" i="46" s="1"/>
  <c r="E58" i="46" s="1"/>
  <c r="E59" i="46" s="1"/>
  <c r="F58" i="46" s="1"/>
  <c r="F59" i="46" s="1"/>
  <c r="G58" i="46" s="1"/>
  <c r="G59" i="46" s="1"/>
  <c r="H58" i="46" s="1"/>
  <c r="H59" i="46" s="1"/>
  <c r="C61" i="46"/>
  <c r="C62" i="46"/>
  <c r="C66" i="46"/>
  <c r="C69" i="46"/>
  <c r="C70" i="46"/>
  <c r="C71" i="46"/>
  <c r="H236" i="43" l="1"/>
  <c r="P218" i="43"/>
  <c r="H256" i="43"/>
  <c r="B218" i="19"/>
  <c r="C64" i="46"/>
  <c r="C24" i="46"/>
  <c r="C63" i="46"/>
  <c r="C72" i="46"/>
  <c r="C23" i="46"/>
  <c r="I3" i="19"/>
  <c r="C45" i="48"/>
  <c r="K45" i="48" s="1"/>
  <c r="C51" i="46"/>
  <c r="C73" i="46"/>
  <c r="C65" i="46"/>
  <c r="C30" i="46"/>
  <c r="B74" i="43" l="1"/>
  <c r="C74" i="46"/>
  <c r="D219" i="19"/>
  <c r="I218" i="19" l="1"/>
  <c r="C219" i="19"/>
  <c r="B134" i="43"/>
  <c r="B136" i="43"/>
  <c r="D213" i="45"/>
  <c r="D227" i="45" s="1"/>
  <c r="E213" i="45"/>
  <c r="F213" i="45"/>
  <c r="F227" i="45" s="1"/>
  <c r="G213" i="45"/>
  <c r="G227" i="45" s="1"/>
  <c r="D214" i="45"/>
  <c r="D228" i="45" s="1"/>
  <c r="E214" i="45"/>
  <c r="E228" i="45" s="1"/>
  <c r="F214" i="45"/>
  <c r="F228" i="45" s="1"/>
  <c r="G214" i="45"/>
  <c r="G228" i="45" s="1"/>
  <c r="D215" i="45"/>
  <c r="E215" i="45"/>
  <c r="F215" i="45"/>
  <c r="G215" i="45"/>
  <c r="G212" i="45"/>
  <c r="F212" i="45"/>
  <c r="E212" i="45"/>
  <c r="E226" i="45" s="1"/>
  <c r="D212" i="45"/>
  <c r="D226" i="45" s="1"/>
  <c r="C226" i="45"/>
  <c r="D199" i="45"/>
  <c r="E199" i="45"/>
  <c r="F199" i="45"/>
  <c r="G199" i="45"/>
  <c r="D200" i="45"/>
  <c r="E200" i="45"/>
  <c r="F200" i="45"/>
  <c r="G200" i="45"/>
  <c r="D201" i="45"/>
  <c r="E201" i="45"/>
  <c r="F201" i="45"/>
  <c r="G201" i="45"/>
  <c r="D202" i="45"/>
  <c r="E202" i="45"/>
  <c r="F202" i="45"/>
  <c r="G202" i="45"/>
  <c r="D203" i="45"/>
  <c r="E203" i="45"/>
  <c r="F203" i="45"/>
  <c r="G203" i="45"/>
  <c r="D204" i="45"/>
  <c r="E204" i="45"/>
  <c r="F204" i="45"/>
  <c r="G204" i="45"/>
  <c r="D205" i="45"/>
  <c r="E205" i="45"/>
  <c r="F205" i="45"/>
  <c r="G205" i="45"/>
  <c r="D206" i="45"/>
  <c r="E206" i="45"/>
  <c r="F206" i="45"/>
  <c r="G206" i="45"/>
  <c r="D207" i="45"/>
  <c r="E207" i="45"/>
  <c r="F207" i="45"/>
  <c r="G207" i="45"/>
  <c r="G198" i="45"/>
  <c r="F198" i="45"/>
  <c r="E198" i="45"/>
  <c r="D198" i="45"/>
  <c r="D194" i="45"/>
  <c r="E194" i="45"/>
  <c r="F194" i="45"/>
  <c r="G194" i="45"/>
  <c r="D195" i="45"/>
  <c r="E195" i="45"/>
  <c r="F195" i="45"/>
  <c r="G195" i="45"/>
  <c r="D173" i="45"/>
  <c r="E173" i="45"/>
  <c r="F173" i="45"/>
  <c r="G173" i="45"/>
  <c r="D174" i="45"/>
  <c r="E174" i="45"/>
  <c r="F174" i="45"/>
  <c r="G174" i="45"/>
  <c r="D175" i="45"/>
  <c r="E175" i="45"/>
  <c r="F175" i="45"/>
  <c r="G175" i="45"/>
  <c r="D176" i="45"/>
  <c r="E176" i="45"/>
  <c r="F176" i="45"/>
  <c r="G176" i="45"/>
  <c r="D177" i="45"/>
  <c r="E177" i="45"/>
  <c r="F177" i="45"/>
  <c r="G177" i="45"/>
  <c r="D178" i="45"/>
  <c r="E178" i="45"/>
  <c r="F178" i="45"/>
  <c r="G178" i="45"/>
  <c r="D179" i="45"/>
  <c r="E179" i="45"/>
  <c r="F179" i="45"/>
  <c r="G179" i="45"/>
  <c r="D180" i="45"/>
  <c r="E180" i="45"/>
  <c r="F180" i="45"/>
  <c r="G180" i="45"/>
  <c r="D181" i="45"/>
  <c r="E181" i="45"/>
  <c r="F181" i="45"/>
  <c r="G181" i="45"/>
  <c r="D182" i="45"/>
  <c r="E182" i="45"/>
  <c r="F182" i="45"/>
  <c r="G182" i="45"/>
  <c r="D183" i="45"/>
  <c r="E183" i="45"/>
  <c r="F183" i="45"/>
  <c r="G183" i="45"/>
  <c r="D184" i="45"/>
  <c r="E184" i="45"/>
  <c r="F184" i="45"/>
  <c r="G184" i="45"/>
  <c r="D185" i="45"/>
  <c r="E185" i="45"/>
  <c r="F185" i="45"/>
  <c r="G185" i="45"/>
  <c r="D186" i="45"/>
  <c r="E186" i="45"/>
  <c r="F186" i="45"/>
  <c r="G186" i="45"/>
  <c r="D187" i="45"/>
  <c r="E187" i="45"/>
  <c r="F187" i="45"/>
  <c r="G187" i="45"/>
  <c r="D188" i="45"/>
  <c r="E188" i="45"/>
  <c r="F188" i="45"/>
  <c r="G188" i="45"/>
  <c r="D189" i="45"/>
  <c r="E189" i="45"/>
  <c r="F189" i="45"/>
  <c r="G189" i="45"/>
  <c r="D190" i="45"/>
  <c r="E190" i="45"/>
  <c r="F190" i="45"/>
  <c r="G190" i="45"/>
  <c r="D191" i="45"/>
  <c r="E191" i="45"/>
  <c r="F191" i="45"/>
  <c r="G191" i="45"/>
  <c r="D192" i="45"/>
  <c r="E192" i="45"/>
  <c r="F192" i="45"/>
  <c r="G192" i="45"/>
  <c r="D193" i="45"/>
  <c r="E193" i="45"/>
  <c r="F193" i="45"/>
  <c r="G193" i="45"/>
  <c r="G172" i="45"/>
  <c r="F172" i="45"/>
  <c r="E172" i="45"/>
  <c r="D172" i="45"/>
  <c r="D157" i="45"/>
  <c r="E157" i="45"/>
  <c r="F157" i="45"/>
  <c r="G157" i="45"/>
  <c r="D158" i="45"/>
  <c r="E158" i="45"/>
  <c r="F158" i="45"/>
  <c r="G158" i="45"/>
  <c r="D159" i="45"/>
  <c r="E159" i="45"/>
  <c r="F159" i="45"/>
  <c r="G159" i="45"/>
  <c r="D160" i="45"/>
  <c r="E160" i="45"/>
  <c r="F160" i="45"/>
  <c r="G160" i="45"/>
  <c r="D161" i="45"/>
  <c r="E161" i="45"/>
  <c r="F161" i="45"/>
  <c r="G161" i="45"/>
  <c r="D162" i="45"/>
  <c r="E162" i="45"/>
  <c r="F162" i="45"/>
  <c r="G162" i="45"/>
  <c r="D163" i="45"/>
  <c r="E163" i="45"/>
  <c r="F163" i="45"/>
  <c r="G163" i="45"/>
  <c r="D164" i="45"/>
  <c r="E164" i="45"/>
  <c r="F164" i="45"/>
  <c r="G164" i="45"/>
  <c r="D165" i="45"/>
  <c r="E165" i="45"/>
  <c r="F165" i="45"/>
  <c r="G165" i="45"/>
  <c r="D166" i="45"/>
  <c r="E166" i="45"/>
  <c r="F166" i="45"/>
  <c r="G166" i="45"/>
  <c r="D167" i="45"/>
  <c r="E167" i="45"/>
  <c r="F167" i="45"/>
  <c r="G167" i="45"/>
  <c r="D168" i="45"/>
  <c r="E168" i="45"/>
  <c r="F168" i="45"/>
  <c r="G168" i="45"/>
  <c r="D169" i="45"/>
  <c r="E169" i="45"/>
  <c r="F169" i="45"/>
  <c r="G169" i="45"/>
  <c r="G156" i="45"/>
  <c r="F156" i="45"/>
  <c r="E156" i="45"/>
  <c r="D156" i="45"/>
  <c r="D145" i="45"/>
  <c r="E145" i="45"/>
  <c r="F145" i="45"/>
  <c r="G145" i="45"/>
  <c r="D146" i="45"/>
  <c r="E146" i="45"/>
  <c r="F146" i="45"/>
  <c r="G146" i="45"/>
  <c r="D147" i="45"/>
  <c r="E147" i="45"/>
  <c r="F147" i="45"/>
  <c r="G147" i="45"/>
  <c r="D148" i="45"/>
  <c r="E148" i="45"/>
  <c r="F148" i="45"/>
  <c r="G148" i="45"/>
  <c r="D149" i="45"/>
  <c r="E149" i="45"/>
  <c r="F149" i="45"/>
  <c r="G149" i="45"/>
  <c r="D150" i="45"/>
  <c r="E150" i="45"/>
  <c r="F150" i="45"/>
  <c r="G150" i="45"/>
  <c r="D151" i="45"/>
  <c r="E151" i="45"/>
  <c r="F151" i="45"/>
  <c r="G151" i="45"/>
  <c r="D152" i="45"/>
  <c r="E152" i="45"/>
  <c r="F152" i="45"/>
  <c r="G152" i="45"/>
  <c r="D153" i="45"/>
  <c r="E153" i="45"/>
  <c r="F153" i="45"/>
  <c r="G153" i="45"/>
  <c r="G144" i="45"/>
  <c r="F144" i="45"/>
  <c r="E144" i="45"/>
  <c r="D144" i="45"/>
  <c r="D134" i="45"/>
  <c r="E134" i="45"/>
  <c r="F134" i="45"/>
  <c r="G134" i="45"/>
  <c r="D135" i="45"/>
  <c r="E135" i="45"/>
  <c r="F135" i="45"/>
  <c r="G135" i="45"/>
  <c r="D136" i="45"/>
  <c r="E136" i="45"/>
  <c r="F136" i="45"/>
  <c r="G136" i="45"/>
  <c r="D137" i="45"/>
  <c r="E137" i="45"/>
  <c r="F137" i="45"/>
  <c r="G137" i="45"/>
  <c r="D138" i="45"/>
  <c r="E138" i="45"/>
  <c r="F138" i="45"/>
  <c r="G138" i="45"/>
  <c r="D139" i="45"/>
  <c r="E139" i="45"/>
  <c r="F139" i="45"/>
  <c r="G139" i="45"/>
  <c r="D140" i="45"/>
  <c r="E140" i="45"/>
  <c r="F140" i="45"/>
  <c r="G140" i="45"/>
  <c r="G133" i="45"/>
  <c r="F133" i="45"/>
  <c r="E133" i="45"/>
  <c r="D133" i="45"/>
  <c r="D124" i="45"/>
  <c r="E124" i="45"/>
  <c r="F124" i="45"/>
  <c r="G124" i="45"/>
  <c r="D125" i="45"/>
  <c r="E125" i="45"/>
  <c r="F125" i="45"/>
  <c r="G125" i="45"/>
  <c r="D126" i="45"/>
  <c r="E126" i="45"/>
  <c r="F126" i="45"/>
  <c r="G126" i="45"/>
  <c r="D127" i="45"/>
  <c r="E127" i="45"/>
  <c r="F127" i="45"/>
  <c r="G127" i="45"/>
  <c r="D128" i="45"/>
  <c r="E128" i="45"/>
  <c r="F128" i="45"/>
  <c r="G128" i="45"/>
  <c r="D129" i="45"/>
  <c r="E129" i="45"/>
  <c r="F129" i="45"/>
  <c r="G129" i="45"/>
  <c r="D130" i="45"/>
  <c r="E130" i="45"/>
  <c r="F130" i="45"/>
  <c r="G130" i="45"/>
  <c r="G123" i="45"/>
  <c r="F123" i="45"/>
  <c r="E123" i="45"/>
  <c r="D123" i="45"/>
  <c r="D108" i="45"/>
  <c r="E108" i="45"/>
  <c r="F108" i="45"/>
  <c r="G108" i="45"/>
  <c r="D109" i="45"/>
  <c r="E109" i="45"/>
  <c r="F109" i="45"/>
  <c r="G109" i="45"/>
  <c r="D110" i="45"/>
  <c r="E110" i="45"/>
  <c r="F110" i="45"/>
  <c r="G110" i="45"/>
  <c r="D111" i="45"/>
  <c r="E111" i="45"/>
  <c r="F111" i="45"/>
  <c r="G111" i="45"/>
  <c r="D112" i="45"/>
  <c r="E112" i="45"/>
  <c r="F112" i="45"/>
  <c r="G112" i="45"/>
  <c r="D113" i="45"/>
  <c r="E113" i="45"/>
  <c r="F113" i="45"/>
  <c r="G113" i="45"/>
  <c r="D114" i="45"/>
  <c r="E114" i="45"/>
  <c r="F114" i="45"/>
  <c r="G114" i="45"/>
  <c r="D115" i="45"/>
  <c r="E115" i="45"/>
  <c r="F115" i="45"/>
  <c r="G115" i="45"/>
  <c r="D116" i="45"/>
  <c r="E116" i="45"/>
  <c r="F116" i="45"/>
  <c r="G116" i="45"/>
  <c r="D117" i="45"/>
  <c r="E117" i="45"/>
  <c r="F117" i="45"/>
  <c r="G117" i="45"/>
  <c r="D118" i="45"/>
  <c r="E118" i="45"/>
  <c r="F118" i="45"/>
  <c r="G118" i="45"/>
  <c r="D119" i="45"/>
  <c r="E119" i="45"/>
  <c r="F119" i="45"/>
  <c r="G119" i="45"/>
  <c r="D120" i="45"/>
  <c r="E120" i="45"/>
  <c r="F120" i="45"/>
  <c r="G120" i="45"/>
  <c r="G107" i="45"/>
  <c r="F107" i="45"/>
  <c r="E107" i="45"/>
  <c r="D107" i="45"/>
  <c r="D100" i="45"/>
  <c r="E100" i="45"/>
  <c r="F100" i="45"/>
  <c r="G100" i="45"/>
  <c r="D101" i="45"/>
  <c r="E101" i="45"/>
  <c r="F101" i="45"/>
  <c r="G101" i="45"/>
  <c r="D102" i="45"/>
  <c r="E102" i="45"/>
  <c r="F102" i="45"/>
  <c r="G102" i="45"/>
  <c r="G99" i="45"/>
  <c r="F99" i="45"/>
  <c r="E99" i="45"/>
  <c r="D99" i="45"/>
  <c r="D93" i="45"/>
  <c r="E93" i="45"/>
  <c r="F93" i="45"/>
  <c r="G93" i="45"/>
  <c r="D94" i="45"/>
  <c r="E94" i="45"/>
  <c r="F94" i="45"/>
  <c r="G94" i="45"/>
  <c r="D95" i="45"/>
  <c r="E95" i="45"/>
  <c r="F95" i="45"/>
  <c r="G95" i="45"/>
  <c r="G92" i="45"/>
  <c r="F92" i="45"/>
  <c r="E92" i="45"/>
  <c r="D92" i="45"/>
  <c r="D83" i="45"/>
  <c r="E83" i="45"/>
  <c r="F83" i="45"/>
  <c r="G83" i="45"/>
  <c r="D84" i="45"/>
  <c r="E84" i="45"/>
  <c r="F84" i="45"/>
  <c r="G84" i="45"/>
  <c r="D85" i="45"/>
  <c r="E85" i="45"/>
  <c r="F85" i="45"/>
  <c r="G85" i="45"/>
  <c r="D86" i="45"/>
  <c r="E86" i="45"/>
  <c r="F86" i="45"/>
  <c r="G86" i="45"/>
  <c r="D87" i="45"/>
  <c r="E87" i="45"/>
  <c r="F87" i="45"/>
  <c r="G87" i="45"/>
  <c r="D88" i="45"/>
  <c r="E88" i="45"/>
  <c r="F88" i="45"/>
  <c r="G88" i="45"/>
  <c r="D89" i="45"/>
  <c r="E89" i="45"/>
  <c r="F89" i="45"/>
  <c r="G89" i="45"/>
  <c r="G82" i="45"/>
  <c r="F82" i="45"/>
  <c r="E82" i="45"/>
  <c r="D82" i="45"/>
  <c r="D75" i="45"/>
  <c r="E75" i="45"/>
  <c r="F75" i="45"/>
  <c r="G75" i="45"/>
  <c r="D76" i="45"/>
  <c r="E76" i="45"/>
  <c r="F76" i="45"/>
  <c r="G76" i="45"/>
  <c r="D77" i="45"/>
  <c r="E77" i="45"/>
  <c r="F77" i="45"/>
  <c r="G77" i="45"/>
  <c r="D78" i="45"/>
  <c r="E78" i="45"/>
  <c r="F78" i="45"/>
  <c r="G78" i="45"/>
  <c r="D79" i="45"/>
  <c r="E79" i="45"/>
  <c r="F79" i="45"/>
  <c r="G79" i="45"/>
  <c r="G74" i="45"/>
  <c r="F74" i="45"/>
  <c r="E74" i="45"/>
  <c r="D74" i="45"/>
  <c r="D40" i="45"/>
  <c r="D28" i="48" s="1"/>
  <c r="E40" i="45"/>
  <c r="E28" i="48" s="1"/>
  <c r="F40" i="45"/>
  <c r="F28" i="48" s="1"/>
  <c r="G40" i="45"/>
  <c r="G28" i="48" s="1"/>
  <c r="D41" i="45"/>
  <c r="D38" i="48" s="1"/>
  <c r="E41" i="45"/>
  <c r="E38" i="48" s="1"/>
  <c r="F41" i="45"/>
  <c r="F38" i="48" s="1"/>
  <c r="G41" i="45"/>
  <c r="D42" i="45"/>
  <c r="E42" i="45"/>
  <c r="F42" i="45"/>
  <c r="G42" i="45"/>
  <c r="D43" i="45"/>
  <c r="D31" i="48" s="1"/>
  <c r="E43" i="45"/>
  <c r="E31" i="48" s="1"/>
  <c r="F43" i="45"/>
  <c r="F31" i="48" s="1"/>
  <c r="G43" i="45"/>
  <c r="G31" i="48" s="1"/>
  <c r="D44" i="45"/>
  <c r="D29" i="48" s="1"/>
  <c r="E44" i="45"/>
  <c r="E29" i="48" s="1"/>
  <c r="F44" i="45"/>
  <c r="F29" i="48" s="1"/>
  <c r="G44" i="45"/>
  <c r="D45" i="45"/>
  <c r="E45" i="45"/>
  <c r="F45" i="45"/>
  <c r="G45" i="45"/>
  <c r="D46" i="45"/>
  <c r="D40" i="48" s="1"/>
  <c r="E46" i="45"/>
  <c r="E40" i="48" s="1"/>
  <c r="F46" i="45"/>
  <c r="F40" i="48" s="1"/>
  <c r="G46" i="45"/>
  <c r="G40" i="48" s="1"/>
  <c r="D47" i="45"/>
  <c r="D41" i="48" s="1"/>
  <c r="E47" i="45"/>
  <c r="E41" i="48" s="1"/>
  <c r="F47" i="45"/>
  <c r="F41" i="48" s="1"/>
  <c r="G47" i="45"/>
  <c r="G41" i="48" s="1"/>
  <c r="D48" i="45"/>
  <c r="E48" i="45"/>
  <c r="F48" i="45"/>
  <c r="G48" i="45"/>
  <c r="D49" i="45"/>
  <c r="E49" i="45"/>
  <c r="F49" i="45"/>
  <c r="G49" i="45"/>
  <c r="D50" i="45"/>
  <c r="D43" i="48" s="1"/>
  <c r="E50" i="45"/>
  <c r="E43" i="48" s="1"/>
  <c r="F50" i="45"/>
  <c r="F43" i="48" s="1"/>
  <c r="G50" i="45"/>
  <c r="G43" i="48" s="1"/>
  <c r="D51" i="45"/>
  <c r="E51" i="45"/>
  <c r="F51" i="45"/>
  <c r="G51" i="45"/>
  <c r="D52" i="45"/>
  <c r="E52" i="45"/>
  <c r="F52" i="45"/>
  <c r="G52" i="45"/>
  <c r="D53" i="45"/>
  <c r="E53" i="45"/>
  <c r="F53" i="45"/>
  <c r="G53" i="45"/>
  <c r="D54" i="45"/>
  <c r="D33" i="48" s="1"/>
  <c r="E54" i="45"/>
  <c r="E33" i="48" s="1"/>
  <c r="F54" i="45"/>
  <c r="F33" i="48" s="1"/>
  <c r="G54" i="45"/>
  <c r="G33" i="48" s="1"/>
  <c r="D55" i="45"/>
  <c r="E55" i="45"/>
  <c r="F55" i="45"/>
  <c r="G55" i="45"/>
  <c r="D56" i="45"/>
  <c r="E56" i="45"/>
  <c r="F56" i="45"/>
  <c r="G56" i="45"/>
  <c r="D57" i="45"/>
  <c r="E57" i="45"/>
  <c r="F57" i="45"/>
  <c r="G57" i="45"/>
  <c r="D58" i="45"/>
  <c r="D39" i="48" s="1"/>
  <c r="E58" i="45"/>
  <c r="E39" i="48" s="1"/>
  <c r="F58" i="45"/>
  <c r="F39" i="48" s="1"/>
  <c r="G58" i="45"/>
  <c r="G39" i="48" s="1"/>
  <c r="D59" i="45"/>
  <c r="E59" i="45"/>
  <c r="F59" i="45"/>
  <c r="G59" i="45"/>
  <c r="D60" i="45"/>
  <c r="E60" i="45"/>
  <c r="F60" i="45"/>
  <c r="G60" i="45"/>
  <c r="G39" i="45"/>
  <c r="G27" i="48" s="1"/>
  <c r="F39" i="45"/>
  <c r="F27" i="48" s="1"/>
  <c r="E39" i="45"/>
  <c r="E27" i="48" s="1"/>
  <c r="D39" i="45"/>
  <c r="D27" i="48" s="1"/>
  <c r="D28" i="45"/>
  <c r="D37" i="48" s="1"/>
  <c r="E28" i="45"/>
  <c r="E37" i="48" s="1"/>
  <c r="F28" i="45"/>
  <c r="F37" i="48" s="1"/>
  <c r="G28" i="45"/>
  <c r="G37" i="48" s="1"/>
  <c r="D29" i="45"/>
  <c r="E29" i="45"/>
  <c r="F29" i="45"/>
  <c r="G29" i="45"/>
  <c r="D30" i="45"/>
  <c r="E30" i="45"/>
  <c r="F30" i="45"/>
  <c r="G30" i="45"/>
  <c r="D31" i="45"/>
  <c r="E31" i="45"/>
  <c r="F31" i="45"/>
  <c r="G31" i="45"/>
  <c r="D32" i="45"/>
  <c r="E32" i="45"/>
  <c r="F32" i="45"/>
  <c r="G32" i="45"/>
  <c r="D33" i="45"/>
  <c r="E33" i="45"/>
  <c r="F33" i="45"/>
  <c r="G33" i="45"/>
  <c r="D34" i="45"/>
  <c r="E34" i="45"/>
  <c r="F34" i="45"/>
  <c r="G34" i="45"/>
  <c r="D35" i="45"/>
  <c r="E35" i="45"/>
  <c r="F35" i="45"/>
  <c r="G35" i="45"/>
  <c r="G27" i="45"/>
  <c r="G35" i="48" s="1"/>
  <c r="F27" i="45"/>
  <c r="F35" i="48" s="1"/>
  <c r="E27" i="45"/>
  <c r="E35" i="48" s="1"/>
  <c r="D27" i="45"/>
  <c r="D35" i="48" s="1"/>
  <c r="D21" i="45"/>
  <c r="E21" i="45"/>
  <c r="F21" i="45"/>
  <c r="G21" i="45"/>
  <c r="D22" i="45"/>
  <c r="E22" i="45"/>
  <c r="F22" i="45"/>
  <c r="G22" i="45"/>
  <c r="D23" i="45"/>
  <c r="E23" i="45"/>
  <c r="F23" i="45"/>
  <c r="G23" i="45"/>
  <c r="D24" i="45"/>
  <c r="E24" i="45"/>
  <c r="F24" i="45"/>
  <c r="G24" i="45"/>
  <c r="G20" i="45"/>
  <c r="F20" i="45"/>
  <c r="E20" i="45"/>
  <c r="D20" i="45"/>
  <c r="D5" i="45"/>
  <c r="D39" i="46" s="1"/>
  <c r="E5" i="45"/>
  <c r="E39" i="46" s="1"/>
  <c r="F5" i="45"/>
  <c r="F39" i="46" s="1"/>
  <c r="G5" i="45"/>
  <c r="G39" i="46" s="1"/>
  <c r="D6" i="45"/>
  <c r="D40" i="46" s="1"/>
  <c r="E6" i="45"/>
  <c r="E40" i="46" s="1"/>
  <c r="F6" i="45"/>
  <c r="F40" i="46" s="1"/>
  <c r="G6" i="45"/>
  <c r="G40" i="46" s="1"/>
  <c r="D7" i="45"/>
  <c r="D41" i="46" s="1"/>
  <c r="E7" i="45"/>
  <c r="E41" i="46" s="1"/>
  <c r="F7" i="45"/>
  <c r="F41" i="46" s="1"/>
  <c r="G7" i="45"/>
  <c r="G41" i="46" s="1"/>
  <c r="D8" i="45"/>
  <c r="D42" i="46" s="1"/>
  <c r="E8" i="45"/>
  <c r="E42" i="46" s="1"/>
  <c r="F8" i="45"/>
  <c r="F42" i="46" s="1"/>
  <c r="G8" i="45"/>
  <c r="G42" i="46" s="1"/>
  <c r="D9" i="45"/>
  <c r="D43" i="46" s="1"/>
  <c r="E9" i="45"/>
  <c r="E43" i="46" s="1"/>
  <c r="F9" i="45"/>
  <c r="F43" i="46" s="1"/>
  <c r="G9" i="45"/>
  <c r="G43" i="46" s="1"/>
  <c r="D10" i="45"/>
  <c r="D44" i="46" s="1"/>
  <c r="E10" i="45"/>
  <c r="E44" i="46" s="1"/>
  <c r="F10" i="45"/>
  <c r="F44" i="46" s="1"/>
  <c r="G10" i="45"/>
  <c r="G44" i="46" s="1"/>
  <c r="D11" i="45"/>
  <c r="D45" i="46" s="1"/>
  <c r="E11" i="45"/>
  <c r="E45" i="46" s="1"/>
  <c r="F11" i="45"/>
  <c r="F45" i="46" s="1"/>
  <c r="G11" i="45"/>
  <c r="G45" i="46" s="1"/>
  <c r="D12" i="45"/>
  <c r="D46" i="46" s="1"/>
  <c r="E12" i="45"/>
  <c r="E46" i="46" s="1"/>
  <c r="F12" i="45"/>
  <c r="F46" i="46" s="1"/>
  <c r="G12" i="45"/>
  <c r="G46" i="46" s="1"/>
  <c r="D13" i="45"/>
  <c r="D47" i="46" s="1"/>
  <c r="E13" i="45"/>
  <c r="E47" i="46" s="1"/>
  <c r="F13" i="45"/>
  <c r="F47" i="46" s="1"/>
  <c r="G13" i="45"/>
  <c r="G47" i="46" s="1"/>
  <c r="D14" i="45"/>
  <c r="D48" i="46" s="1"/>
  <c r="E14" i="45"/>
  <c r="E48" i="46" s="1"/>
  <c r="F14" i="45"/>
  <c r="F48" i="46" s="1"/>
  <c r="G14" i="45"/>
  <c r="G48" i="46" s="1"/>
  <c r="D15" i="45"/>
  <c r="D49" i="46" s="1"/>
  <c r="E15" i="45"/>
  <c r="E49" i="46" s="1"/>
  <c r="F15" i="45"/>
  <c r="F49" i="46" s="1"/>
  <c r="G15" i="45"/>
  <c r="G49" i="46" s="1"/>
  <c r="D16" i="45"/>
  <c r="D50" i="46" s="1"/>
  <c r="E16" i="45"/>
  <c r="E50" i="46" s="1"/>
  <c r="F16" i="45"/>
  <c r="F50" i="46" s="1"/>
  <c r="G16" i="45"/>
  <c r="G50" i="46" s="1"/>
  <c r="F4" i="45"/>
  <c r="F38" i="46" s="1"/>
  <c r="E4" i="45"/>
  <c r="E38" i="46" s="1"/>
  <c r="D4" i="45"/>
  <c r="D38" i="46" s="1"/>
  <c r="F2" i="45"/>
  <c r="E2" i="45"/>
  <c r="D2" i="45"/>
  <c r="G237" i="45"/>
  <c r="F237" i="45"/>
  <c r="E237" i="45"/>
  <c r="D237" i="45"/>
  <c r="C237" i="45"/>
  <c r="B237" i="45"/>
  <c r="A228" i="45"/>
  <c r="A227" i="45"/>
  <c r="G226" i="45"/>
  <c r="A226" i="45"/>
  <c r="G221" i="45"/>
  <c r="F221" i="45"/>
  <c r="E221" i="45"/>
  <c r="D221" i="45"/>
  <c r="C221" i="45"/>
  <c r="B221" i="45"/>
  <c r="A221" i="45"/>
  <c r="C228" i="45"/>
  <c r="B228" i="45"/>
  <c r="E227" i="45"/>
  <c r="C227" i="45"/>
  <c r="B227" i="45"/>
  <c r="B200" i="45"/>
  <c r="B199" i="45"/>
  <c r="G197" i="45"/>
  <c r="F197" i="45"/>
  <c r="E197" i="45"/>
  <c r="D197" i="45"/>
  <c r="B197" i="45"/>
  <c r="B188" i="45"/>
  <c r="B196" i="45" s="1"/>
  <c r="G171" i="45"/>
  <c r="F171" i="45"/>
  <c r="E171" i="45"/>
  <c r="D171" i="45"/>
  <c r="B171" i="45"/>
  <c r="B170" i="45"/>
  <c r="G155" i="45"/>
  <c r="F155" i="45"/>
  <c r="E155" i="45"/>
  <c r="D155" i="45"/>
  <c r="B155" i="45"/>
  <c r="G143" i="45"/>
  <c r="F143" i="45"/>
  <c r="E143" i="45"/>
  <c r="D143" i="45"/>
  <c r="B143" i="45"/>
  <c r="B131" i="45"/>
  <c r="B121" i="45"/>
  <c r="G105" i="45"/>
  <c r="F105" i="45"/>
  <c r="E105" i="45"/>
  <c r="D105" i="45"/>
  <c r="B105" i="45"/>
  <c r="B90" i="45"/>
  <c r="G72" i="45"/>
  <c r="F72" i="45"/>
  <c r="E72" i="45"/>
  <c r="D72" i="45"/>
  <c r="B72" i="45"/>
  <c r="B61" i="45"/>
  <c r="B64" i="45" s="1"/>
  <c r="G38" i="45"/>
  <c r="F38" i="45"/>
  <c r="E38" i="45"/>
  <c r="D38" i="45"/>
  <c r="B38" i="45"/>
  <c r="B36" i="45"/>
  <c r="B63" i="45" s="1"/>
  <c r="G26" i="45"/>
  <c r="F26" i="45"/>
  <c r="E26" i="45"/>
  <c r="D26" i="45"/>
  <c r="B26" i="45"/>
  <c r="G19" i="45"/>
  <c r="F19" i="45"/>
  <c r="E19" i="45"/>
  <c r="D19" i="45"/>
  <c r="B19" i="45"/>
  <c r="B17" i="45"/>
  <c r="B3" i="45"/>
  <c r="B213" i="44"/>
  <c r="B227" i="44" s="1"/>
  <c r="C213" i="44"/>
  <c r="C227" i="44" s="1"/>
  <c r="D213" i="44"/>
  <c r="D227" i="44" s="1"/>
  <c r="E213" i="44"/>
  <c r="E227" i="44" s="1"/>
  <c r="F213" i="44"/>
  <c r="F227" i="44" s="1"/>
  <c r="G213" i="44"/>
  <c r="G227" i="44" s="1"/>
  <c r="B214" i="44"/>
  <c r="B228" i="44" s="1"/>
  <c r="C214" i="44"/>
  <c r="C228" i="44" s="1"/>
  <c r="D214" i="44"/>
  <c r="E214" i="44"/>
  <c r="E228" i="44" s="1"/>
  <c r="F214" i="44"/>
  <c r="F228" i="44" s="1"/>
  <c r="G214" i="44"/>
  <c r="G228" i="44" s="1"/>
  <c r="B215" i="44"/>
  <c r="C215" i="44"/>
  <c r="D215" i="44"/>
  <c r="E215" i="44"/>
  <c r="F215" i="44"/>
  <c r="G215" i="44"/>
  <c r="G212" i="44"/>
  <c r="G226" i="44" s="1"/>
  <c r="F212" i="44"/>
  <c r="E212" i="44"/>
  <c r="E226" i="44" s="1"/>
  <c r="D212" i="44"/>
  <c r="D226" i="44" s="1"/>
  <c r="C212" i="44"/>
  <c r="C226" i="44" s="1"/>
  <c r="B212" i="44"/>
  <c r="B199" i="44"/>
  <c r="C199" i="44"/>
  <c r="D199" i="44"/>
  <c r="E199" i="44"/>
  <c r="F199" i="44"/>
  <c r="G199" i="44"/>
  <c r="B200" i="44"/>
  <c r="C200" i="44"/>
  <c r="D200" i="44"/>
  <c r="E200" i="44"/>
  <c r="F200" i="44"/>
  <c r="G200" i="44"/>
  <c r="B201" i="44"/>
  <c r="C201" i="44"/>
  <c r="D201" i="44"/>
  <c r="E201" i="44"/>
  <c r="F201" i="44"/>
  <c r="G201" i="44"/>
  <c r="B202" i="44"/>
  <c r="C202" i="44"/>
  <c r="D202" i="44"/>
  <c r="E202" i="44"/>
  <c r="F202" i="44"/>
  <c r="G202" i="44"/>
  <c r="B203" i="44"/>
  <c r="C203" i="44"/>
  <c r="D203" i="44"/>
  <c r="E203" i="44"/>
  <c r="F203" i="44"/>
  <c r="G203" i="44"/>
  <c r="B204" i="44"/>
  <c r="C204" i="44"/>
  <c r="D204" i="44"/>
  <c r="E204" i="44"/>
  <c r="F204" i="44"/>
  <c r="G204" i="44"/>
  <c r="B205" i="44"/>
  <c r="C205" i="44"/>
  <c r="D205" i="44"/>
  <c r="E205" i="44"/>
  <c r="F205" i="44"/>
  <c r="G205" i="44"/>
  <c r="B206" i="44"/>
  <c r="C206" i="44"/>
  <c r="D206" i="44"/>
  <c r="E206" i="44"/>
  <c r="F206" i="44"/>
  <c r="G206" i="44"/>
  <c r="B207" i="44"/>
  <c r="C207" i="44"/>
  <c r="D207" i="44"/>
  <c r="E207" i="44"/>
  <c r="F207" i="44"/>
  <c r="G207" i="44"/>
  <c r="G198" i="44"/>
  <c r="F198" i="44"/>
  <c r="E198" i="44"/>
  <c r="D198" i="44"/>
  <c r="C198" i="44"/>
  <c r="B198" i="44"/>
  <c r="B173" i="44"/>
  <c r="C173" i="44"/>
  <c r="D173" i="44"/>
  <c r="E173" i="44"/>
  <c r="F173" i="44"/>
  <c r="G173" i="44"/>
  <c r="B174" i="44"/>
  <c r="C174" i="44"/>
  <c r="D174" i="44"/>
  <c r="E174" i="44"/>
  <c r="F174" i="44"/>
  <c r="G174" i="44"/>
  <c r="B175" i="44"/>
  <c r="C175" i="44"/>
  <c r="D175" i="44"/>
  <c r="E175" i="44"/>
  <c r="F175" i="44"/>
  <c r="G175" i="44"/>
  <c r="B176" i="44"/>
  <c r="C176" i="44"/>
  <c r="D176" i="44"/>
  <c r="E176" i="44"/>
  <c r="F176" i="44"/>
  <c r="G176" i="44"/>
  <c r="B177" i="44"/>
  <c r="C177" i="44"/>
  <c r="D177" i="44"/>
  <c r="E177" i="44"/>
  <c r="F177" i="44"/>
  <c r="G177" i="44"/>
  <c r="B178" i="44"/>
  <c r="C178" i="44"/>
  <c r="D178" i="44"/>
  <c r="E178" i="44"/>
  <c r="F178" i="44"/>
  <c r="G178" i="44"/>
  <c r="B179" i="44"/>
  <c r="C179" i="44"/>
  <c r="D179" i="44"/>
  <c r="E179" i="44"/>
  <c r="F179" i="44"/>
  <c r="G179" i="44"/>
  <c r="B180" i="44"/>
  <c r="C180" i="44"/>
  <c r="D180" i="44"/>
  <c r="E180" i="44"/>
  <c r="F180" i="44"/>
  <c r="G180" i="44"/>
  <c r="B181" i="44"/>
  <c r="C181" i="44"/>
  <c r="D181" i="44"/>
  <c r="E181" i="44"/>
  <c r="F181" i="44"/>
  <c r="G181" i="44"/>
  <c r="B182" i="44"/>
  <c r="C182" i="44"/>
  <c r="D182" i="44"/>
  <c r="E182" i="44"/>
  <c r="F182" i="44"/>
  <c r="G182" i="44"/>
  <c r="B183" i="44"/>
  <c r="C183" i="44"/>
  <c r="D183" i="44"/>
  <c r="E183" i="44"/>
  <c r="F183" i="44"/>
  <c r="G183" i="44"/>
  <c r="B184" i="44"/>
  <c r="C184" i="44"/>
  <c r="D184" i="44"/>
  <c r="E184" i="44"/>
  <c r="F184" i="44"/>
  <c r="G184" i="44"/>
  <c r="B185" i="44"/>
  <c r="C185" i="44"/>
  <c r="D185" i="44"/>
  <c r="E185" i="44"/>
  <c r="F185" i="44"/>
  <c r="G185" i="44"/>
  <c r="B186" i="44"/>
  <c r="C186" i="44"/>
  <c r="D186" i="44"/>
  <c r="E186" i="44"/>
  <c r="F186" i="44"/>
  <c r="G186" i="44"/>
  <c r="B187" i="44"/>
  <c r="C187" i="44"/>
  <c r="D187" i="44"/>
  <c r="E187" i="44"/>
  <c r="F187" i="44"/>
  <c r="G187" i="44"/>
  <c r="B188" i="44"/>
  <c r="C188" i="44"/>
  <c r="D188" i="44"/>
  <c r="E188" i="44"/>
  <c r="F188" i="44"/>
  <c r="G188" i="44"/>
  <c r="B189" i="44"/>
  <c r="C189" i="44"/>
  <c r="D189" i="44"/>
  <c r="E189" i="44"/>
  <c r="F189" i="44"/>
  <c r="G189" i="44"/>
  <c r="B190" i="44"/>
  <c r="C190" i="44"/>
  <c r="D190" i="44"/>
  <c r="E190" i="44"/>
  <c r="F190" i="44"/>
  <c r="G190" i="44"/>
  <c r="B191" i="44"/>
  <c r="C191" i="44"/>
  <c r="D191" i="44"/>
  <c r="E191" i="44"/>
  <c r="F191" i="44"/>
  <c r="G191" i="44"/>
  <c r="B192" i="44"/>
  <c r="C192" i="44"/>
  <c r="D192" i="44"/>
  <c r="E192" i="44"/>
  <c r="F192" i="44"/>
  <c r="G192" i="44"/>
  <c r="B193" i="44"/>
  <c r="C193" i="44"/>
  <c r="D193" i="44"/>
  <c r="E193" i="44"/>
  <c r="F193" i="44"/>
  <c r="G193" i="44"/>
  <c r="B194" i="44"/>
  <c r="C194" i="44"/>
  <c r="D194" i="44"/>
  <c r="E194" i="44"/>
  <c r="F194" i="44"/>
  <c r="G194" i="44"/>
  <c r="B195" i="44"/>
  <c r="C195" i="44"/>
  <c r="D195" i="44"/>
  <c r="E195" i="44"/>
  <c r="F195" i="44"/>
  <c r="G195" i="44"/>
  <c r="G172" i="44"/>
  <c r="F172" i="44"/>
  <c r="E172" i="44"/>
  <c r="D172" i="44"/>
  <c r="C172" i="44"/>
  <c r="B172" i="44"/>
  <c r="B157" i="44"/>
  <c r="C157" i="44"/>
  <c r="D157" i="44"/>
  <c r="E157" i="44"/>
  <c r="F157" i="44"/>
  <c r="G157" i="44"/>
  <c r="B158" i="44"/>
  <c r="C158" i="44"/>
  <c r="D158" i="44"/>
  <c r="E158" i="44"/>
  <c r="F158" i="44"/>
  <c r="G158" i="44"/>
  <c r="B159" i="44"/>
  <c r="C159" i="44"/>
  <c r="D159" i="44"/>
  <c r="E159" i="44"/>
  <c r="F159" i="44"/>
  <c r="G159" i="44"/>
  <c r="B160" i="44"/>
  <c r="C160" i="44"/>
  <c r="D160" i="44"/>
  <c r="E160" i="44"/>
  <c r="F160" i="44"/>
  <c r="G160" i="44"/>
  <c r="C161" i="44"/>
  <c r="D161" i="44"/>
  <c r="E161" i="44"/>
  <c r="F161" i="44"/>
  <c r="G161" i="44"/>
  <c r="B162" i="44"/>
  <c r="C162" i="44"/>
  <c r="D162" i="44"/>
  <c r="E162" i="44"/>
  <c r="F162" i="44"/>
  <c r="G162" i="44"/>
  <c r="B163" i="44"/>
  <c r="C163" i="44"/>
  <c r="D163" i="44"/>
  <c r="E163" i="44"/>
  <c r="F163" i="44"/>
  <c r="G163" i="44"/>
  <c r="B164" i="44"/>
  <c r="C164" i="44"/>
  <c r="D164" i="44"/>
  <c r="E164" i="44"/>
  <c r="F164" i="44"/>
  <c r="G164" i="44"/>
  <c r="B165" i="44"/>
  <c r="C165" i="44"/>
  <c r="D165" i="44"/>
  <c r="E165" i="44"/>
  <c r="F165" i="44"/>
  <c r="G165" i="44"/>
  <c r="B166" i="44"/>
  <c r="C166" i="44"/>
  <c r="D166" i="44"/>
  <c r="E166" i="44"/>
  <c r="F166" i="44"/>
  <c r="G166" i="44"/>
  <c r="B167" i="44"/>
  <c r="C167" i="44"/>
  <c r="D167" i="44"/>
  <c r="E167" i="44"/>
  <c r="F167" i="44"/>
  <c r="G167" i="44"/>
  <c r="B168" i="44"/>
  <c r="C168" i="44"/>
  <c r="D168" i="44"/>
  <c r="E168" i="44"/>
  <c r="F168" i="44"/>
  <c r="G168" i="44"/>
  <c r="B169" i="44"/>
  <c r="C169" i="44"/>
  <c r="D169" i="44"/>
  <c r="E169" i="44"/>
  <c r="F169" i="44"/>
  <c r="G169" i="44"/>
  <c r="G156" i="44"/>
  <c r="F156" i="44"/>
  <c r="E156" i="44"/>
  <c r="D156" i="44"/>
  <c r="C156" i="44"/>
  <c r="B156" i="44"/>
  <c r="B145" i="44"/>
  <c r="C145" i="44"/>
  <c r="D145" i="44"/>
  <c r="E145" i="44"/>
  <c r="F145" i="44"/>
  <c r="G145" i="44"/>
  <c r="B146" i="44"/>
  <c r="C146" i="44"/>
  <c r="D146" i="44"/>
  <c r="E146" i="44"/>
  <c r="F146" i="44"/>
  <c r="G146" i="44"/>
  <c r="B147" i="44"/>
  <c r="C147" i="44"/>
  <c r="D147" i="44"/>
  <c r="E147" i="44"/>
  <c r="F147" i="44"/>
  <c r="G147" i="44"/>
  <c r="B148" i="44"/>
  <c r="C148" i="44"/>
  <c r="D148" i="44"/>
  <c r="E148" i="44"/>
  <c r="F148" i="44"/>
  <c r="G148" i="44"/>
  <c r="B149" i="44"/>
  <c r="C149" i="44"/>
  <c r="D149" i="44"/>
  <c r="E149" i="44"/>
  <c r="F149" i="44"/>
  <c r="G149" i="44"/>
  <c r="B150" i="44"/>
  <c r="C150" i="44"/>
  <c r="D150" i="44"/>
  <c r="E150" i="44"/>
  <c r="F150" i="44"/>
  <c r="G150" i="44"/>
  <c r="B151" i="44"/>
  <c r="C151" i="44"/>
  <c r="D151" i="44"/>
  <c r="E151" i="44"/>
  <c r="F151" i="44"/>
  <c r="G151" i="44"/>
  <c r="B152" i="44"/>
  <c r="C152" i="44"/>
  <c r="D152" i="44"/>
  <c r="E152" i="44"/>
  <c r="F152" i="44"/>
  <c r="G152" i="44"/>
  <c r="B153" i="44"/>
  <c r="C153" i="44"/>
  <c r="D153" i="44"/>
  <c r="E153" i="44"/>
  <c r="F153" i="44"/>
  <c r="G153" i="44"/>
  <c r="G144" i="44"/>
  <c r="F144" i="44"/>
  <c r="E144" i="44"/>
  <c r="D144" i="44"/>
  <c r="C144" i="44"/>
  <c r="B144" i="44"/>
  <c r="C134" i="44"/>
  <c r="D134" i="44"/>
  <c r="E134" i="44"/>
  <c r="F134" i="44"/>
  <c r="G134" i="44"/>
  <c r="B135" i="44"/>
  <c r="C135" i="44"/>
  <c r="D135" i="44"/>
  <c r="E135" i="44"/>
  <c r="F135" i="44"/>
  <c r="G135" i="44"/>
  <c r="C136" i="44"/>
  <c r="D136" i="44"/>
  <c r="E136" i="44"/>
  <c r="F136" i="44"/>
  <c r="G136" i="44"/>
  <c r="B137" i="44"/>
  <c r="C137" i="44"/>
  <c r="D137" i="44"/>
  <c r="E137" i="44"/>
  <c r="F137" i="44"/>
  <c r="G137" i="44"/>
  <c r="B138" i="44"/>
  <c r="C138" i="44"/>
  <c r="D138" i="44"/>
  <c r="E138" i="44"/>
  <c r="F138" i="44"/>
  <c r="G138" i="44"/>
  <c r="B139" i="44"/>
  <c r="C139" i="44"/>
  <c r="D139" i="44"/>
  <c r="E139" i="44"/>
  <c r="F139" i="44"/>
  <c r="G139" i="44"/>
  <c r="B140" i="44"/>
  <c r="C140" i="44"/>
  <c r="D140" i="44"/>
  <c r="E140" i="44"/>
  <c r="F140" i="44"/>
  <c r="G140" i="44"/>
  <c r="G133" i="44"/>
  <c r="G141" i="44" s="1"/>
  <c r="F133" i="44"/>
  <c r="E133" i="44"/>
  <c r="D133" i="44"/>
  <c r="C133" i="44"/>
  <c r="B124" i="44"/>
  <c r="C124" i="44"/>
  <c r="D124" i="44"/>
  <c r="E124" i="44"/>
  <c r="F124" i="44"/>
  <c r="G124" i="44"/>
  <c r="B125" i="44"/>
  <c r="C125" i="44"/>
  <c r="D125" i="44"/>
  <c r="E125" i="44"/>
  <c r="F125" i="44"/>
  <c r="G125" i="44"/>
  <c r="B126" i="44"/>
  <c r="C126" i="44"/>
  <c r="D126" i="44"/>
  <c r="E126" i="44"/>
  <c r="F126" i="44"/>
  <c r="G126" i="44"/>
  <c r="B127" i="44"/>
  <c r="C127" i="44"/>
  <c r="D127" i="44"/>
  <c r="E127" i="44"/>
  <c r="F127" i="44"/>
  <c r="G127" i="44"/>
  <c r="B128" i="44"/>
  <c r="C128" i="44"/>
  <c r="D128" i="44"/>
  <c r="E128" i="44"/>
  <c r="F128" i="44"/>
  <c r="G128" i="44"/>
  <c r="B129" i="44"/>
  <c r="C129" i="44"/>
  <c r="D129" i="44"/>
  <c r="E129" i="44"/>
  <c r="F129" i="44"/>
  <c r="G129" i="44"/>
  <c r="B130" i="44"/>
  <c r="C130" i="44"/>
  <c r="D130" i="44"/>
  <c r="E130" i="44"/>
  <c r="F130" i="44"/>
  <c r="G130" i="44"/>
  <c r="G123" i="44"/>
  <c r="F123" i="44"/>
  <c r="E123" i="44"/>
  <c r="D123" i="44"/>
  <c r="C123" i="44"/>
  <c r="B123" i="44"/>
  <c r="B108" i="44"/>
  <c r="C108" i="44"/>
  <c r="D108" i="44"/>
  <c r="E108" i="44"/>
  <c r="F108" i="44"/>
  <c r="G108" i="44"/>
  <c r="B109" i="44"/>
  <c r="C109" i="44"/>
  <c r="D109" i="44"/>
  <c r="E109" i="44"/>
  <c r="F109" i="44"/>
  <c r="G109" i="44"/>
  <c r="B110" i="44"/>
  <c r="C110" i="44"/>
  <c r="D110" i="44"/>
  <c r="E110" i="44"/>
  <c r="F110" i="44"/>
  <c r="G110" i="44"/>
  <c r="B111" i="44"/>
  <c r="C111" i="44"/>
  <c r="D111" i="44"/>
  <c r="E111" i="44"/>
  <c r="F111" i="44"/>
  <c r="G111" i="44"/>
  <c r="B112" i="44"/>
  <c r="C112" i="44"/>
  <c r="D112" i="44"/>
  <c r="E112" i="44"/>
  <c r="F112" i="44"/>
  <c r="G112" i="44"/>
  <c r="B113" i="44"/>
  <c r="C113" i="44"/>
  <c r="D113" i="44"/>
  <c r="E113" i="44"/>
  <c r="F113" i="44"/>
  <c r="G113" i="44"/>
  <c r="B114" i="44"/>
  <c r="C114" i="44"/>
  <c r="D114" i="44"/>
  <c r="E114" i="44"/>
  <c r="F114" i="44"/>
  <c r="G114" i="44"/>
  <c r="B115" i="44"/>
  <c r="C115" i="44"/>
  <c r="D115" i="44"/>
  <c r="E115" i="44"/>
  <c r="F115" i="44"/>
  <c r="G115" i="44"/>
  <c r="B116" i="44"/>
  <c r="C116" i="44"/>
  <c r="D116" i="44"/>
  <c r="E116" i="44"/>
  <c r="F116" i="44"/>
  <c r="G116" i="44"/>
  <c r="B117" i="44"/>
  <c r="C117" i="44"/>
  <c r="D117" i="44"/>
  <c r="E117" i="44"/>
  <c r="F117" i="44"/>
  <c r="G117" i="44"/>
  <c r="B118" i="44"/>
  <c r="C118" i="44"/>
  <c r="D118" i="44"/>
  <c r="E118" i="44"/>
  <c r="F118" i="44"/>
  <c r="G118" i="44"/>
  <c r="B119" i="44"/>
  <c r="C119" i="44"/>
  <c r="D119" i="44"/>
  <c r="E119" i="44"/>
  <c r="F119" i="44"/>
  <c r="G119" i="44"/>
  <c r="B120" i="44"/>
  <c r="C120" i="44"/>
  <c r="D120" i="44"/>
  <c r="E120" i="44"/>
  <c r="F120" i="44"/>
  <c r="G120" i="44"/>
  <c r="G107" i="44"/>
  <c r="F107" i="44"/>
  <c r="E107" i="44"/>
  <c r="D107" i="44"/>
  <c r="C107" i="44"/>
  <c r="B107" i="44"/>
  <c r="C93" i="44"/>
  <c r="D93" i="44"/>
  <c r="E93" i="44"/>
  <c r="F93" i="44"/>
  <c r="G93" i="44"/>
  <c r="B94" i="44"/>
  <c r="C94" i="44"/>
  <c r="D94" i="44"/>
  <c r="E94" i="44"/>
  <c r="F94" i="44"/>
  <c r="G94" i="44"/>
  <c r="B95" i="44"/>
  <c r="C95" i="44"/>
  <c r="D95" i="44"/>
  <c r="E95" i="44"/>
  <c r="F95" i="44"/>
  <c r="G95" i="44"/>
  <c r="G92" i="44"/>
  <c r="F92" i="44"/>
  <c r="E92" i="44"/>
  <c r="D92" i="44"/>
  <c r="C92" i="44"/>
  <c r="B92" i="44"/>
  <c r="B83" i="44"/>
  <c r="C83" i="44"/>
  <c r="D83" i="44"/>
  <c r="E83" i="44"/>
  <c r="F83" i="44"/>
  <c r="G83" i="44"/>
  <c r="B84" i="44"/>
  <c r="C84" i="44"/>
  <c r="D84" i="44"/>
  <c r="E84" i="44"/>
  <c r="F84" i="44"/>
  <c r="G84" i="44"/>
  <c r="B85" i="44"/>
  <c r="C85" i="44"/>
  <c r="D85" i="44"/>
  <c r="E85" i="44"/>
  <c r="F85" i="44"/>
  <c r="G85" i="44"/>
  <c r="B86" i="44"/>
  <c r="C86" i="44"/>
  <c r="D86" i="44"/>
  <c r="E86" i="44"/>
  <c r="F86" i="44"/>
  <c r="G86" i="44"/>
  <c r="B87" i="44"/>
  <c r="C87" i="44"/>
  <c r="D87" i="44"/>
  <c r="E87" i="44"/>
  <c r="F87" i="44"/>
  <c r="G87" i="44"/>
  <c r="B88" i="44"/>
  <c r="C88" i="44"/>
  <c r="D88" i="44"/>
  <c r="E88" i="44"/>
  <c r="F88" i="44"/>
  <c r="G88" i="44"/>
  <c r="B89" i="44"/>
  <c r="C89" i="44"/>
  <c r="D89" i="44"/>
  <c r="E89" i="44"/>
  <c r="F89" i="44"/>
  <c r="G89" i="44"/>
  <c r="G82" i="44"/>
  <c r="F82" i="44"/>
  <c r="E82" i="44"/>
  <c r="D82" i="44"/>
  <c r="C82" i="44"/>
  <c r="B82" i="44"/>
  <c r="B75" i="44"/>
  <c r="C75" i="44"/>
  <c r="D75" i="44"/>
  <c r="E75" i="44"/>
  <c r="F75" i="44"/>
  <c r="G75" i="44"/>
  <c r="B76" i="44"/>
  <c r="C76" i="44"/>
  <c r="D76" i="44"/>
  <c r="E76" i="44"/>
  <c r="F76" i="44"/>
  <c r="G76" i="44"/>
  <c r="B77" i="44"/>
  <c r="C77" i="44"/>
  <c r="D77" i="44"/>
  <c r="E77" i="44"/>
  <c r="F77" i="44"/>
  <c r="G77" i="44"/>
  <c r="B78" i="44"/>
  <c r="C78" i="44"/>
  <c r="D78" i="44"/>
  <c r="E78" i="44"/>
  <c r="F78" i="44"/>
  <c r="G78" i="44"/>
  <c r="B79" i="44"/>
  <c r="C79" i="44"/>
  <c r="D79" i="44"/>
  <c r="E79" i="44"/>
  <c r="F79" i="44"/>
  <c r="G79" i="44"/>
  <c r="G74" i="44"/>
  <c r="F74" i="44"/>
  <c r="E74" i="44"/>
  <c r="D74" i="44"/>
  <c r="C74" i="44"/>
  <c r="B74" i="44"/>
  <c r="B40" i="44"/>
  <c r="C40" i="44"/>
  <c r="D40" i="44"/>
  <c r="E40" i="44"/>
  <c r="F40" i="44"/>
  <c r="G40" i="44"/>
  <c r="B41" i="44"/>
  <c r="C41" i="44"/>
  <c r="D41" i="44"/>
  <c r="E41" i="44"/>
  <c r="F41" i="44"/>
  <c r="G41" i="44"/>
  <c r="B42" i="44"/>
  <c r="C42" i="44"/>
  <c r="D42" i="44"/>
  <c r="E42" i="44"/>
  <c r="F42" i="44"/>
  <c r="G42" i="44"/>
  <c r="B43" i="44"/>
  <c r="C43" i="44"/>
  <c r="D43" i="44"/>
  <c r="E43" i="44"/>
  <c r="F43" i="44"/>
  <c r="G43" i="44"/>
  <c r="B44" i="44"/>
  <c r="C44" i="44"/>
  <c r="D44" i="44"/>
  <c r="E44" i="44"/>
  <c r="F44" i="44"/>
  <c r="G44" i="44"/>
  <c r="B45" i="44"/>
  <c r="C45" i="44"/>
  <c r="D45" i="44"/>
  <c r="E45" i="44"/>
  <c r="F45" i="44"/>
  <c r="G45" i="44"/>
  <c r="B46" i="44"/>
  <c r="C46" i="44"/>
  <c r="D46" i="44"/>
  <c r="E46" i="44"/>
  <c r="F46" i="44"/>
  <c r="G46" i="44"/>
  <c r="B47" i="44"/>
  <c r="C47" i="44"/>
  <c r="D47" i="44"/>
  <c r="E47" i="44"/>
  <c r="F47" i="44"/>
  <c r="G47" i="44"/>
  <c r="B48" i="44"/>
  <c r="C48" i="44"/>
  <c r="D48" i="44"/>
  <c r="E48" i="44"/>
  <c r="F48" i="44"/>
  <c r="G48" i="44"/>
  <c r="B49" i="44"/>
  <c r="C49" i="44"/>
  <c r="D49" i="44"/>
  <c r="E49" i="44"/>
  <c r="F49" i="44"/>
  <c r="G49" i="44"/>
  <c r="B50" i="44"/>
  <c r="C50" i="44"/>
  <c r="D50" i="44"/>
  <c r="E50" i="44"/>
  <c r="F50" i="44"/>
  <c r="G50" i="44"/>
  <c r="B51" i="44"/>
  <c r="C51" i="44"/>
  <c r="D51" i="44"/>
  <c r="E51" i="44"/>
  <c r="F51" i="44"/>
  <c r="G51" i="44"/>
  <c r="B52" i="44"/>
  <c r="C52" i="44"/>
  <c r="D52" i="44"/>
  <c r="E52" i="44"/>
  <c r="F52" i="44"/>
  <c r="G52" i="44"/>
  <c r="B53" i="44"/>
  <c r="C53" i="44"/>
  <c r="D53" i="44"/>
  <c r="E53" i="44"/>
  <c r="F53" i="44"/>
  <c r="G53" i="44"/>
  <c r="B54" i="44"/>
  <c r="C54" i="44"/>
  <c r="D54" i="44"/>
  <c r="E54" i="44"/>
  <c r="F54" i="44"/>
  <c r="G54" i="44"/>
  <c r="B55" i="44"/>
  <c r="C55" i="44"/>
  <c r="D55" i="44"/>
  <c r="E55" i="44"/>
  <c r="F55" i="44"/>
  <c r="G55" i="44"/>
  <c r="B56" i="44"/>
  <c r="C56" i="44"/>
  <c r="D56" i="44"/>
  <c r="E56" i="44"/>
  <c r="F56" i="44"/>
  <c r="G56" i="44"/>
  <c r="B57" i="44"/>
  <c r="C57" i="44"/>
  <c r="D57" i="44"/>
  <c r="E57" i="44"/>
  <c r="F57" i="44"/>
  <c r="G57" i="44"/>
  <c r="B58" i="44"/>
  <c r="C58" i="44"/>
  <c r="D58" i="44"/>
  <c r="E58" i="44"/>
  <c r="F58" i="44"/>
  <c r="G58" i="44"/>
  <c r="B59" i="44"/>
  <c r="C59" i="44"/>
  <c r="D59" i="44"/>
  <c r="E59" i="44"/>
  <c r="F59" i="44"/>
  <c r="G59" i="44"/>
  <c r="B60" i="44"/>
  <c r="C60" i="44"/>
  <c r="D60" i="44"/>
  <c r="E60" i="44"/>
  <c r="F60" i="44"/>
  <c r="G60" i="44"/>
  <c r="G39" i="44"/>
  <c r="F39" i="44"/>
  <c r="E39" i="44"/>
  <c r="D39" i="44"/>
  <c r="C39" i="44"/>
  <c r="B39" i="44"/>
  <c r="B28" i="44"/>
  <c r="C28" i="44"/>
  <c r="D28" i="44"/>
  <c r="E28" i="44"/>
  <c r="F28" i="44"/>
  <c r="G28" i="44"/>
  <c r="B29" i="44"/>
  <c r="C29" i="44"/>
  <c r="D29" i="44"/>
  <c r="E29" i="44"/>
  <c r="F29" i="44"/>
  <c r="G29" i="44"/>
  <c r="B30" i="44"/>
  <c r="C30" i="44"/>
  <c r="D30" i="44"/>
  <c r="E30" i="44"/>
  <c r="F30" i="44"/>
  <c r="G30" i="44"/>
  <c r="B31" i="44"/>
  <c r="C31" i="44"/>
  <c r="D31" i="44"/>
  <c r="E31" i="44"/>
  <c r="F31" i="44"/>
  <c r="G31" i="44"/>
  <c r="B32" i="44"/>
  <c r="C32" i="44"/>
  <c r="D32" i="44"/>
  <c r="E32" i="44"/>
  <c r="F32" i="44"/>
  <c r="G32" i="44"/>
  <c r="B33" i="44"/>
  <c r="C33" i="44"/>
  <c r="D33" i="44"/>
  <c r="E33" i="44"/>
  <c r="F33" i="44"/>
  <c r="G33" i="44"/>
  <c r="B34" i="44"/>
  <c r="C34" i="44"/>
  <c r="D34" i="44"/>
  <c r="E34" i="44"/>
  <c r="F34" i="44"/>
  <c r="G34" i="44"/>
  <c r="B35" i="44"/>
  <c r="C35" i="44"/>
  <c r="D35" i="44"/>
  <c r="E35" i="44"/>
  <c r="F35" i="44"/>
  <c r="G35" i="44"/>
  <c r="G27" i="44"/>
  <c r="F27" i="44"/>
  <c r="E27" i="44"/>
  <c r="D27" i="44"/>
  <c r="C27" i="44"/>
  <c r="B27" i="44"/>
  <c r="B21" i="44"/>
  <c r="C21" i="44"/>
  <c r="D21" i="44"/>
  <c r="E21" i="44"/>
  <c r="F21" i="44"/>
  <c r="G21" i="44"/>
  <c r="B22" i="44"/>
  <c r="C22" i="44"/>
  <c r="D22" i="44"/>
  <c r="E22" i="44"/>
  <c r="F22" i="44"/>
  <c r="G22" i="44"/>
  <c r="B23" i="44"/>
  <c r="C23" i="44"/>
  <c r="D23" i="44"/>
  <c r="E23" i="44"/>
  <c r="F23" i="44"/>
  <c r="G23" i="44"/>
  <c r="B24" i="44"/>
  <c r="C24" i="44"/>
  <c r="D24" i="44"/>
  <c r="E24" i="44"/>
  <c r="F24" i="44"/>
  <c r="G24" i="44"/>
  <c r="G20" i="44"/>
  <c r="F20" i="44"/>
  <c r="E20" i="44"/>
  <c r="D20" i="44"/>
  <c r="B20" i="44"/>
  <c r="B5" i="44"/>
  <c r="J5" i="44" s="1"/>
  <c r="C5" i="44"/>
  <c r="K5" i="44" s="1"/>
  <c r="D5" i="44"/>
  <c r="E5" i="44"/>
  <c r="F5" i="44"/>
  <c r="N5" i="44" s="1"/>
  <c r="G5" i="44"/>
  <c r="O5" i="44" s="1"/>
  <c r="B6" i="44"/>
  <c r="J6" i="44" s="1"/>
  <c r="C6" i="44"/>
  <c r="K6" i="44" s="1"/>
  <c r="D6" i="44"/>
  <c r="L6" i="44" s="1"/>
  <c r="E6" i="44"/>
  <c r="M6" i="44" s="1"/>
  <c r="F6" i="44"/>
  <c r="N6" i="44" s="1"/>
  <c r="G6" i="44"/>
  <c r="O6" i="44" s="1"/>
  <c r="B7" i="44"/>
  <c r="J7" i="44" s="1"/>
  <c r="C7" i="44"/>
  <c r="K7" i="44" s="1"/>
  <c r="D7" i="44"/>
  <c r="L7" i="44" s="1"/>
  <c r="E7" i="44"/>
  <c r="M7" i="44" s="1"/>
  <c r="F7" i="44"/>
  <c r="N7" i="44" s="1"/>
  <c r="G7" i="44"/>
  <c r="O7" i="44" s="1"/>
  <c r="B8" i="44"/>
  <c r="J8" i="44" s="1"/>
  <c r="C8" i="44"/>
  <c r="K8" i="44" s="1"/>
  <c r="D8" i="44"/>
  <c r="L8" i="44" s="1"/>
  <c r="E8" i="44"/>
  <c r="M8" i="44" s="1"/>
  <c r="F8" i="44"/>
  <c r="N8" i="44" s="1"/>
  <c r="G8" i="44"/>
  <c r="O8" i="44" s="1"/>
  <c r="B9" i="44"/>
  <c r="J9" i="44" s="1"/>
  <c r="C9" i="44"/>
  <c r="K9" i="44" s="1"/>
  <c r="D9" i="44"/>
  <c r="E9" i="44"/>
  <c r="F9" i="44"/>
  <c r="G9" i="44"/>
  <c r="B10" i="44"/>
  <c r="J10" i="44" s="1"/>
  <c r="C10" i="44"/>
  <c r="K10" i="44" s="1"/>
  <c r="D10" i="44"/>
  <c r="L10" i="44" s="1"/>
  <c r="E10" i="44"/>
  <c r="M10" i="44" s="1"/>
  <c r="F10" i="44"/>
  <c r="N10" i="44" s="1"/>
  <c r="G10" i="44"/>
  <c r="O10" i="44" s="1"/>
  <c r="B11" i="44"/>
  <c r="J11" i="44" s="1"/>
  <c r="C11" i="44"/>
  <c r="K11" i="44" s="1"/>
  <c r="D11" i="44"/>
  <c r="L11" i="44" s="1"/>
  <c r="E11" i="44"/>
  <c r="M11" i="44" s="1"/>
  <c r="F11" i="44"/>
  <c r="N11" i="44" s="1"/>
  <c r="G11" i="44"/>
  <c r="O11" i="44" s="1"/>
  <c r="B12" i="44"/>
  <c r="J12" i="44" s="1"/>
  <c r="C12" i="44"/>
  <c r="K12" i="44" s="1"/>
  <c r="D12" i="44"/>
  <c r="L12" i="44" s="1"/>
  <c r="E12" i="44"/>
  <c r="M12" i="44" s="1"/>
  <c r="F12" i="44"/>
  <c r="N12" i="44" s="1"/>
  <c r="G12" i="44"/>
  <c r="O12" i="44" s="1"/>
  <c r="B13" i="44"/>
  <c r="C13" i="44"/>
  <c r="D13" i="44"/>
  <c r="E13" i="44"/>
  <c r="F13" i="44"/>
  <c r="G13" i="44"/>
  <c r="B14" i="44"/>
  <c r="C14" i="44"/>
  <c r="D14" i="44"/>
  <c r="E14" i="44"/>
  <c r="F14" i="44"/>
  <c r="G14" i="44"/>
  <c r="B15" i="44"/>
  <c r="C15" i="44"/>
  <c r="D15" i="44"/>
  <c r="E15" i="44"/>
  <c r="F15" i="44"/>
  <c r="G15" i="44"/>
  <c r="B16" i="44"/>
  <c r="C16" i="44"/>
  <c r="D16" i="44"/>
  <c r="E16" i="44"/>
  <c r="F16" i="44"/>
  <c r="G16" i="44"/>
  <c r="O4" i="44"/>
  <c r="F4" i="44"/>
  <c r="N4" i="44" s="1"/>
  <c r="E4" i="44"/>
  <c r="M4" i="44" s="1"/>
  <c r="D4" i="44"/>
  <c r="L4" i="44" s="1"/>
  <c r="C4" i="44"/>
  <c r="K4" i="44" s="1"/>
  <c r="B4" i="44"/>
  <c r="J4" i="44" s="1"/>
  <c r="F2" i="44"/>
  <c r="E2" i="44"/>
  <c r="D2" i="44"/>
  <c r="C2" i="44"/>
  <c r="B2" i="44"/>
  <c r="G237" i="44"/>
  <c r="F237" i="44"/>
  <c r="E237" i="44"/>
  <c r="D237" i="44"/>
  <c r="C237" i="44"/>
  <c r="B237" i="44"/>
  <c r="A228" i="44"/>
  <c r="A227" i="44"/>
  <c r="A226" i="44"/>
  <c r="G221" i="44"/>
  <c r="F221" i="44"/>
  <c r="E221" i="44"/>
  <c r="D221" i="44"/>
  <c r="C221" i="44"/>
  <c r="B221" i="44"/>
  <c r="A221" i="44"/>
  <c r="D228" i="44"/>
  <c r="G197" i="44"/>
  <c r="F197" i="44"/>
  <c r="E197" i="44"/>
  <c r="D197" i="44"/>
  <c r="C197" i="44"/>
  <c r="B197" i="44"/>
  <c r="G171" i="44"/>
  <c r="F171" i="44"/>
  <c r="E171" i="44"/>
  <c r="D171" i="44"/>
  <c r="C171" i="44"/>
  <c r="B171" i="44"/>
  <c r="G155" i="44"/>
  <c r="F155" i="44"/>
  <c r="E155" i="44"/>
  <c r="D155" i="44"/>
  <c r="C155" i="44"/>
  <c r="B155" i="44"/>
  <c r="G143" i="44"/>
  <c r="F143" i="44"/>
  <c r="E143" i="44"/>
  <c r="D143" i="44"/>
  <c r="C143" i="44"/>
  <c r="B143" i="44"/>
  <c r="G105" i="44"/>
  <c r="F105" i="44"/>
  <c r="E105" i="44"/>
  <c r="D105" i="44"/>
  <c r="C105" i="44"/>
  <c r="B105" i="44"/>
  <c r="B102" i="44"/>
  <c r="B101" i="44"/>
  <c r="B100" i="44"/>
  <c r="B99" i="44"/>
  <c r="G72" i="44"/>
  <c r="F72" i="44"/>
  <c r="E72" i="44"/>
  <c r="D72" i="44"/>
  <c r="C72" i="44"/>
  <c r="B72" i="44"/>
  <c r="G38" i="44"/>
  <c r="F38" i="44"/>
  <c r="E38" i="44"/>
  <c r="D38" i="44"/>
  <c r="C38" i="44"/>
  <c r="B38" i="44"/>
  <c r="G26" i="44"/>
  <c r="F26" i="44"/>
  <c r="E26" i="44"/>
  <c r="D26" i="44"/>
  <c r="C26" i="44"/>
  <c r="B26" i="44"/>
  <c r="G19" i="44"/>
  <c r="F19" i="44"/>
  <c r="E19" i="44"/>
  <c r="D19" i="44"/>
  <c r="C19" i="44"/>
  <c r="B19" i="44"/>
  <c r="D89" i="43"/>
  <c r="E89" i="43"/>
  <c r="F89" i="43"/>
  <c r="G89" i="43"/>
  <c r="C19" i="43"/>
  <c r="D19" i="43"/>
  <c r="E19" i="43"/>
  <c r="F19" i="43"/>
  <c r="G19" i="43"/>
  <c r="B19" i="43"/>
  <c r="C26" i="43"/>
  <c r="D26" i="43"/>
  <c r="E26" i="43"/>
  <c r="F26" i="43"/>
  <c r="G26" i="43"/>
  <c r="B26" i="43"/>
  <c r="C38" i="43"/>
  <c r="D38" i="43"/>
  <c r="E38" i="43"/>
  <c r="F38" i="43"/>
  <c r="G38" i="43"/>
  <c r="B38" i="43"/>
  <c r="C72" i="43"/>
  <c r="D72" i="43"/>
  <c r="E72" i="43"/>
  <c r="F72" i="43"/>
  <c r="G72" i="43"/>
  <c r="B72" i="43"/>
  <c r="C105" i="43"/>
  <c r="D105" i="43"/>
  <c r="E105" i="43"/>
  <c r="F105" i="43"/>
  <c r="G105" i="43"/>
  <c r="B105" i="43"/>
  <c r="C143" i="43"/>
  <c r="D143" i="43"/>
  <c r="E143" i="43"/>
  <c r="F143" i="43"/>
  <c r="G143" i="43"/>
  <c r="B143" i="43"/>
  <c r="C155" i="43"/>
  <c r="D155" i="43"/>
  <c r="E155" i="43"/>
  <c r="F155" i="43"/>
  <c r="G155" i="43"/>
  <c r="B155" i="43"/>
  <c r="C171" i="43"/>
  <c r="D171" i="43"/>
  <c r="E171" i="43"/>
  <c r="F171" i="43"/>
  <c r="G171" i="43"/>
  <c r="B171" i="43"/>
  <c r="D197" i="43"/>
  <c r="E197" i="43"/>
  <c r="F197" i="43"/>
  <c r="G197" i="43"/>
  <c r="D221" i="43"/>
  <c r="E221" i="43"/>
  <c r="F221" i="43"/>
  <c r="G221" i="43"/>
  <c r="B221" i="43"/>
  <c r="B197" i="43"/>
  <c r="C197" i="43"/>
  <c r="C221" i="43"/>
  <c r="B213" i="43"/>
  <c r="B214" i="43"/>
  <c r="B228" i="43" s="1"/>
  <c r="B215" i="43"/>
  <c r="B212" i="43"/>
  <c r="B226" i="43" s="1"/>
  <c r="B199" i="43"/>
  <c r="B200" i="43"/>
  <c r="B201" i="43"/>
  <c r="B202" i="43"/>
  <c r="B203" i="43"/>
  <c r="B204" i="43"/>
  <c r="B205" i="43"/>
  <c r="B206" i="43"/>
  <c r="B207" i="43"/>
  <c r="B198" i="43"/>
  <c r="B173" i="43"/>
  <c r="B174" i="43"/>
  <c r="B175" i="43"/>
  <c r="B176" i="43"/>
  <c r="B177" i="43"/>
  <c r="B178" i="43"/>
  <c r="B179" i="43"/>
  <c r="B180" i="43"/>
  <c r="B181" i="43"/>
  <c r="B182" i="43"/>
  <c r="B183" i="43"/>
  <c r="B184" i="43"/>
  <c r="B185" i="43"/>
  <c r="B186" i="43"/>
  <c r="B187" i="43"/>
  <c r="B188" i="43"/>
  <c r="B189" i="43"/>
  <c r="B190" i="43"/>
  <c r="B191" i="43"/>
  <c r="B192" i="43"/>
  <c r="B193" i="43"/>
  <c r="B194" i="43"/>
  <c r="B195" i="43"/>
  <c r="B172" i="43"/>
  <c r="B157" i="43"/>
  <c r="J157" i="43" s="1"/>
  <c r="B158" i="43"/>
  <c r="B159" i="43"/>
  <c r="B160" i="43"/>
  <c r="B162" i="43"/>
  <c r="B163" i="43"/>
  <c r="B164" i="43"/>
  <c r="B165" i="43"/>
  <c r="B166" i="43"/>
  <c r="B167" i="43"/>
  <c r="B168" i="43"/>
  <c r="B169" i="43"/>
  <c r="B156" i="43"/>
  <c r="B153" i="43"/>
  <c r="B145" i="43"/>
  <c r="B146" i="43"/>
  <c r="B147" i="43"/>
  <c r="B148" i="43"/>
  <c r="B149" i="43"/>
  <c r="B150" i="43"/>
  <c r="B151" i="43"/>
  <c r="B152" i="43"/>
  <c r="B144" i="43"/>
  <c r="B135" i="43"/>
  <c r="B137" i="43"/>
  <c r="B138" i="43"/>
  <c r="B139" i="43"/>
  <c r="B140" i="43"/>
  <c r="B124" i="43"/>
  <c r="B125" i="43"/>
  <c r="B126" i="43"/>
  <c r="B127" i="43"/>
  <c r="B128" i="43"/>
  <c r="B129" i="43"/>
  <c r="B130" i="43"/>
  <c r="B123" i="43"/>
  <c r="B108" i="43"/>
  <c r="B109" i="43"/>
  <c r="B110" i="43"/>
  <c r="B111" i="43"/>
  <c r="B112" i="43"/>
  <c r="B113" i="43"/>
  <c r="B114" i="43"/>
  <c r="B115" i="43"/>
  <c r="B116" i="43"/>
  <c r="B117" i="43"/>
  <c r="B118" i="43"/>
  <c r="B119" i="43"/>
  <c r="B120" i="43"/>
  <c r="B107" i="43"/>
  <c r="B100" i="43"/>
  <c r="B101" i="43"/>
  <c r="B102" i="43"/>
  <c r="B99" i="43"/>
  <c r="B94" i="43"/>
  <c r="B95" i="43"/>
  <c r="B92" i="43"/>
  <c r="B83" i="43"/>
  <c r="B84" i="43"/>
  <c r="B85" i="43"/>
  <c r="B86" i="43"/>
  <c r="B87" i="43"/>
  <c r="B88" i="43"/>
  <c r="B89" i="43"/>
  <c r="B82" i="43"/>
  <c r="B75" i="43"/>
  <c r="B76" i="43"/>
  <c r="B77" i="43"/>
  <c r="B78" i="43"/>
  <c r="B79" i="43"/>
  <c r="B40" i="43"/>
  <c r="B41" i="43"/>
  <c r="B42" i="43"/>
  <c r="B43" i="43"/>
  <c r="T31" i="48" s="1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39" i="43"/>
  <c r="B28" i="43"/>
  <c r="B29" i="43"/>
  <c r="B30" i="43"/>
  <c r="B31" i="43"/>
  <c r="B32" i="43"/>
  <c r="B33" i="43"/>
  <c r="B34" i="43"/>
  <c r="B35" i="43"/>
  <c r="B27" i="43"/>
  <c r="B21" i="43"/>
  <c r="B22" i="43"/>
  <c r="B23" i="43"/>
  <c r="B24" i="43"/>
  <c r="B20" i="43"/>
  <c r="B5" i="43"/>
  <c r="B6" i="43"/>
  <c r="B7" i="43"/>
  <c r="B8" i="43"/>
  <c r="B9" i="43"/>
  <c r="B10" i="43"/>
  <c r="B11" i="43"/>
  <c r="B12" i="43"/>
  <c r="B13" i="43"/>
  <c r="B14" i="43"/>
  <c r="B15" i="43"/>
  <c r="B16" i="43"/>
  <c r="G80" i="45" l="1"/>
  <c r="G29" i="48"/>
  <c r="G38" i="48"/>
  <c r="E90" i="45"/>
  <c r="B103" i="43"/>
  <c r="B103" i="44"/>
  <c r="G36" i="48"/>
  <c r="G44" i="48"/>
  <c r="G42" i="48"/>
  <c r="G103" i="45"/>
  <c r="F36" i="48"/>
  <c r="F44" i="48"/>
  <c r="F103" i="45"/>
  <c r="F42" i="48"/>
  <c r="F196" i="44"/>
  <c r="E170" i="45"/>
  <c r="E103" i="45"/>
  <c r="E36" i="48"/>
  <c r="E44" i="48"/>
  <c r="E42" i="48"/>
  <c r="D103" i="45"/>
  <c r="D36" i="48"/>
  <c r="D44" i="48"/>
  <c r="D42" i="48"/>
  <c r="B131" i="43"/>
  <c r="B196" i="43"/>
  <c r="B208" i="43"/>
  <c r="B36" i="44"/>
  <c r="B63" i="44" s="1"/>
  <c r="F208" i="45"/>
  <c r="G36" i="45"/>
  <c r="G63" i="45" s="1"/>
  <c r="B65" i="45"/>
  <c r="F90" i="45"/>
  <c r="F121" i="45"/>
  <c r="B208" i="45"/>
  <c r="G90" i="45"/>
  <c r="G121" i="44"/>
  <c r="G131" i="44"/>
  <c r="G208" i="44"/>
  <c r="F61" i="44"/>
  <c r="F64" i="44" s="1"/>
  <c r="F90" i="44"/>
  <c r="G80" i="44"/>
  <c r="G170" i="44"/>
  <c r="E196" i="44"/>
  <c r="J195" i="44"/>
  <c r="B90" i="43"/>
  <c r="B80" i="43"/>
  <c r="B97" i="43" s="1"/>
  <c r="B36" i="43"/>
  <c r="B63" i="43" s="1"/>
  <c r="B121" i="43"/>
  <c r="O11" i="43"/>
  <c r="O7" i="43"/>
  <c r="G61" i="45"/>
  <c r="G64" i="45" s="1"/>
  <c r="O10" i="43"/>
  <c r="G208" i="45"/>
  <c r="O17" i="44"/>
  <c r="O18" i="44" s="1"/>
  <c r="G36" i="44"/>
  <c r="G63" i="44" s="1"/>
  <c r="G61" i="44"/>
  <c r="G64" i="44" s="1"/>
  <c r="G90" i="44"/>
  <c r="G97" i="44" s="1"/>
  <c r="O4" i="43"/>
  <c r="O13" i="43"/>
  <c r="O9" i="43"/>
  <c r="O5" i="43"/>
  <c r="G121" i="45"/>
  <c r="G170" i="45"/>
  <c r="O15" i="43"/>
  <c r="G196" i="45"/>
  <c r="G196" i="44"/>
  <c r="O14" i="43"/>
  <c r="O6" i="43"/>
  <c r="O8" i="43"/>
  <c r="O16" i="43"/>
  <c r="O12" i="43"/>
  <c r="G131" i="45"/>
  <c r="G141" i="45"/>
  <c r="N16" i="43"/>
  <c r="F36" i="45"/>
  <c r="F63" i="45" s="1"/>
  <c r="N8" i="43"/>
  <c r="N195" i="44"/>
  <c r="N14" i="43"/>
  <c r="N10" i="43"/>
  <c r="F96" i="48" s="1"/>
  <c r="N6" i="43"/>
  <c r="F61" i="45"/>
  <c r="F64" i="45" s="1"/>
  <c r="F131" i="45"/>
  <c r="F170" i="45"/>
  <c r="N7" i="43"/>
  <c r="F170" i="44"/>
  <c r="N12" i="43"/>
  <c r="F154" i="45"/>
  <c r="F36" i="44"/>
  <c r="F63" i="44" s="1"/>
  <c r="N15" i="43"/>
  <c r="N11" i="43"/>
  <c r="N4" i="43"/>
  <c r="N17" i="44"/>
  <c r="N18" i="44" s="1"/>
  <c r="F121" i="44"/>
  <c r="F208" i="44"/>
  <c r="N13" i="43"/>
  <c r="N9" i="43"/>
  <c r="F3" i="45"/>
  <c r="N17" i="45"/>
  <c r="N18" i="45" s="1"/>
  <c r="M9" i="43"/>
  <c r="E154" i="45"/>
  <c r="E208" i="45"/>
  <c r="E17" i="44"/>
  <c r="M195" i="44"/>
  <c r="M16" i="43"/>
  <c r="M12" i="43"/>
  <c r="M8" i="43"/>
  <c r="E80" i="45"/>
  <c r="M13" i="43"/>
  <c r="E36" i="44"/>
  <c r="E63" i="44" s="1"/>
  <c r="E90" i="44"/>
  <c r="M15" i="43"/>
  <c r="M11" i="43"/>
  <c r="E61" i="45"/>
  <c r="E64" i="45" s="1"/>
  <c r="E131" i="45"/>
  <c r="E196" i="45"/>
  <c r="M7" i="43"/>
  <c r="E3" i="44"/>
  <c r="M5" i="44"/>
  <c r="M14" i="43"/>
  <c r="M10" i="43"/>
  <c r="E96" i="48" s="1"/>
  <c r="M6" i="43"/>
  <c r="E121" i="45"/>
  <c r="E132" i="45" s="1"/>
  <c r="E141" i="45"/>
  <c r="L13" i="43"/>
  <c r="L9" i="43"/>
  <c r="L16" i="43"/>
  <c r="L12" i="43"/>
  <c r="L8" i="43"/>
  <c r="L11" i="43"/>
  <c r="L14" i="43"/>
  <c r="L10" i="43"/>
  <c r="D17" i="45"/>
  <c r="L6" i="43"/>
  <c r="L15" i="43"/>
  <c r="L7" i="43"/>
  <c r="D36" i="44"/>
  <c r="D63" i="44" s="1"/>
  <c r="D141" i="44"/>
  <c r="L195" i="44"/>
  <c r="L4" i="43"/>
  <c r="D17" i="44"/>
  <c r="L5" i="44"/>
  <c r="L5" i="43" s="1"/>
  <c r="C61" i="44"/>
  <c r="C64" i="44" s="1"/>
  <c r="C141" i="44"/>
  <c r="K18" i="45"/>
  <c r="C131" i="44"/>
  <c r="C132" i="44" s="1"/>
  <c r="K2" i="43"/>
  <c r="K195" i="44"/>
  <c r="C80" i="44"/>
  <c r="C121" i="44"/>
  <c r="C170" i="44"/>
  <c r="C196" i="44"/>
  <c r="C208" i="44"/>
  <c r="K17" i="44"/>
  <c r="K18" i="44" s="1"/>
  <c r="C36" i="44"/>
  <c r="C63" i="44" s="1"/>
  <c r="C90" i="44"/>
  <c r="C96" i="44"/>
  <c r="C97" i="44" s="1"/>
  <c r="C72" i="47"/>
  <c r="C28" i="47"/>
  <c r="C64" i="47"/>
  <c r="C20" i="47"/>
  <c r="B3" i="43"/>
  <c r="B154" i="43"/>
  <c r="J21" i="43"/>
  <c r="C67" i="47"/>
  <c r="C23" i="47"/>
  <c r="J195" i="43"/>
  <c r="B17" i="43"/>
  <c r="C53" i="48" s="1"/>
  <c r="B227" i="43"/>
  <c r="B230" i="43" s="1"/>
  <c r="B136" i="44"/>
  <c r="B134" i="44"/>
  <c r="B161" i="44"/>
  <c r="B170" i="44" s="1"/>
  <c r="C61" i="47"/>
  <c r="C17" i="47"/>
  <c r="C51" i="47"/>
  <c r="C26" i="47"/>
  <c r="C70" i="47"/>
  <c r="C66" i="47"/>
  <c r="C22" i="47"/>
  <c r="C18" i="47"/>
  <c r="C62" i="47"/>
  <c r="B208" i="44"/>
  <c r="C68" i="47"/>
  <c r="C24" i="47"/>
  <c r="C27" i="47"/>
  <c r="C71" i="47"/>
  <c r="C63" i="47"/>
  <c r="C19" i="47"/>
  <c r="J17" i="44"/>
  <c r="J18" i="44" s="1"/>
  <c r="F219" i="19"/>
  <c r="C29" i="47"/>
  <c r="C73" i="47"/>
  <c r="C69" i="47"/>
  <c r="C25" i="47"/>
  <c r="C21" i="47"/>
  <c r="C65" i="47"/>
  <c r="B161" i="43"/>
  <c r="B170" i="43" s="1"/>
  <c r="B61" i="43"/>
  <c r="B64" i="43" s="1"/>
  <c r="B61" i="44"/>
  <c r="B64" i="44" s="1"/>
  <c r="B90" i="44"/>
  <c r="B121" i="44"/>
  <c r="B196" i="44"/>
  <c r="H219" i="19"/>
  <c r="G219" i="19"/>
  <c r="B219" i="19"/>
  <c r="G230" i="45"/>
  <c r="F196" i="45"/>
  <c r="D141" i="45"/>
  <c r="D131" i="45"/>
  <c r="D121" i="45"/>
  <c r="G97" i="45"/>
  <c r="E97" i="45"/>
  <c r="D80" i="45"/>
  <c r="D61" i="45"/>
  <c r="D64" i="45" s="1"/>
  <c r="D36" i="45"/>
  <c r="D63" i="45" s="1"/>
  <c r="E36" i="45"/>
  <c r="E63" i="45" s="1"/>
  <c r="E17" i="45"/>
  <c r="F17" i="45"/>
  <c r="E3" i="45"/>
  <c r="B132" i="45"/>
  <c r="B69" i="45" s="1"/>
  <c r="D90" i="45"/>
  <c r="B68" i="45"/>
  <c r="D170" i="45"/>
  <c r="D196" i="45"/>
  <c r="D208" i="45"/>
  <c r="E230" i="45"/>
  <c r="G17" i="45"/>
  <c r="G3" i="45"/>
  <c r="B80" i="45"/>
  <c r="B97" i="45" s="1"/>
  <c r="B70" i="45" s="1"/>
  <c r="F80" i="45"/>
  <c r="B141" i="45"/>
  <c r="F141" i="45"/>
  <c r="B226" i="45"/>
  <c r="B230" i="45" s="1"/>
  <c r="F226" i="45"/>
  <c r="F230" i="45" s="1"/>
  <c r="D230" i="45"/>
  <c r="B154" i="45"/>
  <c r="C230" i="45"/>
  <c r="G154" i="45"/>
  <c r="D154" i="45"/>
  <c r="D3" i="45"/>
  <c r="E230" i="44"/>
  <c r="C230" i="44"/>
  <c r="G230" i="44"/>
  <c r="D208" i="44"/>
  <c r="E208" i="44"/>
  <c r="D196" i="44"/>
  <c r="D170" i="44"/>
  <c r="E170" i="44"/>
  <c r="E154" i="44"/>
  <c r="E141" i="44"/>
  <c r="D131" i="44"/>
  <c r="E131" i="44"/>
  <c r="E121" i="44"/>
  <c r="E132" i="44" s="1"/>
  <c r="E68" i="44" s="1"/>
  <c r="D90" i="44"/>
  <c r="D80" i="44"/>
  <c r="D97" i="44" s="1"/>
  <c r="E80" i="44"/>
  <c r="B17" i="44"/>
  <c r="B3" i="44"/>
  <c r="F17" i="44"/>
  <c r="F3" i="44"/>
  <c r="D61" i="44"/>
  <c r="D64" i="44" s="1"/>
  <c r="B80" i="44"/>
  <c r="F80" i="44"/>
  <c r="F97" i="44" s="1"/>
  <c r="G132" i="44"/>
  <c r="F141" i="44"/>
  <c r="B226" i="44"/>
  <c r="B230" i="44" s="1"/>
  <c r="F226" i="44"/>
  <c r="F230" i="44" s="1"/>
  <c r="G17" i="44"/>
  <c r="G3" i="44"/>
  <c r="E61" i="44"/>
  <c r="E64" i="44" s="1"/>
  <c r="D121" i="44"/>
  <c r="B131" i="44"/>
  <c r="F131" i="44"/>
  <c r="B154" i="44"/>
  <c r="C17" i="44"/>
  <c r="C3" i="44"/>
  <c r="D3" i="44"/>
  <c r="F154" i="44"/>
  <c r="D230" i="44"/>
  <c r="C154" i="44"/>
  <c r="G154" i="44"/>
  <c r="D154" i="44"/>
  <c r="G96" i="48" l="1"/>
  <c r="F65" i="45"/>
  <c r="D96" i="48"/>
  <c r="D117" i="48"/>
  <c r="D132" i="44"/>
  <c r="D68" i="44" s="1"/>
  <c r="D75" i="48"/>
  <c r="U35" i="48" s="1"/>
  <c r="D132" i="45"/>
  <c r="D68" i="45" s="1"/>
  <c r="B132" i="43"/>
  <c r="B65" i="44"/>
  <c r="B65" i="43"/>
  <c r="B70" i="43"/>
  <c r="G70" i="44"/>
  <c r="G117" i="48"/>
  <c r="G75" i="48"/>
  <c r="G70" i="45"/>
  <c r="F117" i="48"/>
  <c r="F132" i="44"/>
  <c r="F132" i="45"/>
  <c r="F69" i="45" s="1"/>
  <c r="E70" i="45"/>
  <c r="E117" i="48"/>
  <c r="D65" i="44"/>
  <c r="C70" i="44"/>
  <c r="B68" i="43"/>
  <c r="B69" i="43"/>
  <c r="T33" i="48"/>
  <c r="D45" i="48"/>
  <c r="H45" i="48"/>
  <c r="P45" i="48" s="1"/>
  <c r="T43" i="48"/>
  <c r="E45" i="48"/>
  <c r="G132" i="45"/>
  <c r="G68" i="45" s="1"/>
  <c r="F97" i="45"/>
  <c r="E65" i="45"/>
  <c r="M5" i="43"/>
  <c r="F45" i="48"/>
  <c r="N45" i="48" s="1"/>
  <c r="G45" i="48"/>
  <c r="G65" i="45"/>
  <c r="F65" i="44"/>
  <c r="B97" i="44"/>
  <c r="E142" i="44"/>
  <c r="E210" i="44" s="1"/>
  <c r="T38" i="48"/>
  <c r="T40" i="48"/>
  <c r="T42" i="48"/>
  <c r="T41" i="48"/>
  <c r="T37" i="48"/>
  <c r="O21" i="43"/>
  <c r="O20" i="43"/>
  <c r="H25" i="46"/>
  <c r="H69" i="46"/>
  <c r="H27" i="46"/>
  <c r="H71" i="46"/>
  <c r="H72" i="46"/>
  <c r="H28" i="46"/>
  <c r="H66" i="46"/>
  <c r="H22" i="46"/>
  <c r="H23" i="46"/>
  <c r="H67" i="46"/>
  <c r="H21" i="46"/>
  <c r="H65" i="46"/>
  <c r="H73" i="46"/>
  <c r="H29" i="46"/>
  <c r="H51" i="46"/>
  <c r="N51" i="46" s="1"/>
  <c r="H63" i="46"/>
  <c r="H19" i="46"/>
  <c r="H64" i="46"/>
  <c r="H20" i="46"/>
  <c r="H62" i="46"/>
  <c r="H18" i="46"/>
  <c r="H70" i="46"/>
  <c r="H26" i="46"/>
  <c r="H17" i="46"/>
  <c r="H61" i="46"/>
  <c r="O17" i="43"/>
  <c r="O17" i="45"/>
  <c r="O18" i="45" s="1"/>
  <c r="O22" i="43"/>
  <c r="G65" i="44"/>
  <c r="H68" i="46"/>
  <c r="H24" i="46"/>
  <c r="N21" i="43"/>
  <c r="G26" i="46"/>
  <c r="G70" i="46"/>
  <c r="G71" i="46"/>
  <c r="G27" i="46"/>
  <c r="G20" i="46"/>
  <c r="G64" i="46"/>
  <c r="G29" i="46"/>
  <c r="G73" i="46"/>
  <c r="N22" i="43"/>
  <c r="G28" i="46"/>
  <c r="G72" i="46"/>
  <c r="G69" i="46"/>
  <c r="G25" i="46"/>
  <c r="G22" i="46"/>
  <c r="G66" i="46"/>
  <c r="G17" i="46"/>
  <c r="G51" i="46"/>
  <c r="M51" i="46" s="1"/>
  <c r="G61" i="46"/>
  <c r="G21" i="46"/>
  <c r="G65" i="46"/>
  <c r="N5" i="43"/>
  <c r="N20" i="43" s="1"/>
  <c r="G19" i="46"/>
  <c r="G63" i="46"/>
  <c r="F70" i="44"/>
  <c r="G18" i="46"/>
  <c r="G62" i="46"/>
  <c r="G24" i="46"/>
  <c r="G68" i="46"/>
  <c r="G23" i="46"/>
  <c r="G67" i="46"/>
  <c r="E69" i="45"/>
  <c r="E142" i="45"/>
  <c r="E210" i="45" s="1"/>
  <c r="E218" i="45" s="1"/>
  <c r="M21" i="43"/>
  <c r="F63" i="46"/>
  <c r="F19" i="46"/>
  <c r="F71" i="46"/>
  <c r="F27" i="46"/>
  <c r="F18" i="46"/>
  <c r="F62" i="46"/>
  <c r="E65" i="44"/>
  <c r="M17" i="44"/>
  <c r="M18" i="44" s="1"/>
  <c r="M17" i="45"/>
  <c r="M18" i="45" s="1"/>
  <c r="F24" i="46"/>
  <c r="F68" i="46"/>
  <c r="F73" i="46"/>
  <c r="F29" i="46"/>
  <c r="E69" i="44"/>
  <c r="F64" i="46"/>
  <c r="F20" i="46"/>
  <c r="F26" i="46"/>
  <c r="F70" i="46"/>
  <c r="F69" i="46"/>
  <c r="F25" i="46"/>
  <c r="F66" i="46"/>
  <c r="F22" i="46"/>
  <c r="M4" i="43"/>
  <c r="E75" i="48" s="1"/>
  <c r="E97" i="44"/>
  <c r="F67" i="46"/>
  <c r="F23" i="46"/>
  <c r="F61" i="46"/>
  <c r="F51" i="46"/>
  <c r="L51" i="46" s="1"/>
  <c r="F17" i="46"/>
  <c r="F28" i="46"/>
  <c r="F72" i="46"/>
  <c r="M22" i="43"/>
  <c r="F65" i="46"/>
  <c r="F21" i="46"/>
  <c r="L21" i="43"/>
  <c r="E72" i="46"/>
  <c r="E28" i="46"/>
  <c r="E63" i="46"/>
  <c r="E19" i="46"/>
  <c r="D97" i="45"/>
  <c r="D65" i="45"/>
  <c r="L17" i="45"/>
  <c r="L18" i="45" s="1"/>
  <c r="E18" i="46"/>
  <c r="E62" i="46"/>
  <c r="E26" i="46"/>
  <c r="E70" i="46"/>
  <c r="L17" i="43"/>
  <c r="L25" i="43" s="1"/>
  <c r="E64" i="46"/>
  <c r="E20" i="46"/>
  <c r="E22" i="46"/>
  <c r="E66" i="46"/>
  <c r="E24" i="46"/>
  <c r="E68" i="46"/>
  <c r="E61" i="46"/>
  <c r="E17" i="46"/>
  <c r="E51" i="46"/>
  <c r="K51" i="46" s="1"/>
  <c r="E27" i="46"/>
  <c r="E71" i="46"/>
  <c r="E25" i="46"/>
  <c r="E69" i="46"/>
  <c r="E67" i="46"/>
  <c r="E23" i="46"/>
  <c r="E65" i="46"/>
  <c r="E21" i="46"/>
  <c r="E29" i="46"/>
  <c r="E73" i="46"/>
  <c r="L22" i="43"/>
  <c r="L20" i="43"/>
  <c r="D70" i="44"/>
  <c r="L17" i="44"/>
  <c r="L18" i="44" s="1"/>
  <c r="D21" i="46"/>
  <c r="D65" i="46"/>
  <c r="D68" i="46"/>
  <c r="D24" i="46"/>
  <c r="D25" i="46"/>
  <c r="D69" i="46"/>
  <c r="D23" i="46"/>
  <c r="D67" i="46"/>
  <c r="D70" i="46"/>
  <c r="D26" i="46"/>
  <c r="D27" i="46"/>
  <c r="D71" i="46"/>
  <c r="D73" i="46"/>
  <c r="D29" i="46"/>
  <c r="D66" i="46"/>
  <c r="D22" i="46"/>
  <c r="D17" i="46"/>
  <c r="D61" i="46"/>
  <c r="D51" i="46"/>
  <c r="J51" i="46" s="1"/>
  <c r="D19" i="46"/>
  <c r="D63" i="46"/>
  <c r="D64" i="46"/>
  <c r="D20" i="46"/>
  <c r="C65" i="44"/>
  <c r="D62" i="46"/>
  <c r="D18" i="46"/>
  <c r="D72" i="46"/>
  <c r="D28" i="46"/>
  <c r="B93" i="43"/>
  <c r="B93" i="44"/>
  <c r="C74" i="47"/>
  <c r="J20" i="43"/>
  <c r="T27" i="48"/>
  <c r="T29" i="48"/>
  <c r="C30" i="47"/>
  <c r="B133" i="43"/>
  <c r="B141" i="43" s="1"/>
  <c r="B133" i="44"/>
  <c r="B141" i="44" s="1"/>
  <c r="T39" i="48"/>
  <c r="B132" i="44"/>
  <c r="B69" i="44" s="1"/>
  <c r="T44" i="48"/>
  <c r="T28" i="48"/>
  <c r="D142" i="45"/>
  <c r="D210" i="45" s="1"/>
  <c r="E68" i="45"/>
  <c r="F142" i="45"/>
  <c r="F70" i="45"/>
  <c r="B142" i="45"/>
  <c r="F142" i="44"/>
  <c r="F69" i="44"/>
  <c r="F68" i="44"/>
  <c r="G68" i="44"/>
  <c r="G142" i="44"/>
  <c r="G69" i="44"/>
  <c r="C68" i="44"/>
  <c r="C142" i="44"/>
  <c r="C69" i="44"/>
  <c r="O45" i="48" l="1"/>
  <c r="M45" i="48"/>
  <c r="D69" i="44"/>
  <c r="D142" i="44"/>
  <c r="D210" i="44" s="1"/>
  <c r="D69" i="45"/>
  <c r="L45" i="48"/>
  <c r="B70" i="44"/>
  <c r="G69" i="45"/>
  <c r="F68" i="45"/>
  <c r="F75" i="48"/>
  <c r="W35" i="48" s="1"/>
  <c r="D70" i="45"/>
  <c r="D218" i="45"/>
  <c r="G142" i="45"/>
  <c r="Y35" i="48"/>
  <c r="D74" i="46"/>
  <c r="J74" i="46" s="1"/>
  <c r="D30" i="46"/>
  <c r="J30" i="46" s="1"/>
  <c r="B142" i="44"/>
  <c r="B210" i="44" s="1"/>
  <c r="B218" i="44" s="1"/>
  <c r="L24" i="43"/>
  <c r="L26" i="43"/>
  <c r="O26" i="43"/>
  <c r="O24" i="43"/>
  <c r="H74" i="46"/>
  <c r="N74" i="46" s="1"/>
  <c r="H30" i="46"/>
  <c r="N30" i="46" s="1"/>
  <c r="O25" i="43"/>
  <c r="G30" i="46"/>
  <c r="M30" i="46" s="1"/>
  <c r="X35" i="48"/>
  <c r="N17" i="43"/>
  <c r="N26" i="43" s="1"/>
  <c r="G74" i="46"/>
  <c r="M74" i="46" s="1"/>
  <c r="E70" i="44"/>
  <c r="M17" i="43"/>
  <c r="M26" i="43" s="1"/>
  <c r="M20" i="43"/>
  <c r="F74" i="46"/>
  <c r="L74" i="46" s="1"/>
  <c r="F30" i="46"/>
  <c r="L30" i="46" s="1"/>
  <c r="E30" i="46"/>
  <c r="K30" i="46" s="1"/>
  <c r="V35" i="48"/>
  <c r="E74" i="46"/>
  <c r="K74" i="46" s="1"/>
  <c r="B142" i="43"/>
  <c r="B68" i="44"/>
  <c r="J134" i="43"/>
  <c r="D67" i="45"/>
  <c r="D249" i="45"/>
  <c r="F210" i="45"/>
  <c r="F67" i="45" s="1"/>
  <c r="E251" i="45"/>
  <c r="E243" i="45"/>
  <c r="E247" i="45"/>
  <c r="E238" i="45"/>
  <c r="E244" i="45"/>
  <c r="E253" i="45"/>
  <c r="E248" i="45"/>
  <c r="E250" i="45"/>
  <c r="E252" i="45"/>
  <c r="E242" i="45"/>
  <c r="E254" i="45"/>
  <c r="E249" i="45"/>
  <c r="E245" i="45"/>
  <c r="E224" i="45"/>
  <c r="E231" i="45" s="1"/>
  <c r="E246" i="45"/>
  <c r="E241" i="45"/>
  <c r="E67" i="45"/>
  <c r="G210" i="45"/>
  <c r="B210" i="45"/>
  <c r="D244" i="45"/>
  <c r="D253" i="45"/>
  <c r="D248" i="45"/>
  <c r="D238" i="45"/>
  <c r="D243" i="45"/>
  <c r="D250" i="45"/>
  <c r="D246" i="45"/>
  <c r="D254" i="45"/>
  <c r="D252" i="45"/>
  <c r="D245" i="45"/>
  <c r="D241" i="45"/>
  <c r="D242" i="45"/>
  <c r="D247" i="45"/>
  <c r="D251" i="45"/>
  <c r="D224" i="45"/>
  <c r="D231" i="45" s="1"/>
  <c r="G210" i="44"/>
  <c r="E251" i="44"/>
  <c r="E247" i="44"/>
  <c r="E243" i="44"/>
  <c r="E238" i="44"/>
  <c r="E224" i="44"/>
  <c r="E231" i="44" s="1"/>
  <c r="E242" i="44"/>
  <c r="E252" i="44"/>
  <c r="E245" i="44"/>
  <c r="E241" i="44"/>
  <c r="E246" i="44"/>
  <c r="E250" i="44"/>
  <c r="E254" i="44"/>
  <c r="E244" i="44"/>
  <c r="E253" i="44"/>
  <c r="E248" i="44"/>
  <c r="E249" i="44"/>
  <c r="F210" i="44"/>
  <c r="C210" i="44"/>
  <c r="C218" i="44" s="1"/>
  <c r="E67" i="44"/>
  <c r="B67" i="45" l="1"/>
  <c r="B218" i="45"/>
  <c r="G67" i="45"/>
  <c r="G218" i="45"/>
  <c r="G223" i="45" s="1"/>
  <c r="F218" i="45"/>
  <c r="M24" i="43"/>
  <c r="G67" i="44"/>
  <c r="N25" i="43"/>
  <c r="N24" i="43"/>
  <c r="M25" i="43"/>
  <c r="D219" i="45"/>
  <c r="D67" i="44"/>
  <c r="C67" i="44"/>
  <c r="I219" i="19"/>
  <c r="I236" i="19"/>
  <c r="C85" i="48"/>
  <c r="B67" i="44"/>
  <c r="B210" i="43"/>
  <c r="E219" i="45"/>
  <c r="B238" i="45"/>
  <c r="B224" i="45"/>
  <c r="B231" i="45" s="1"/>
  <c r="C224" i="45"/>
  <c r="C231" i="45" s="1"/>
  <c r="C238" i="45"/>
  <c r="E256" i="45"/>
  <c r="D256" i="45"/>
  <c r="G253" i="45"/>
  <c r="G245" i="45"/>
  <c r="G246" i="45"/>
  <c r="G252" i="45"/>
  <c r="G254" i="45"/>
  <c r="G248" i="45"/>
  <c r="G242" i="45"/>
  <c r="G247" i="45"/>
  <c r="G238" i="45"/>
  <c r="G243" i="45"/>
  <c r="G251" i="45"/>
  <c r="G244" i="45"/>
  <c r="G249" i="45"/>
  <c r="G224" i="45"/>
  <c r="G231" i="45" s="1"/>
  <c r="G250" i="45"/>
  <c r="G241" i="45"/>
  <c r="F241" i="45"/>
  <c r="F246" i="45"/>
  <c r="F249" i="45"/>
  <c r="F247" i="45"/>
  <c r="F253" i="45"/>
  <c r="F248" i="45"/>
  <c r="F245" i="45"/>
  <c r="F250" i="45"/>
  <c r="F244" i="45"/>
  <c r="F243" i="45"/>
  <c r="F251" i="45"/>
  <c r="F252" i="45"/>
  <c r="F254" i="45"/>
  <c r="F238" i="45"/>
  <c r="F224" i="45"/>
  <c r="F231" i="45" s="1"/>
  <c r="F242" i="45"/>
  <c r="E256" i="44"/>
  <c r="F251" i="44"/>
  <c r="F252" i="44"/>
  <c r="F254" i="44"/>
  <c r="F248" i="44"/>
  <c r="F245" i="44"/>
  <c r="F249" i="44"/>
  <c r="F243" i="44"/>
  <c r="F250" i="44"/>
  <c r="F244" i="44"/>
  <c r="F247" i="44"/>
  <c r="F246" i="44"/>
  <c r="F253" i="44"/>
  <c r="F238" i="44"/>
  <c r="F241" i="44"/>
  <c r="F242" i="44"/>
  <c r="F224" i="44"/>
  <c r="F231" i="44" s="1"/>
  <c r="C253" i="44"/>
  <c r="C245" i="44"/>
  <c r="C238" i="44"/>
  <c r="C250" i="44"/>
  <c r="C244" i="44"/>
  <c r="C254" i="44"/>
  <c r="C242" i="44"/>
  <c r="C224" i="44"/>
  <c r="C231" i="44" s="1"/>
  <c r="C246" i="44"/>
  <c r="C247" i="44"/>
  <c r="C252" i="44"/>
  <c r="C249" i="44"/>
  <c r="C243" i="44"/>
  <c r="C251" i="44"/>
  <c r="C248" i="44"/>
  <c r="C241" i="44"/>
  <c r="B249" i="44"/>
  <c r="B243" i="44"/>
  <c r="B250" i="44"/>
  <c r="B254" i="44"/>
  <c r="B246" i="44"/>
  <c r="B253" i="44"/>
  <c r="B238" i="44"/>
  <c r="B245" i="44"/>
  <c r="B247" i="44"/>
  <c r="B244" i="44"/>
  <c r="B251" i="44"/>
  <c r="B252" i="44"/>
  <c r="B248" i="44"/>
  <c r="B241" i="44"/>
  <c r="B224" i="44"/>
  <c r="B231" i="44" s="1"/>
  <c r="B242" i="44"/>
  <c r="D242" i="44"/>
  <c r="D238" i="44"/>
  <c r="D224" i="44"/>
  <c r="D231" i="44" s="1"/>
  <c r="D245" i="44"/>
  <c r="D254" i="44"/>
  <c r="D251" i="44"/>
  <c r="D253" i="44"/>
  <c r="D249" i="44"/>
  <c r="D247" i="44"/>
  <c r="D252" i="44"/>
  <c r="D248" i="44"/>
  <c r="D243" i="44"/>
  <c r="D250" i="44"/>
  <c r="D246" i="44"/>
  <c r="D244" i="44"/>
  <c r="D241" i="44"/>
  <c r="F67" i="44"/>
  <c r="G253" i="44"/>
  <c r="G245" i="44"/>
  <c r="G243" i="44"/>
  <c r="G251" i="44"/>
  <c r="G242" i="44"/>
  <c r="G248" i="44"/>
  <c r="G252" i="44"/>
  <c r="G238" i="44"/>
  <c r="G250" i="44"/>
  <c r="G244" i="44"/>
  <c r="G254" i="44"/>
  <c r="G224" i="44"/>
  <c r="G231" i="44" s="1"/>
  <c r="G249" i="44"/>
  <c r="G246" i="44"/>
  <c r="G247" i="44"/>
  <c r="G241" i="44"/>
  <c r="B67" i="43" l="1"/>
  <c r="B218" i="43"/>
  <c r="J243" i="45"/>
  <c r="J247" i="44"/>
  <c r="B223" i="44"/>
  <c r="B219" i="44"/>
  <c r="B245" i="43"/>
  <c r="B251" i="43"/>
  <c r="B248" i="43"/>
  <c r="B224" i="43"/>
  <c r="B231" i="43" s="1"/>
  <c r="B250" i="43"/>
  <c r="B253" i="43"/>
  <c r="B252" i="43"/>
  <c r="B249" i="43"/>
  <c r="J218" i="43"/>
  <c r="B254" i="43"/>
  <c r="B244" i="43"/>
  <c r="B247" i="43"/>
  <c r="B246" i="43"/>
  <c r="B243" i="43"/>
  <c r="B241" i="43"/>
  <c r="B242" i="43"/>
  <c r="F219" i="45"/>
  <c r="G219" i="45"/>
  <c r="J250" i="45"/>
  <c r="J254" i="45"/>
  <c r="J241" i="45"/>
  <c r="J242" i="45"/>
  <c r="J248" i="45"/>
  <c r="F256" i="45"/>
  <c r="J247" i="45"/>
  <c r="J249" i="45"/>
  <c r="J252" i="45"/>
  <c r="J244" i="45"/>
  <c r="G256" i="45"/>
  <c r="J246" i="45"/>
  <c r="J253" i="45"/>
  <c r="J251" i="45"/>
  <c r="J245" i="45"/>
  <c r="J246" i="44"/>
  <c r="J242" i="44"/>
  <c r="G256" i="44"/>
  <c r="J252" i="44"/>
  <c r="J245" i="44"/>
  <c r="J254" i="44"/>
  <c r="C256" i="44"/>
  <c r="F256" i="44"/>
  <c r="J249" i="44"/>
  <c r="J251" i="44"/>
  <c r="J250" i="44"/>
  <c r="J248" i="44"/>
  <c r="D256" i="44"/>
  <c r="B256" i="44"/>
  <c r="J241" i="44"/>
  <c r="J244" i="44"/>
  <c r="J253" i="44"/>
  <c r="J243" i="44"/>
  <c r="C219" i="44"/>
  <c r="E3" i="39"/>
  <c r="E4" i="39"/>
  <c r="E5" i="39"/>
  <c r="E6" i="39"/>
  <c r="E2" i="39"/>
  <c r="C42" i="39"/>
  <c r="D42" i="39"/>
  <c r="B42" i="39"/>
  <c r="D62" i="39"/>
  <c r="D59" i="39"/>
  <c r="D55" i="39"/>
  <c r="D48" i="39"/>
  <c r="D41" i="39"/>
  <c r="E23" i="37"/>
  <c r="F23" i="37" s="1"/>
  <c r="G23" i="37" s="1"/>
  <c r="D23" i="37"/>
  <c r="E20" i="37"/>
  <c r="F20" i="37" s="1"/>
  <c r="D20" i="37"/>
  <c r="D21" i="37" s="1"/>
  <c r="E22" i="37"/>
  <c r="F22" i="37"/>
  <c r="G22" i="37"/>
  <c r="D22" i="37"/>
  <c r="E16" i="37"/>
  <c r="F16" i="37"/>
  <c r="G16" i="37"/>
  <c r="D16" i="37"/>
  <c r="F15" i="37"/>
  <c r="F17" i="37" s="1"/>
  <c r="G15" i="37"/>
  <c r="G17" i="37" s="1"/>
  <c r="E15" i="37"/>
  <c r="E17" i="37" s="1"/>
  <c r="C24" i="37"/>
  <c r="B24" i="37"/>
  <c r="C21" i="37"/>
  <c r="B21" i="37"/>
  <c r="D17" i="37"/>
  <c r="C17" i="37"/>
  <c r="B17" i="37"/>
  <c r="C14" i="37"/>
  <c r="D14" i="37"/>
  <c r="E14" i="37"/>
  <c r="F14" i="37"/>
  <c r="G14" i="37"/>
  <c r="B14" i="37"/>
  <c r="B236" i="43" l="1"/>
  <c r="B237" i="43" s="1"/>
  <c r="B256" i="43"/>
  <c r="J256" i="45"/>
  <c r="J256" i="44"/>
  <c r="G24" i="37"/>
  <c r="F24" i="37"/>
  <c r="E24" i="37"/>
  <c r="D24" i="37"/>
  <c r="G20" i="37"/>
  <c r="G21" i="37" s="1"/>
  <c r="F21" i="37"/>
  <c r="E21" i="37"/>
  <c r="AC221" i="42"/>
  <c r="AB221" i="42"/>
  <c r="AA221" i="42"/>
  <c r="Z221" i="42"/>
  <c r="Y221" i="42"/>
  <c r="X221" i="42"/>
  <c r="W221" i="42"/>
  <c r="V221" i="42"/>
  <c r="S221" i="42"/>
  <c r="R221" i="42"/>
  <c r="Q221" i="42"/>
  <c r="P221" i="42"/>
  <c r="O221" i="42"/>
  <c r="N221" i="42"/>
  <c r="M221" i="42"/>
  <c r="L221" i="42"/>
  <c r="I221" i="42"/>
  <c r="H221" i="42"/>
  <c r="G221" i="42"/>
  <c r="F221" i="42"/>
  <c r="E221" i="42"/>
  <c r="D221" i="42"/>
  <c r="C221" i="42"/>
  <c r="B221" i="42"/>
  <c r="A221" i="42"/>
  <c r="G215" i="43"/>
  <c r="G199" i="43"/>
  <c r="G194" i="43"/>
  <c r="G193" i="43"/>
  <c r="G186" i="43"/>
  <c r="G184" i="43"/>
  <c r="G159" i="43"/>
  <c r="O219" i="42"/>
  <c r="E219" i="42"/>
  <c r="G152" i="43"/>
  <c r="G139" i="43"/>
  <c r="G128" i="43"/>
  <c r="G126" i="43"/>
  <c r="G123" i="43"/>
  <c r="G117" i="43"/>
  <c r="G88" i="43"/>
  <c r="G85" i="43"/>
  <c r="G60" i="43"/>
  <c r="G59" i="43"/>
  <c r="G58" i="43"/>
  <c r="G57" i="43"/>
  <c r="G54" i="43"/>
  <c r="G49" i="43"/>
  <c r="G46" i="43"/>
  <c r="G45" i="43"/>
  <c r="G44" i="43"/>
  <c r="G43" i="43"/>
  <c r="G42" i="43"/>
  <c r="G41" i="43"/>
  <c r="G33" i="43"/>
  <c r="G31" i="43"/>
  <c r="G30" i="43"/>
  <c r="G15" i="43"/>
  <c r="G49" i="47" s="1"/>
  <c r="G14" i="43"/>
  <c r="G48" i="47" s="1"/>
  <c r="G13" i="43"/>
  <c r="G47" i="47" s="1"/>
  <c r="G11" i="43"/>
  <c r="G45" i="47" s="1"/>
  <c r="G10" i="43"/>
  <c r="G44" i="47" s="1"/>
  <c r="G9" i="43"/>
  <c r="G43" i="47" s="1"/>
  <c r="G8" i="43"/>
  <c r="G42" i="47" s="1"/>
  <c r="G7" i="43"/>
  <c r="G41" i="47" s="1"/>
  <c r="G5" i="43"/>
  <c r="G39" i="47" s="1"/>
  <c r="A228" i="43"/>
  <c r="A227" i="43"/>
  <c r="A226" i="43"/>
  <c r="A221" i="43"/>
  <c r="D47" i="39"/>
  <c r="D40" i="39"/>
  <c r="D54" i="39"/>
  <c r="D58" i="39"/>
  <c r="C32" i="39"/>
  <c r="D32" i="39"/>
  <c r="B32" i="39"/>
  <c r="D31" i="39"/>
  <c r="X15" i="21"/>
  <c r="X16" i="21" s="1"/>
  <c r="X17" i="21" s="1"/>
  <c r="F23" i="38"/>
  <c r="D23" i="38"/>
  <c r="E23" i="38"/>
  <c r="C23" i="38"/>
  <c r="D22" i="38"/>
  <c r="E22" i="38"/>
  <c r="C22" i="38"/>
  <c r="C31" i="38"/>
  <c r="D31" i="38"/>
  <c r="E31" i="38"/>
  <c r="B31" i="38"/>
  <c r="G99" i="48" l="1"/>
  <c r="G78" i="48"/>
  <c r="G120" i="48"/>
  <c r="G121" i="48"/>
  <c r="G100" i="48"/>
  <c r="G79" i="48"/>
  <c r="G71" i="48"/>
  <c r="G113" i="48"/>
  <c r="G92" i="48"/>
  <c r="G115" i="48"/>
  <c r="G94" i="48"/>
  <c r="G111" i="48"/>
  <c r="G90" i="48"/>
  <c r="G69" i="48"/>
  <c r="G80" i="48"/>
  <c r="G101" i="48"/>
  <c r="G122" i="48"/>
  <c r="H23" i="47"/>
  <c r="H67" i="47"/>
  <c r="G92" i="43"/>
  <c r="G101" i="43"/>
  <c r="G101" i="44"/>
  <c r="H64" i="47"/>
  <c r="H20" i="47"/>
  <c r="H68" i="47"/>
  <c r="H24" i="47"/>
  <c r="G24" i="43"/>
  <c r="G28" i="43"/>
  <c r="G29" i="43"/>
  <c r="G32" i="43"/>
  <c r="G48" i="43"/>
  <c r="G94" i="43"/>
  <c r="G95" i="43"/>
  <c r="G127" i="43"/>
  <c r="G137" i="43"/>
  <c r="G174" i="43"/>
  <c r="G214" i="43"/>
  <c r="G228" i="43" s="1"/>
  <c r="H26" i="47"/>
  <c r="H70" i="47"/>
  <c r="G21" i="43"/>
  <c r="G50" i="43"/>
  <c r="G52" i="43"/>
  <c r="G53" i="43"/>
  <c r="G78" i="43"/>
  <c r="G87" i="43"/>
  <c r="G165" i="43"/>
  <c r="G179" i="43"/>
  <c r="G189" i="43"/>
  <c r="G192" i="43"/>
  <c r="G203" i="43"/>
  <c r="G206" i="43"/>
  <c r="H72" i="47"/>
  <c r="H28" i="47"/>
  <c r="H62" i="47"/>
  <c r="H18" i="47"/>
  <c r="H66" i="47"/>
  <c r="H22" i="47"/>
  <c r="H27" i="47"/>
  <c r="H71" i="47"/>
  <c r="G22" i="43"/>
  <c r="G23" i="43"/>
  <c r="G34" i="43"/>
  <c r="G35" i="43"/>
  <c r="G40" i="43"/>
  <c r="G47" i="43"/>
  <c r="G55" i="43"/>
  <c r="G56" i="43"/>
  <c r="G73" i="48" s="1"/>
  <c r="G76" i="43"/>
  <c r="G86" i="43"/>
  <c r="G109" i="43"/>
  <c r="G112" i="43"/>
  <c r="G113" i="43"/>
  <c r="G125" i="43"/>
  <c r="G163" i="43"/>
  <c r="G177" i="43"/>
  <c r="G185" i="43"/>
  <c r="G188" i="43"/>
  <c r="G202" i="43"/>
  <c r="C234" i="43"/>
  <c r="B238" i="43"/>
  <c r="G191" i="43"/>
  <c r="G204" i="43"/>
  <c r="G111" i="43"/>
  <c r="G108" i="43"/>
  <c r="G110" i="43"/>
  <c r="G51" i="43"/>
  <c r="G75" i="43"/>
  <c r="G151" i="43"/>
  <c r="G20" i="43"/>
  <c r="G82" i="43"/>
  <c r="G12" i="43"/>
  <c r="G46" i="47" s="1"/>
  <c r="G16" i="43"/>
  <c r="G50" i="47" s="1"/>
  <c r="G77" i="43"/>
  <c r="G116" i="43"/>
  <c r="G118" i="43"/>
  <c r="G138" i="43"/>
  <c r="G162" i="43"/>
  <c r="G79" i="43"/>
  <c r="G120" i="43"/>
  <c r="G145" i="43"/>
  <c r="Y219" i="42"/>
  <c r="G6" i="43"/>
  <c r="G40" i="47" s="1"/>
  <c r="G175" i="43"/>
  <c r="G119" i="43"/>
  <c r="G181" i="43"/>
  <c r="G213" i="43"/>
  <c r="G227" i="43" s="1"/>
  <c r="G129" i="43"/>
  <c r="G146" i="43"/>
  <c r="G156" i="43"/>
  <c r="G169" i="43"/>
  <c r="G190" i="43"/>
  <c r="G198" i="43"/>
  <c r="G201" i="43"/>
  <c r="G205" i="43"/>
  <c r="G158" i="43"/>
  <c r="G172" i="43"/>
  <c r="G173" i="43"/>
  <c r="G176" i="43"/>
  <c r="G200" i="43"/>
  <c r="G207" i="43"/>
  <c r="G180" i="43"/>
  <c r="G130" i="43"/>
  <c r="G81" i="48" l="1"/>
  <c r="G102" i="48"/>
  <c r="G123" i="48"/>
  <c r="G125" i="48"/>
  <c r="G83" i="48"/>
  <c r="G104" i="48"/>
  <c r="G97" i="48"/>
  <c r="G76" i="48"/>
  <c r="G118" i="48"/>
  <c r="G68" i="48"/>
  <c r="G110" i="48"/>
  <c r="G89" i="48"/>
  <c r="G119" i="48"/>
  <c r="G98" i="48"/>
  <c r="G77" i="48"/>
  <c r="G103" i="48"/>
  <c r="G82" i="48"/>
  <c r="G124" i="48"/>
  <c r="G3" i="43"/>
  <c r="G105" i="48"/>
  <c r="G126" i="48"/>
  <c r="G84" i="48"/>
  <c r="Y29" i="48"/>
  <c r="H73" i="47"/>
  <c r="H29" i="47"/>
  <c r="G208" i="43"/>
  <c r="G39" i="43"/>
  <c r="G114" i="43"/>
  <c r="G102" i="44"/>
  <c r="G102" i="43"/>
  <c r="G124" i="43"/>
  <c r="G27" i="43"/>
  <c r="G131" i="43"/>
  <c r="O28" i="43"/>
  <c r="Y31" i="48"/>
  <c r="Y40" i="48"/>
  <c r="Y38" i="48"/>
  <c r="G17" i="43"/>
  <c r="H53" i="48" s="1"/>
  <c r="G99" i="44"/>
  <c r="G99" i="43"/>
  <c r="G103" i="43" s="1"/>
  <c r="H69" i="47"/>
  <c r="H25" i="47"/>
  <c r="Y39" i="48"/>
  <c r="H65" i="47"/>
  <c r="H21" i="47"/>
  <c r="Y33" i="48"/>
  <c r="H19" i="47"/>
  <c r="H63" i="47"/>
  <c r="G100" i="44"/>
  <c r="G100" i="43"/>
  <c r="G153" i="43"/>
  <c r="G150" i="43"/>
  <c r="G107" i="43"/>
  <c r="G187" i="43"/>
  <c r="G67" i="48" l="1"/>
  <c r="G109" i="48"/>
  <c r="G88" i="48"/>
  <c r="G103" i="44"/>
  <c r="G218" i="44" s="1"/>
  <c r="G223" i="44" s="1"/>
  <c r="Y37" i="48"/>
  <c r="Y43" i="48"/>
  <c r="Y36" i="48"/>
  <c r="Y42" i="48"/>
  <c r="Y28" i="48"/>
  <c r="Y41" i="48"/>
  <c r="H106" i="48"/>
  <c r="H127" i="48"/>
  <c r="G61" i="43"/>
  <c r="G64" i="43" s="1"/>
  <c r="H61" i="47"/>
  <c r="H74" i="47" s="1"/>
  <c r="H51" i="47"/>
  <c r="N51" i="47" s="1"/>
  <c r="H17" i="47"/>
  <c r="H30" i="47" s="1"/>
  <c r="G74" i="43"/>
  <c r="G80" i="43" s="1"/>
  <c r="Y44" i="48"/>
  <c r="G36" i="43"/>
  <c r="G63" i="43" s="1"/>
  <c r="O18" i="43"/>
  <c r="G167" i="43"/>
  <c r="G135" i="43"/>
  <c r="G140" i="43"/>
  <c r="G148" i="43"/>
  <c r="G157" i="43"/>
  <c r="R219" i="42"/>
  <c r="Q219" i="42"/>
  <c r="G161" i="43"/>
  <c r="G147" i="43"/>
  <c r="G183" i="43"/>
  <c r="G136" i="43"/>
  <c r="G166" i="43"/>
  <c r="G164" i="43"/>
  <c r="G182" i="43"/>
  <c r="Z219" i="42"/>
  <c r="G149" i="43"/>
  <c r="B219" i="42"/>
  <c r="G84" i="43"/>
  <c r="G168" i="43"/>
  <c r="D219" i="42"/>
  <c r="N30" i="47" l="1"/>
  <c r="G115" i="43"/>
  <c r="G212" i="43"/>
  <c r="G65" i="43"/>
  <c r="N74" i="47"/>
  <c r="Y27" i="48"/>
  <c r="Y45" i="48" s="1"/>
  <c r="AG45" i="48" s="1"/>
  <c r="H85" i="48"/>
  <c r="H129" i="48" s="1"/>
  <c r="H131" i="48" s="1"/>
  <c r="H132" i="48" s="1"/>
  <c r="G93" i="43"/>
  <c r="G195" i="43"/>
  <c r="O195" i="43" s="1"/>
  <c r="M219" i="42"/>
  <c r="G134" i="43"/>
  <c r="G160" i="43"/>
  <c r="P219" i="42"/>
  <c r="N219" i="42"/>
  <c r="AA219" i="42"/>
  <c r="G219" i="42"/>
  <c r="L219" i="42"/>
  <c r="F219" i="42"/>
  <c r="H219" i="42"/>
  <c r="W219" i="42"/>
  <c r="C219" i="42"/>
  <c r="AB219" i="42"/>
  <c r="D21" i="38"/>
  <c r="E21" i="38"/>
  <c r="C21" i="38"/>
  <c r="AC221" i="41"/>
  <c r="AB221" i="41"/>
  <c r="AA221" i="41"/>
  <c r="Z221" i="41"/>
  <c r="Y221" i="41"/>
  <c r="X221" i="41"/>
  <c r="W221" i="41"/>
  <c r="V221" i="41"/>
  <c r="S221" i="41"/>
  <c r="R221" i="41"/>
  <c r="Q221" i="41"/>
  <c r="P221" i="41"/>
  <c r="O221" i="41"/>
  <c r="N221" i="41"/>
  <c r="M221" i="41"/>
  <c r="L221" i="41"/>
  <c r="I221" i="41"/>
  <c r="H221" i="41"/>
  <c r="G221" i="41"/>
  <c r="F221" i="41"/>
  <c r="E221" i="41"/>
  <c r="D221" i="41"/>
  <c r="C221" i="41"/>
  <c r="B221" i="41"/>
  <c r="A221" i="41"/>
  <c r="F188" i="43"/>
  <c r="F175" i="43"/>
  <c r="O219" i="41"/>
  <c r="E219" i="41"/>
  <c r="F137" i="43"/>
  <c r="F127" i="43"/>
  <c r="F58" i="43"/>
  <c r="F55" i="43"/>
  <c r="F52" i="43"/>
  <c r="F44" i="43"/>
  <c r="F16" i="43"/>
  <c r="F50" i="47" s="1"/>
  <c r="F15" i="43"/>
  <c r="F49" i="47" s="1"/>
  <c r="F14" i="43"/>
  <c r="F48" i="47" s="1"/>
  <c r="F13" i="43"/>
  <c r="F47" i="47" s="1"/>
  <c r="F12" i="43"/>
  <c r="F46" i="47" s="1"/>
  <c r="F11" i="43"/>
  <c r="F45" i="47" s="1"/>
  <c r="F10" i="43"/>
  <c r="F44" i="47" s="1"/>
  <c r="F8" i="43"/>
  <c r="F42" i="47" s="1"/>
  <c r="F7" i="43"/>
  <c r="F41" i="47" s="1"/>
  <c r="F6" i="43"/>
  <c r="F40" i="47" s="1"/>
  <c r="AC2" i="41"/>
  <c r="F2" i="43" s="1"/>
  <c r="O2" i="43" s="1"/>
  <c r="D46" i="39"/>
  <c r="D39" i="39"/>
  <c r="D30" i="39"/>
  <c r="D53" i="39"/>
  <c r="C22" i="39"/>
  <c r="D22" i="39"/>
  <c r="B22" i="39"/>
  <c r="D21" i="39"/>
  <c r="E8" i="43"/>
  <c r="E42" i="47" s="1"/>
  <c r="S221" i="40"/>
  <c r="R221" i="40"/>
  <c r="Q221" i="40"/>
  <c r="P221" i="40"/>
  <c r="O221" i="40"/>
  <c r="N221" i="40"/>
  <c r="M221" i="40"/>
  <c r="L221" i="40"/>
  <c r="O219" i="40"/>
  <c r="E12" i="43"/>
  <c r="E46" i="47" s="1"/>
  <c r="AC221" i="40"/>
  <c r="AB221" i="40"/>
  <c r="AA221" i="40"/>
  <c r="Z221" i="40"/>
  <c r="Y221" i="40"/>
  <c r="X221" i="40"/>
  <c r="W221" i="40"/>
  <c r="V221" i="40"/>
  <c r="I221" i="40"/>
  <c r="H221" i="40"/>
  <c r="G221" i="40"/>
  <c r="F221" i="40"/>
  <c r="E221" i="40"/>
  <c r="D221" i="40"/>
  <c r="C221" i="40"/>
  <c r="B221" i="40"/>
  <c r="A221" i="40"/>
  <c r="E215" i="43"/>
  <c r="E204" i="43"/>
  <c r="E190" i="43"/>
  <c r="E174" i="43"/>
  <c r="E139" i="43"/>
  <c r="E138" i="43"/>
  <c r="E116" i="43"/>
  <c r="E87" i="43"/>
  <c r="E60" i="43"/>
  <c r="E59" i="43"/>
  <c r="E53" i="43"/>
  <c r="E51" i="43"/>
  <c r="E50" i="43"/>
  <c r="E43" i="43"/>
  <c r="E35" i="43"/>
  <c r="E29" i="43"/>
  <c r="E16" i="43"/>
  <c r="E50" i="47" s="1"/>
  <c r="E15" i="43"/>
  <c r="E49" i="47" s="1"/>
  <c r="E14" i="43"/>
  <c r="E48" i="47" s="1"/>
  <c r="E13" i="43"/>
  <c r="E47" i="47" s="1"/>
  <c r="E11" i="43"/>
  <c r="E45" i="47" s="1"/>
  <c r="E10" i="43"/>
  <c r="E44" i="47" s="1"/>
  <c r="E9" i="43"/>
  <c r="E43" i="47" s="1"/>
  <c r="E7" i="43"/>
  <c r="E41" i="47" s="1"/>
  <c r="E6" i="43"/>
  <c r="E40" i="47" s="1"/>
  <c r="E5" i="43"/>
  <c r="E39" i="47" s="1"/>
  <c r="AC2" i="40"/>
  <c r="E2" i="43" s="1"/>
  <c r="N2" i="43" s="1"/>
  <c r="C16" i="39"/>
  <c r="B16" i="39"/>
  <c r="D45" i="39"/>
  <c r="D38" i="39"/>
  <c r="D29" i="39"/>
  <c r="D20" i="39"/>
  <c r="D15" i="39"/>
  <c r="D18" i="38"/>
  <c r="E18" i="38"/>
  <c r="F18" i="38"/>
  <c r="C18" i="38"/>
  <c r="D37" i="39"/>
  <c r="D28" i="39"/>
  <c r="D19" i="39"/>
  <c r="D14" i="39"/>
  <c r="D16" i="39" s="1"/>
  <c r="D11" i="39"/>
  <c r="F21" i="43" l="1"/>
  <c r="F88" i="43"/>
  <c r="F126" i="43"/>
  <c r="F174" i="43"/>
  <c r="F177" i="43"/>
  <c r="F28" i="43"/>
  <c r="F119" i="48" s="1"/>
  <c r="F31" i="43"/>
  <c r="F86" i="43"/>
  <c r="F22" i="43"/>
  <c r="F194" i="43"/>
  <c r="F56" i="43"/>
  <c r="F59" i="43"/>
  <c r="F185" i="43"/>
  <c r="F29" i="43"/>
  <c r="F200" i="43"/>
  <c r="F23" i="43"/>
  <c r="F125" i="43"/>
  <c r="F176" i="43"/>
  <c r="F39" i="43"/>
  <c r="F109" i="48" s="1"/>
  <c r="F57" i="43"/>
  <c r="F60" i="43"/>
  <c r="F186" i="43"/>
  <c r="F79" i="48"/>
  <c r="F100" i="48"/>
  <c r="F121" i="48"/>
  <c r="F98" i="48"/>
  <c r="F145" i="43"/>
  <c r="E92" i="48"/>
  <c r="E71" i="48"/>
  <c r="E113" i="48"/>
  <c r="E104" i="48"/>
  <c r="E125" i="48"/>
  <c r="E83" i="48"/>
  <c r="E105" i="48"/>
  <c r="E118" i="48"/>
  <c r="G121" i="43"/>
  <c r="G132" i="43" s="1"/>
  <c r="G68" i="43" s="1"/>
  <c r="G178" i="43"/>
  <c r="G144" i="43"/>
  <c r="G170" i="43"/>
  <c r="G83" i="43"/>
  <c r="G90" i="43" s="1"/>
  <c r="G97" i="43" s="1"/>
  <c r="G226" i="43"/>
  <c r="G230" i="43" s="1"/>
  <c r="X37" i="48"/>
  <c r="G71" i="47"/>
  <c r="G27" i="47"/>
  <c r="G63" i="47"/>
  <c r="G19" i="47"/>
  <c r="G28" i="47"/>
  <c r="G72" i="47"/>
  <c r="F30" i="43"/>
  <c r="F97" i="48" s="1"/>
  <c r="F34" i="43"/>
  <c r="F41" i="43"/>
  <c r="F43" i="43"/>
  <c r="F108" i="43"/>
  <c r="F110" i="43"/>
  <c r="F112" i="43"/>
  <c r="F138" i="43"/>
  <c r="F184" i="43"/>
  <c r="G64" i="47"/>
  <c r="G20" i="47"/>
  <c r="G25" i="47"/>
  <c r="G69" i="47"/>
  <c r="G73" i="47"/>
  <c r="G29" i="47"/>
  <c r="F33" i="43"/>
  <c r="F45" i="43"/>
  <c r="F111" i="48" s="1"/>
  <c r="F47" i="43"/>
  <c r="F48" i="43"/>
  <c r="F50" i="43"/>
  <c r="F51" i="43"/>
  <c r="F54" i="43"/>
  <c r="F78" i="43"/>
  <c r="F94" i="43"/>
  <c r="F95" i="43"/>
  <c r="F123" i="43"/>
  <c r="F146" i="43"/>
  <c r="F165" i="43"/>
  <c r="F193" i="43"/>
  <c r="F199" i="43"/>
  <c r="F204" i="43"/>
  <c r="F205" i="43"/>
  <c r="F206" i="43"/>
  <c r="G23" i="47"/>
  <c r="G67" i="47"/>
  <c r="G24" i="47"/>
  <c r="G68" i="47"/>
  <c r="F32" i="43"/>
  <c r="F35" i="43"/>
  <c r="F40" i="43"/>
  <c r="F42" i="43"/>
  <c r="F46" i="43"/>
  <c r="F85" i="43"/>
  <c r="F109" i="43"/>
  <c r="F111" i="43"/>
  <c r="G21" i="47"/>
  <c r="G65" i="47"/>
  <c r="G70" i="47"/>
  <c r="G26" i="47"/>
  <c r="F24" i="43"/>
  <c r="F27" i="43"/>
  <c r="N18" i="43" s="1"/>
  <c r="F49" i="43"/>
  <c r="F53" i="43"/>
  <c r="F92" i="43"/>
  <c r="F158" i="43"/>
  <c r="F159" i="43"/>
  <c r="F162" i="43"/>
  <c r="F169" i="43"/>
  <c r="F173" i="43"/>
  <c r="F179" i="43"/>
  <c r="F180" i="43"/>
  <c r="F181" i="43"/>
  <c r="F189" i="43"/>
  <c r="F190" i="43"/>
  <c r="F201" i="43"/>
  <c r="F202" i="43"/>
  <c r="F213" i="43"/>
  <c r="F227" i="43" s="1"/>
  <c r="F214" i="43"/>
  <c r="F228" i="43" s="1"/>
  <c r="F215" i="43"/>
  <c r="F72" i="47"/>
  <c r="F28" i="47"/>
  <c r="F67" i="47"/>
  <c r="F23" i="47"/>
  <c r="E22" i="43"/>
  <c r="E52" i="43"/>
  <c r="E126" i="48" s="1"/>
  <c r="E175" i="43"/>
  <c r="E188" i="43"/>
  <c r="E213" i="43"/>
  <c r="E227" i="43" s="1"/>
  <c r="E109" i="43"/>
  <c r="F71" i="47"/>
  <c r="F27" i="47"/>
  <c r="F21" i="47"/>
  <c r="F65" i="47"/>
  <c r="F63" i="47"/>
  <c r="F19" i="47"/>
  <c r="F68" i="47"/>
  <c r="F24" i="47"/>
  <c r="E33" i="43"/>
  <c r="E152" i="43"/>
  <c r="E159" i="43"/>
  <c r="E191" i="43"/>
  <c r="E192" i="43"/>
  <c r="E194" i="43"/>
  <c r="F69" i="47"/>
  <c r="F25" i="47"/>
  <c r="F64" i="47"/>
  <c r="F20" i="47"/>
  <c r="F26" i="47"/>
  <c r="F70" i="47"/>
  <c r="F29" i="47"/>
  <c r="F73" i="47"/>
  <c r="E41" i="43"/>
  <c r="E58" i="43"/>
  <c r="E78" i="43"/>
  <c r="E94" i="43"/>
  <c r="E95" i="43"/>
  <c r="E112" i="43"/>
  <c r="E124" i="43"/>
  <c r="E127" i="43"/>
  <c r="E158" i="43"/>
  <c r="E181" i="43"/>
  <c r="X219" i="42"/>
  <c r="V219" i="42"/>
  <c r="F76" i="43"/>
  <c r="F77" i="43"/>
  <c r="F79" i="43"/>
  <c r="F20" i="43"/>
  <c r="F151" i="43"/>
  <c r="F9" i="43"/>
  <c r="F43" i="47" s="1"/>
  <c r="F22" i="47" s="1"/>
  <c r="F203" i="43"/>
  <c r="F150" i="43"/>
  <c r="F82" i="43"/>
  <c r="F107" i="43"/>
  <c r="F113" i="43"/>
  <c r="F119" i="43"/>
  <c r="F128" i="43"/>
  <c r="F129" i="43"/>
  <c r="F156" i="43"/>
  <c r="F192" i="43"/>
  <c r="F5" i="43"/>
  <c r="F39" i="47" s="1"/>
  <c r="F75" i="43"/>
  <c r="F163" i="43"/>
  <c r="F191" i="43"/>
  <c r="F87" i="43"/>
  <c r="F207" i="43"/>
  <c r="F116" i="43"/>
  <c r="F117" i="43"/>
  <c r="F118" i="43"/>
  <c r="F152" i="43"/>
  <c r="F139" i="43"/>
  <c r="F198" i="43"/>
  <c r="F130" i="43"/>
  <c r="E146" i="43"/>
  <c r="E118" i="43"/>
  <c r="E24" i="43"/>
  <c r="E47" i="43"/>
  <c r="E125" i="43"/>
  <c r="E202" i="43"/>
  <c r="E32" i="43"/>
  <c r="E44" i="43"/>
  <c r="E55" i="43"/>
  <c r="E75" i="43"/>
  <c r="E92" i="43"/>
  <c r="E77" i="43"/>
  <c r="E186" i="43"/>
  <c r="E21" i="43"/>
  <c r="E31" i="43"/>
  <c r="E86" i="43"/>
  <c r="E23" i="43"/>
  <c r="E28" i="43"/>
  <c r="E40" i="43"/>
  <c r="E49" i="43"/>
  <c r="E54" i="43"/>
  <c r="E119" i="43"/>
  <c r="E169" i="43"/>
  <c r="E200" i="43"/>
  <c r="E20" i="43"/>
  <c r="E34" i="43"/>
  <c r="E57" i="43"/>
  <c r="E76" i="43"/>
  <c r="E88" i="43"/>
  <c r="E176" i="43"/>
  <c r="E193" i="43"/>
  <c r="E30" i="43"/>
  <c r="E76" i="48" s="1"/>
  <c r="E42" i="43"/>
  <c r="E45" i="43"/>
  <c r="E46" i="43"/>
  <c r="E48" i="43"/>
  <c r="E56" i="43"/>
  <c r="E79" i="43"/>
  <c r="E85" i="43"/>
  <c r="E128" i="43"/>
  <c r="E165" i="43"/>
  <c r="E189" i="43"/>
  <c r="E205" i="43"/>
  <c r="E123" i="43"/>
  <c r="E145" i="43"/>
  <c r="E219" i="40"/>
  <c r="E199" i="43"/>
  <c r="E207" i="43"/>
  <c r="E173" i="43"/>
  <c r="E185" i="43"/>
  <c r="E110" i="43"/>
  <c r="E111" i="43"/>
  <c r="E126" i="43"/>
  <c r="E129" i="43"/>
  <c r="E163" i="43"/>
  <c r="E198" i="43"/>
  <c r="E203" i="43"/>
  <c r="E39" i="43"/>
  <c r="E82" i="43"/>
  <c r="E120" i="43"/>
  <c r="E177" i="43"/>
  <c r="E184" i="43"/>
  <c r="E214" i="43"/>
  <c r="E228" i="43" s="1"/>
  <c r="E162" i="43"/>
  <c r="E180" i="43"/>
  <c r="E201" i="43"/>
  <c r="E206" i="43"/>
  <c r="E108" i="43"/>
  <c r="E113" i="43"/>
  <c r="E117" i="43"/>
  <c r="E137" i="43"/>
  <c r="E151" i="43"/>
  <c r="E179" i="43"/>
  <c r="M28" i="43" l="1"/>
  <c r="F77" i="48"/>
  <c r="F76" i="48"/>
  <c r="F67" i="48"/>
  <c r="F88" i="48"/>
  <c r="N30" i="43"/>
  <c r="F118" i="48"/>
  <c r="F73" i="48"/>
  <c r="F94" i="48"/>
  <c r="F115" i="48"/>
  <c r="F120" i="48"/>
  <c r="F99" i="48"/>
  <c r="F78" i="48"/>
  <c r="F122" i="48"/>
  <c r="F80" i="48"/>
  <c r="F101" i="48"/>
  <c r="F105" i="48"/>
  <c r="F84" i="48"/>
  <c r="F126" i="48"/>
  <c r="Y219" i="41"/>
  <c r="F125" i="48"/>
  <c r="F83" i="48"/>
  <c r="F104" i="48"/>
  <c r="F110" i="48"/>
  <c r="F89" i="48"/>
  <c r="F68" i="48"/>
  <c r="F124" i="48"/>
  <c r="F103" i="48"/>
  <c r="F82" i="48"/>
  <c r="F66" i="47"/>
  <c r="F81" i="48"/>
  <c r="F123" i="48"/>
  <c r="F102" i="48"/>
  <c r="F90" i="48"/>
  <c r="F69" i="48"/>
  <c r="F71" i="48"/>
  <c r="F113" i="48"/>
  <c r="F92" i="48"/>
  <c r="E120" i="48"/>
  <c r="E78" i="48"/>
  <c r="E99" i="48"/>
  <c r="E97" i="48"/>
  <c r="E77" i="48"/>
  <c r="E98" i="48"/>
  <c r="E119" i="48"/>
  <c r="E102" i="48"/>
  <c r="E81" i="48"/>
  <c r="E123" i="48"/>
  <c r="E84" i="48"/>
  <c r="E121" i="48"/>
  <c r="E79" i="48"/>
  <c r="E100" i="48"/>
  <c r="E124" i="48"/>
  <c r="E82" i="48"/>
  <c r="E103" i="48"/>
  <c r="E73" i="48"/>
  <c r="E94" i="48"/>
  <c r="E115" i="48"/>
  <c r="E88" i="48"/>
  <c r="E67" i="48"/>
  <c r="E109" i="48"/>
  <c r="E90" i="48"/>
  <c r="E111" i="48"/>
  <c r="E69" i="48"/>
  <c r="E122" i="48"/>
  <c r="E101" i="48"/>
  <c r="E80" i="48"/>
  <c r="E89" i="48"/>
  <c r="E110" i="48"/>
  <c r="E68" i="48"/>
  <c r="N29" i="43"/>
  <c r="X29" i="48"/>
  <c r="M29" i="43"/>
  <c r="G133" i="43"/>
  <c r="G141" i="43" s="1"/>
  <c r="G142" i="43" s="1"/>
  <c r="S219" i="42"/>
  <c r="I219" i="42"/>
  <c r="G69" i="43"/>
  <c r="G154" i="43"/>
  <c r="G70" i="43"/>
  <c r="G196" i="43"/>
  <c r="F101" i="44"/>
  <c r="F101" i="43"/>
  <c r="X27" i="48"/>
  <c r="G22" i="47"/>
  <c r="G66" i="47"/>
  <c r="F102" i="44"/>
  <c r="F102" i="43"/>
  <c r="F114" i="43"/>
  <c r="F100" i="43"/>
  <c r="F100" i="44"/>
  <c r="N28" i="43"/>
  <c r="X36" i="48" s="1"/>
  <c r="F36" i="43"/>
  <c r="F63" i="43" s="1"/>
  <c r="F124" i="43"/>
  <c r="F131" i="43" s="1"/>
  <c r="F99" i="44"/>
  <c r="F103" i="44" s="1"/>
  <c r="F218" i="44" s="1"/>
  <c r="F99" i="43"/>
  <c r="F208" i="43"/>
  <c r="X39" i="48"/>
  <c r="F61" i="43"/>
  <c r="F64" i="43" s="1"/>
  <c r="E61" i="43"/>
  <c r="E64" i="43" s="1"/>
  <c r="E27" i="43"/>
  <c r="M18" i="43" s="1"/>
  <c r="E208" i="43"/>
  <c r="E99" i="44"/>
  <c r="E99" i="43"/>
  <c r="E101" i="44"/>
  <c r="E101" i="43"/>
  <c r="M30" i="43"/>
  <c r="F18" i="47"/>
  <c r="F62" i="47"/>
  <c r="E102" i="44"/>
  <c r="E102" i="43"/>
  <c r="E36" i="43"/>
  <c r="E63" i="43" s="1"/>
  <c r="E65" i="43" s="1"/>
  <c r="E100" i="44"/>
  <c r="E100" i="43"/>
  <c r="AC219" i="42"/>
  <c r="F153" i="43"/>
  <c r="F178" i="43"/>
  <c r="F164" i="43"/>
  <c r="F187" i="43"/>
  <c r="F120" i="43"/>
  <c r="F172" i="43"/>
  <c r="F148" i="43"/>
  <c r="F183" i="43"/>
  <c r="V3" i="41"/>
  <c r="AC3" i="41" s="1"/>
  <c r="F147" i="43"/>
  <c r="F140" i="43"/>
  <c r="F166" i="43"/>
  <c r="F84" i="43"/>
  <c r="F149" i="43"/>
  <c r="E107" i="43"/>
  <c r="E147" i="43"/>
  <c r="V3" i="40"/>
  <c r="AC3" i="40" s="1"/>
  <c r="Y219" i="40"/>
  <c r="E156" i="43"/>
  <c r="E84" i="43"/>
  <c r="E149" i="43"/>
  <c r="E172" i="43"/>
  <c r="F103" i="43" l="1"/>
  <c r="G210" i="43"/>
  <c r="G218" i="43" s="1"/>
  <c r="O218" i="43" s="1"/>
  <c r="W31" i="48"/>
  <c r="W43" i="48"/>
  <c r="AD195" i="41"/>
  <c r="E103" i="44"/>
  <c r="E218" i="44" s="1"/>
  <c r="E103" i="43"/>
  <c r="X42" i="48"/>
  <c r="W28" i="48"/>
  <c r="W40" i="48"/>
  <c r="G127" i="48"/>
  <c r="W44" i="48"/>
  <c r="G247" i="43"/>
  <c r="G253" i="43"/>
  <c r="G106" i="48"/>
  <c r="W36" i="48"/>
  <c r="F65" i="43"/>
  <c r="X31" i="48"/>
  <c r="W37" i="48"/>
  <c r="W41" i="48"/>
  <c r="W29" i="48"/>
  <c r="X33" i="48"/>
  <c r="G241" i="43"/>
  <c r="G242" i="43"/>
  <c r="G67" i="43"/>
  <c r="G252" i="43"/>
  <c r="G251" i="43"/>
  <c r="G250" i="43"/>
  <c r="G246" i="43"/>
  <c r="G243" i="43"/>
  <c r="G245" i="43"/>
  <c r="G248" i="43"/>
  <c r="G254" i="43"/>
  <c r="G244" i="43"/>
  <c r="G249" i="43"/>
  <c r="G224" i="43"/>
  <c r="G231" i="43" s="1"/>
  <c r="X43" i="48"/>
  <c r="X38" i="48"/>
  <c r="F135" i="43"/>
  <c r="F4" i="43"/>
  <c r="F38" i="47" s="1"/>
  <c r="F74" i="43"/>
  <c r="F80" i="43" s="1"/>
  <c r="X44" i="48"/>
  <c r="X28" i="48"/>
  <c r="F212" i="43"/>
  <c r="G62" i="47"/>
  <c r="G18" i="47"/>
  <c r="X40" i="48"/>
  <c r="X41" i="48"/>
  <c r="G85" i="48"/>
  <c r="N32" i="43"/>
  <c r="W27" i="48"/>
  <c r="F127" i="48"/>
  <c r="E130" i="43"/>
  <c r="E131" i="43" s="1"/>
  <c r="F106" i="48"/>
  <c r="E4" i="43"/>
  <c r="E38" i="47" s="1"/>
  <c r="W33" i="48"/>
  <c r="F85" i="48"/>
  <c r="W38" i="48"/>
  <c r="W42" i="48"/>
  <c r="E114" i="43"/>
  <c r="W39" i="48"/>
  <c r="M32" i="43"/>
  <c r="F168" i="43"/>
  <c r="F167" i="43"/>
  <c r="F182" i="43"/>
  <c r="N219" i="41"/>
  <c r="F157" i="43"/>
  <c r="F160" i="43"/>
  <c r="AA219" i="41"/>
  <c r="F136" i="43"/>
  <c r="B219" i="41"/>
  <c r="D219" i="41"/>
  <c r="M219" i="41"/>
  <c r="E135" i="43"/>
  <c r="N219" i="40"/>
  <c r="E195" i="43"/>
  <c r="M219" i="40"/>
  <c r="E140" i="43"/>
  <c r="R219" i="40"/>
  <c r="P219" i="40"/>
  <c r="E187" i="43"/>
  <c r="E153" i="43"/>
  <c r="E150" i="43"/>
  <c r="E183" i="43"/>
  <c r="E148" i="43"/>
  <c r="D219" i="40"/>
  <c r="E164" i="43"/>
  <c r="AA219" i="40"/>
  <c r="G236" i="43" l="1"/>
  <c r="G129" i="48"/>
  <c r="G131" i="48" s="1"/>
  <c r="G132" i="48" s="1"/>
  <c r="X45" i="48"/>
  <c r="AF45" i="48" s="1"/>
  <c r="F129" i="48"/>
  <c r="F131" i="48" s="1"/>
  <c r="F132" i="48" s="1"/>
  <c r="G256" i="43"/>
  <c r="F17" i="43"/>
  <c r="G53" i="48" s="1"/>
  <c r="F3" i="43"/>
  <c r="F144" i="43"/>
  <c r="F226" i="43"/>
  <c r="F230" i="43" s="1"/>
  <c r="F195" i="43"/>
  <c r="F83" i="43"/>
  <c r="F90" i="43" s="1"/>
  <c r="F97" i="43" s="1"/>
  <c r="F115" i="43"/>
  <c r="E212" i="43"/>
  <c r="E17" i="43"/>
  <c r="F53" i="48" s="1"/>
  <c r="E3" i="43"/>
  <c r="W45" i="48"/>
  <c r="AE45" i="48" s="1"/>
  <c r="E115" i="43"/>
  <c r="E121" i="43" s="1"/>
  <c r="E132" i="43" s="1"/>
  <c r="E74" i="43"/>
  <c r="E80" i="43" s="1"/>
  <c r="M195" i="43"/>
  <c r="L219" i="41"/>
  <c r="F134" i="43"/>
  <c r="R219" i="41"/>
  <c r="G219" i="41"/>
  <c r="P219" i="41"/>
  <c r="H219" i="41"/>
  <c r="AB219" i="41"/>
  <c r="Q219" i="41"/>
  <c r="F219" i="41"/>
  <c r="C219" i="41"/>
  <c r="W219" i="41"/>
  <c r="X219" i="41"/>
  <c r="E168" i="43"/>
  <c r="E136" i="43"/>
  <c r="E166" i="43"/>
  <c r="Q219" i="40"/>
  <c r="E167" i="43"/>
  <c r="AB219" i="40"/>
  <c r="E161" i="43"/>
  <c r="E178" i="43"/>
  <c r="E157" i="43"/>
  <c r="M157" i="43" s="1"/>
  <c r="E134" i="43"/>
  <c r="B219" i="40"/>
  <c r="E160" i="43"/>
  <c r="E182" i="43"/>
  <c r="G219" i="40"/>
  <c r="F219" i="40"/>
  <c r="C219" i="40"/>
  <c r="H219" i="40"/>
  <c r="Z219" i="40"/>
  <c r="N157" i="43" l="1"/>
  <c r="F70" i="43"/>
  <c r="F161" i="43"/>
  <c r="F93" i="43"/>
  <c r="N195" i="43"/>
  <c r="F196" i="43"/>
  <c r="F121" i="43"/>
  <c r="F132" i="43" s="1"/>
  <c r="F154" i="43"/>
  <c r="G17" i="47"/>
  <c r="G30" i="47" s="1"/>
  <c r="G51" i="47"/>
  <c r="M51" i="47" s="1"/>
  <c r="G61" i="47"/>
  <c r="G74" i="47" s="1"/>
  <c r="E68" i="43"/>
  <c r="E69" i="43"/>
  <c r="E93" i="43"/>
  <c r="E83" i="43"/>
  <c r="E90" i="43" s="1"/>
  <c r="E97" i="43" s="1"/>
  <c r="E144" i="43"/>
  <c r="E196" i="43"/>
  <c r="E226" i="43"/>
  <c r="E230" i="43" s="1"/>
  <c r="E170" i="43"/>
  <c r="F17" i="47"/>
  <c r="F30" i="47" s="1"/>
  <c r="F51" i="47"/>
  <c r="L51" i="47" s="1"/>
  <c r="F61" i="47"/>
  <c r="F74" i="47" s="1"/>
  <c r="V219" i="41"/>
  <c r="Z219" i="41"/>
  <c r="X219" i="40"/>
  <c r="L219" i="40"/>
  <c r="W219" i="40"/>
  <c r="V219" i="40"/>
  <c r="M30" i="47" l="1"/>
  <c r="L74" i="47"/>
  <c r="M74" i="47"/>
  <c r="F69" i="43"/>
  <c r="AC219" i="41"/>
  <c r="F133" i="43"/>
  <c r="F141" i="43" s="1"/>
  <c r="F68" i="43"/>
  <c r="F170" i="43"/>
  <c r="E70" i="43"/>
  <c r="E154" i="43"/>
  <c r="E133" i="43"/>
  <c r="L30" i="47"/>
  <c r="AC219" i="40"/>
  <c r="S219" i="41" l="1"/>
  <c r="F223" i="45"/>
  <c r="N134" i="43"/>
  <c r="I219" i="41"/>
  <c r="F223" i="44"/>
  <c r="F142" i="43"/>
  <c r="S219" i="40"/>
  <c r="E223" i="45"/>
  <c r="E141" i="43"/>
  <c r="M134" i="43"/>
  <c r="I219" i="40"/>
  <c r="E223" i="44"/>
  <c r="F12" i="38"/>
  <c r="F15" i="38"/>
  <c r="F4" i="38"/>
  <c r="F14" i="38"/>
  <c r="F13" i="38"/>
  <c r="F11" i="38"/>
  <c r="F10" i="38"/>
  <c r="F9" i="38"/>
  <c r="F8" i="38"/>
  <c r="F7" i="38"/>
  <c r="F6" i="38"/>
  <c r="F5" i="38"/>
  <c r="E12" i="38"/>
  <c r="E4" i="38"/>
  <c r="E3" i="38"/>
  <c r="F3" i="38"/>
  <c r="E15" i="38"/>
  <c r="E14" i="38"/>
  <c r="E13" i="38"/>
  <c r="E11" i="38"/>
  <c r="E10" i="38"/>
  <c r="E9" i="38"/>
  <c r="E8" i="38"/>
  <c r="E7" i="38"/>
  <c r="E6" i="38"/>
  <c r="E5" i="38"/>
  <c r="D14" i="38"/>
  <c r="D13" i="38"/>
  <c r="D12" i="38"/>
  <c r="D11" i="38"/>
  <c r="D10" i="38"/>
  <c r="D8" i="38"/>
  <c r="D9" i="38"/>
  <c r="D7" i="38"/>
  <c r="D6" i="38"/>
  <c r="D5" i="38"/>
  <c r="D4" i="38"/>
  <c r="D3" i="38"/>
  <c r="C11" i="38"/>
  <c r="C10" i="38"/>
  <c r="C9" i="38"/>
  <c r="C7" i="38"/>
  <c r="C8" i="38"/>
  <c r="C6" i="38"/>
  <c r="B6" i="38"/>
  <c r="B10" i="38"/>
  <c r="B9" i="38"/>
  <c r="B8" i="38"/>
  <c r="B7" i="38"/>
  <c r="B5" i="38"/>
  <c r="B4" i="38"/>
  <c r="C12" i="38"/>
  <c r="B12" i="38"/>
  <c r="H16" i="38"/>
  <c r="C5" i="38"/>
  <c r="C4" i="38"/>
  <c r="C3" i="38"/>
  <c r="B3" i="38"/>
  <c r="V10" i="36"/>
  <c r="AC10" i="36" s="1"/>
  <c r="D10" i="43" s="1"/>
  <c r="D44" i="47" s="1"/>
  <c r="AC221" i="36"/>
  <c r="AB221" i="36"/>
  <c r="AA221" i="36"/>
  <c r="Z221" i="36"/>
  <c r="Y221" i="36"/>
  <c r="X221" i="36"/>
  <c r="W221" i="36"/>
  <c r="V221" i="36"/>
  <c r="S221" i="36"/>
  <c r="R221" i="36"/>
  <c r="Q221" i="36"/>
  <c r="P221" i="36"/>
  <c r="O221" i="36"/>
  <c r="N221" i="36"/>
  <c r="M221" i="36"/>
  <c r="L221" i="36"/>
  <c r="I221" i="36"/>
  <c r="H221" i="36"/>
  <c r="G221" i="36"/>
  <c r="F221" i="36"/>
  <c r="E221" i="36"/>
  <c r="D221" i="36"/>
  <c r="C221" i="36"/>
  <c r="B221" i="36"/>
  <c r="A221" i="36"/>
  <c r="Y217" i="36"/>
  <c r="X217" i="36"/>
  <c r="W217" i="36"/>
  <c r="V217" i="36"/>
  <c r="D202" i="43"/>
  <c r="D192" i="43"/>
  <c r="E218" i="36"/>
  <c r="E219" i="36" s="1"/>
  <c r="D129" i="43"/>
  <c r="D128" i="43"/>
  <c r="D78" i="43"/>
  <c r="D35" i="43"/>
  <c r="D29" i="43"/>
  <c r="AC19" i="36"/>
  <c r="AB19" i="36"/>
  <c r="AA19" i="36"/>
  <c r="Z19" i="36"/>
  <c r="Y19" i="36"/>
  <c r="X19" i="36"/>
  <c r="W19" i="36"/>
  <c r="V19" i="36"/>
  <c r="AB17" i="36"/>
  <c r="AA17" i="36"/>
  <c r="Z17" i="36"/>
  <c r="X17" i="36"/>
  <c r="W17" i="36"/>
  <c r="V16" i="36"/>
  <c r="AC16" i="36" s="1"/>
  <c r="D16" i="43" s="1"/>
  <c r="D50" i="47" s="1"/>
  <c r="V15" i="36"/>
  <c r="AC15" i="36" s="1"/>
  <c r="D15" i="43" s="1"/>
  <c r="D49" i="47" s="1"/>
  <c r="V14" i="36"/>
  <c r="AC14" i="36" s="1"/>
  <c r="D14" i="43" s="1"/>
  <c r="D48" i="47" s="1"/>
  <c r="V13" i="36"/>
  <c r="AC13" i="36" s="1"/>
  <c r="D13" i="43" s="1"/>
  <c r="D47" i="47" s="1"/>
  <c r="V12" i="36"/>
  <c r="AC12" i="36" s="1"/>
  <c r="D12" i="43" s="1"/>
  <c r="D46" i="47" s="1"/>
  <c r="V11" i="36"/>
  <c r="AC11" i="36" s="1"/>
  <c r="D11" i="43" s="1"/>
  <c r="D45" i="47" s="1"/>
  <c r="V9" i="36"/>
  <c r="AC9" i="36" s="1"/>
  <c r="D9" i="43" s="1"/>
  <c r="D43" i="47" s="1"/>
  <c r="V8" i="36"/>
  <c r="AC8" i="36" s="1"/>
  <c r="D8" i="43" s="1"/>
  <c r="D42" i="47" s="1"/>
  <c r="V7" i="36"/>
  <c r="AC7" i="36" s="1"/>
  <c r="D7" i="43" s="1"/>
  <c r="D41" i="47" s="1"/>
  <c r="V6" i="36"/>
  <c r="AC6" i="36" s="1"/>
  <c r="D6" i="43" s="1"/>
  <c r="D40" i="47" s="1"/>
  <c r="V5" i="36"/>
  <c r="AC5" i="36" s="1"/>
  <c r="D5" i="43" s="1"/>
  <c r="D39" i="47" s="1"/>
  <c r="V4" i="36"/>
  <c r="AC2" i="36"/>
  <c r="D2" i="43" s="1"/>
  <c r="C227" i="43"/>
  <c r="C228" i="43"/>
  <c r="F210" i="43" l="1"/>
  <c r="F67" i="43" s="1"/>
  <c r="E142" i="43"/>
  <c r="E210" i="43" s="1"/>
  <c r="M2" i="43"/>
  <c r="L2" i="43"/>
  <c r="D138" i="43"/>
  <c r="D145" i="43"/>
  <c r="D174" i="43"/>
  <c r="D200" i="43"/>
  <c r="D213" i="43"/>
  <c r="D227" i="43" s="1"/>
  <c r="D215" i="43"/>
  <c r="D22" i="43"/>
  <c r="D214" i="43"/>
  <c r="D228" i="43" s="1"/>
  <c r="D34" i="43"/>
  <c r="D42" i="43"/>
  <c r="D43" i="43"/>
  <c r="D45" i="43"/>
  <c r="D51" i="43"/>
  <c r="D52" i="43"/>
  <c r="D56" i="43"/>
  <c r="D59" i="43"/>
  <c r="D94" i="43"/>
  <c r="D99" i="43"/>
  <c r="D102" i="44"/>
  <c r="D113" i="43"/>
  <c r="D159" i="43"/>
  <c r="D169" i="43"/>
  <c r="D99" i="44"/>
  <c r="E69" i="47"/>
  <c r="E25" i="47"/>
  <c r="E66" i="47"/>
  <c r="E22" i="47"/>
  <c r="D30" i="43"/>
  <c r="D39" i="43"/>
  <c r="D125" i="43"/>
  <c r="D137" i="43"/>
  <c r="Y218" i="36"/>
  <c r="Y219" i="36" s="1"/>
  <c r="D175" i="43"/>
  <c r="D180" i="43"/>
  <c r="E18" i="47"/>
  <c r="E62" i="47"/>
  <c r="E65" i="47"/>
  <c r="E21" i="47"/>
  <c r="E27" i="47"/>
  <c r="E71" i="47"/>
  <c r="E29" i="47"/>
  <c r="E73" i="47"/>
  <c r="D23" i="43"/>
  <c r="D31" i="43"/>
  <c r="D33" i="43"/>
  <c r="D40" i="43"/>
  <c r="D47" i="43"/>
  <c r="D49" i="43"/>
  <c r="D58" i="43"/>
  <c r="D88" i="43"/>
  <c r="D92" i="43"/>
  <c r="D116" i="43"/>
  <c r="D123" i="43"/>
  <c r="D139" i="43"/>
  <c r="D163" i="43"/>
  <c r="D165" i="43"/>
  <c r="D190" i="43"/>
  <c r="D201" i="43"/>
  <c r="D110" i="43"/>
  <c r="E20" i="47"/>
  <c r="E64" i="47"/>
  <c r="E28" i="47"/>
  <c r="E72" i="47"/>
  <c r="E67" i="47"/>
  <c r="E23" i="47"/>
  <c r="D24" i="43"/>
  <c r="D41" i="43"/>
  <c r="D53" i="43"/>
  <c r="D60" i="43"/>
  <c r="D86" i="43"/>
  <c r="D95" i="43"/>
  <c r="D127" i="43"/>
  <c r="D152" i="43"/>
  <c r="D158" i="43"/>
  <c r="D162" i="43"/>
  <c r="D173" i="43"/>
  <c r="D177" i="43"/>
  <c r="D186" i="43"/>
  <c r="D193" i="43"/>
  <c r="AC217" i="36"/>
  <c r="E19" i="47"/>
  <c r="E63" i="47"/>
  <c r="E68" i="47"/>
  <c r="E24" i="47"/>
  <c r="E26" i="47"/>
  <c r="E70" i="47"/>
  <c r="D28" i="43"/>
  <c r="D44" i="43"/>
  <c r="D48" i="43"/>
  <c r="D54" i="43"/>
  <c r="D55" i="43"/>
  <c r="D57" i="43"/>
  <c r="D76" i="43"/>
  <c r="D85" i="43"/>
  <c r="D87" i="43"/>
  <c r="D111" i="43"/>
  <c r="D126" i="43"/>
  <c r="D146" i="43"/>
  <c r="D181" i="43"/>
  <c r="D185" i="43"/>
  <c r="D189" i="43"/>
  <c r="D191" i="43"/>
  <c r="D199" i="43"/>
  <c r="D205" i="43"/>
  <c r="D112" i="43"/>
  <c r="D29" i="47"/>
  <c r="D73" i="47"/>
  <c r="D21" i="47"/>
  <c r="D65" i="47"/>
  <c r="D70" i="47"/>
  <c r="D26" i="47"/>
  <c r="D62" i="47"/>
  <c r="D18" i="47"/>
  <c r="D27" i="47"/>
  <c r="D71" i="47"/>
  <c r="C208" i="43"/>
  <c r="D66" i="47"/>
  <c r="D22" i="47"/>
  <c r="D28" i="47"/>
  <c r="D72" i="47"/>
  <c r="D67" i="47"/>
  <c r="D23" i="47"/>
  <c r="D19" i="47"/>
  <c r="D63" i="47"/>
  <c r="D24" i="47"/>
  <c r="D68" i="47"/>
  <c r="C61" i="43"/>
  <c r="C64" i="43" s="1"/>
  <c r="D21" i="43"/>
  <c r="D46" i="43"/>
  <c r="D119" i="43"/>
  <c r="F16" i="38"/>
  <c r="E16" i="38"/>
  <c r="D16" i="38"/>
  <c r="B16" i="38"/>
  <c r="C16" i="38"/>
  <c r="D204" i="43"/>
  <c r="D120" i="43"/>
  <c r="D108" i="43"/>
  <c r="D77" i="43"/>
  <c r="V17" i="36"/>
  <c r="D79" i="43"/>
  <c r="AC4" i="36"/>
  <c r="D75" i="43"/>
  <c r="O218" i="36"/>
  <c r="O219" i="36" s="1"/>
  <c r="V3" i="36"/>
  <c r="AC3" i="36" s="1"/>
  <c r="D32" i="43"/>
  <c r="D156" i="43"/>
  <c r="D176" i="43"/>
  <c r="D194" i="43"/>
  <c r="D203" i="43"/>
  <c r="D207" i="43"/>
  <c r="D117" i="43"/>
  <c r="D179" i="43"/>
  <c r="D124" i="43"/>
  <c r="D188" i="43"/>
  <c r="D198" i="43"/>
  <c r="D206" i="43"/>
  <c r="D109" i="43"/>
  <c r="D184" i="43"/>
  <c r="D107" i="43"/>
  <c r="D118" i="48" l="1"/>
  <c r="D111" i="48"/>
  <c r="D90" i="48"/>
  <c r="D69" i="48"/>
  <c r="D98" i="48"/>
  <c r="D77" i="48"/>
  <c r="D119" i="48"/>
  <c r="D102" i="48"/>
  <c r="D123" i="48"/>
  <c r="D81" i="48"/>
  <c r="U41" i="48" s="1"/>
  <c r="D103" i="44"/>
  <c r="D218" i="44" s="1"/>
  <c r="D92" i="48"/>
  <c r="U31" i="48" s="1"/>
  <c r="D71" i="48"/>
  <c r="D113" i="48"/>
  <c r="D89" i="48"/>
  <c r="D68" i="48"/>
  <c r="D110" i="48"/>
  <c r="D80" i="48"/>
  <c r="D101" i="48"/>
  <c r="D122" i="48"/>
  <c r="L28" i="43"/>
  <c r="D126" i="48"/>
  <c r="D84" i="48"/>
  <c r="D105" i="48"/>
  <c r="D99" i="48"/>
  <c r="D78" i="48"/>
  <c r="D120" i="48"/>
  <c r="D97" i="48"/>
  <c r="D94" i="48"/>
  <c r="D73" i="48"/>
  <c r="D115" i="48"/>
  <c r="D76" i="48"/>
  <c r="D79" i="48"/>
  <c r="D121" i="48"/>
  <c r="D100" i="48"/>
  <c r="U39" i="48" s="1"/>
  <c r="D103" i="48"/>
  <c r="U42" i="48" s="1"/>
  <c r="D82" i="48"/>
  <c r="D124" i="48"/>
  <c r="D88" i="48"/>
  <c r="D109" i="48"/>
  <c r="D67" i="48"/>
  <c r="U37" i="48"/>
  <c r="F251" i="43"/>
  <c r="F246" i="43"/>
  <c r="F250" i="43"/>
  <c r="F252" i="43"/>
  <c r="F249" i="43"/>
  <c r="F253" i="43"/>
  <c r="F245" i="43"/>
  <c r="F244" i="43"/>
  <c r="F248" i="43"/>
  <c r="F218" i="43"/>
  <c r="F247" i="43"/>
  <c r="F224" i="43"/>
  <c r="F231" i="43" s="1"/>
  <c r="F254" i="43"/>
  <c r="F241" i="43"/>
  <c r="F243" i="43"/>
  <c r="F242" i="43"/>
  <c r="E67" i="43"/>
  <c r="E252" i="43"/>
  <c r="E251" i="43"/>
  <c r="E250" i="43"/>
  <c r="E246" i="43"/>
  <c r="E253" i="43"/>
  <c r="E245" i="43"/>
  <c r="E248" i="43"/>
  <c r="E243" i="43"/>
  <c r="E249" i="43"/>
  <c r="E241" i="43"/>
  <c r="E244" i="43"/>
  <c r="E254" i="43"/>
  <c r="E218" i="43"/>
  <c r="E247" i="43"/>
  <c r="E224" i="43"/>
  <c r="E231" i="43" s="1"/>
  <c r="E242" i="43"/>
  <c r="D102" i="43"/>
  <c r="V31" i="48"/>
  <c r="V44" i="48"/>
  <c r="L30" i="43"/>
  <c r="D208" i="43"/>
  <c r="D27" i="43"/>
  <c r="AC17" i="36"/>
  <c r="D4" i="43"/>
  <c r="D38" i="47" s="1"/>
  <c r="D50" i="43"/>
  <c r="D101" i="44"/>
  <c r="D101" i="43"/>
  <c r="D100" i="43"/>
  <c r="D103" i="43" s="1"/>
  <c r="D100" i="44"/>
  <c r="U28" i="48"/>
  <c r="D20" i="47"/>
  <c r="D64" i="47"/>
  <c r="C36" i="43"/>
  <c r="C63" i="43" s="1"/>
  <c r="C65" i="43" s="1"/>
  <c r="U33" i="48"/>
  <c r="D25" i="47"/>
  <c r="D69" i="47"/>
  <c r="C3" i="43"/>
  <c r="C17" i="43"/>
  <c r="D53" i="48" s="1"/>
  <c r="D118" i="43"/>
  <c r="D135" i="43"/>
  <c r="D172" i="43"/>
  <c r="D140" i="43"/>
  <c r="D178" i="43"/>
  <c r="C131" i="43"/>
  <c r="U40" i="48" l="1"/>
  <c r="D125" i="48"/>
  <c r="D83" i="48"/>
  <c r="D104" i="48"/>
  <c r="V28" i="48"/>
  <c r="V36" i="48"/>
  <c r="F256" i="43"/>
  <c r="F236" i="43"/>
  <c r="N218" i="43"/>
  <c r="E256" i="43"/>
  <c r="E236" i="43"/>
  <c r="M218" i="43"/>
  <c r="V37" i="48"/>
  <c r="V29" i="48"/>
  <c r="V40" i="48"/>
  <c r="D17" i="43"/>
  <c r="E53" i="48" s="1"/>
  <c r="D3" i="43"/>
  <c r="V27" i="48"/>
  <c r="V39" i="48"/>
  <c r="V41" i="48"/>
  <c r="V38" i="48"/>
  <c r="V42" i="48"/>
  <c r="E127" i="48"/>
  <c r="E85" i="48"/>
  <c r="L18" i="43"/>
  <c r="D36" i="43"/>
  <c r="D63" i="43" s="1"/>
  <c r="D61" i="43"/>
  <c r="D64" i="43" s="1"/>
  <c r="L32" i="43"/>
  <c r="D130" i="43"/>
  <c r="D131" i="43" s="1"/>
  <c r="V33" i="48"/>
  <c r="U44" i="48"/>
  <c r="U27" i="48"/>
  <c r="D106" i="48"/>
  <c r="U43" i="48"/>
  <c r="U38" i="48"/>
  <c r="D85" i="48"/>
  <c r="D127" i="48"/>
  <c r="D17" i="47"/>
  <c r="D30" i="47" s="1"/>
  <c r="D61" i="47"/>
  <c r="D74" i="47" s="1"/>
  <c r="D51" i="47"/>
  <c r="J51" i="47" s="1"/>
  <c r="U29" i="48"/>
  <c r="U36" i="48"/>
  <c r="D84" i="43"/>
  <c r="D150" i="43"/>
  <c r="D83" i="43"/>
  <c r="D144" i="43"/>
  <c r="D115" i="43"/>
  <c r="D183" i="43"/>
  <c r="D153" i="43"/>
  <c r="D147" i="43"/>
  <c r="D148" i="43"/>
  <c r="D136" i="43"/>
  <c r="D20" i="43"/>
  <c r="D218" i="36"/>
  <c r="D219" i="36" s="1"/>
  <c r="D187" i="43"/>
  <c r="D164" i="43"/>
  <c r="AB218" i="36"/>
  <c r="AB219" i="36" s="1"/>
  <c r="D149" i="43"/>
  <c r="J30" i="47" l="1"/>
  <c r="U45" i="48"/>
  <c r="J74" i="47"/>
  <c r="D129" i="48"/>
  <c r="D131" i="48" s="1"/>
  <c r="D132" i="48" s="1"/>
  <c r="D65" i="43"/>
  <c r="D114" i="43"/>
  <c r="E61" i="47"/>
  <c r="E74" i="47" s="1"/>
  <c r="E17" i="47"/>
  <c r="E30" i="47" s="1"/>
  <c r="E51" i="47"/>
  <c r="K51" i="47" s="1"/>
  <c r="V43" i="48"/>
  <c r="V45" i="48" s="1"/>
  <c r="AD45" i="48" s="1"/>
  <c r="E106" i="48"/>
  <c r="E129" i="48" s="1"/>
  <c r="E131" i="48" s="1"/>
  <c r="E132" i="48" s="1"/>
  <c r="D212" i="43"/>
  <c r="D134" i="43"/>
  <c r="D166" i="43"/>
  <c r="D182" i="43"/>
  <c r="B218" i="36"/>
  <c r="B219" i="36" s="1"/>
  <c r="C218" i="36"/>
  <c r="C219" i="36" s="1"/>
  <c r="D168" i="43"/>
  <c r="N218" i="36"/>
  <c r="N219" i="36" s="1"/>
  <c r="F218" i="36"/>
  <c r="F219" i="36" s="1"/>
  <c r="AA218" i="36"/>
  <c r="AA219" i="36" s="1"/>
  <c r="D167" i="43"/>
  <c r="D157" i="43"/>
  <c r="L157" i="43" s="1"/>
  <c r="D161" i="43"/>
  <c r="P218" i="36"/>
  <c r="P219" i="36" s="1"/>
  <c r="Z218" i="36"/>
  <c r="Z219" i="36" s="1"/>
  <c r="H218" i="36"/>
  <c r="H219" i="36" s="1"/>
  <c r="D160" i="43"/>
  <c r="Q218" i="36"/>
  <c r="Q219" i="36" s="1"/>
  <c r="G218" i="36"/>
  <c r="G219" i="36" s="1"/>
  <c r="R218" i="36"/>
  <c r="R219" i="36" s="1"/>
  <c r="AC45" i="48" l="1"/>
  <c r="K74" i="47"/>
  <c r="K30" i="47"/>
  <c r="D226" i="43"/>
  <c r="D230" i="43" s="1"/>
  <c r="D170" i="43"/>
  <c r="D195" i="43"/>
  <c r="D121" i="43"/>
  <c r="D132" i="43" s="1"/>
  <c r="D68" i="43" s="1"/>
  <c r="D93" i="43"/>
  <c r="D74" i="43"/>
  <c r="D80" i="43" s="1"/>
  <c r="X218" i="36"/>
  <c r="X219" i="36" s="1"/>
  <c r="M218" i="36"/>
  <c r="M219" i="36" s="1"/>
  <c r="L218" i="36"/>
  <c r="L219" i="36" s="1"/>
  <c r="L195" i="43" l="1"/>
  <c r="D151" i="43"/>
  <c r="D196" i="43"/>
  <c r="D69" i="43"/>
  <c r="D82" i="43"/>
  <c r="D90" i="43" s="1"/>
  <c r="D97" i="43" s="1"/>
  <c r="D133" i="43"/>
  <c r="D141" i="43" s="1"/>
  <c r="S218" i="36"/>
  <c r="I218" i="36"/>
  <c r="W218" i="36"/>
  <c r="W219" i="36" s="1"/>
  <c r="V218" i="36"/>
  <c r="V219" i="36" s="1"/>
  <c r="X12" i="21"/>
  <c r="X13" i="21" s="1"/>
  <c r="X14" i="21" s="1"/>
  <c r="S219" i="36" l="1"/>
  <c r="D223" i="45"/>
  <c r="D70" i="43"/>
  <c r="AC218" i="36"/>
  <c r="AC219" i="36" s="1"/>
  <c r="L134" i="43"/>
  <c r="D154" i="43"/>
  <c r="I219" i="36"/>
  <c r="D223" i="44"/>
  <c r="D142" i="43"/>
  <c r="I221" i="35"/>
  <c r="H221" i="35"/>
  <c r="G221" i="35"/>
  <c r="F221" i="35"/>
  <c r="E221" i="35"/>
  <c r="D221" i="35"/>
  <c r="C221" i="35"/>
  <c r="B221" i="35"/>
  <c r="A221" i="35"/>
  <c r="F44" i="34"/>
  <c r="F43" i="34"/>
  <c r="F41" i="34"/>
  <c r="F39" i="34"/>
  <c r="E39" i="34"/>
  <c r="F31" i="34"/>
  <c r="E31" i="34"/>
  <c r="F12" i="34"/>
  <c r="F35" i="34" s="1"/>
  <c r="F40" i="34" s="1"/>
  <c r="E12" i="34"/>
  <c r="E35" i="34" s="1"/>
  <c r="E40" i="34" s="1"/>
  <c r="G32" i="23"/>
  <c r="G29" i="23"/>
  <c r="F29" i="23"/>
  <c r="F32" i="23" s="1"/>
  <c r="G11" i="23"/>
  <c r="G36" i="23" s="1"/>
  <c r="G37" i="23" s="1"/>
  <c r="F11" i="23"/>
  <c r="F36" i="23" s="1"/>
  <c r="F37" i="23" s="1"/>
  <c r="J17" i="24"/>
  <c r="I17" i="24"/>
  <c r="H17" i="24"/>
  <c r="G17" i="24"/>
  <c r="F17" i="24"/>
  <c r="E17" i="24"/>
  <c r="D17" i="24"/>
  <c r="C17" i="24"/>
  <c r="B17" i="24"/>
  <c r="G6" i="24"/>
  <c r="G9" i="24" s="1"/>
  <c r="X8" i="21"/>
  <c r="X9" i="21" s="1"/>
  <c r="X10" i="21" s="1"/>
  <c r="X11" i="21" s="1"/>
  <c r="D210" i="43" l="1"/>
  <c r="D67" i="43" s="1"/>
  <c r="C20" i="44"/>
  <c r="E218" i="35"/>
  <c r="E219" i="35" s="1"/>
  <c r="G40" i="34"/>
  <c r="G35" i="34"/>
  <c r="G23" i="34"/>
  <c r="G15" i="34"/>
  <c r="G32" i="34"/>
  <c r="G18" i="34"/>
  <c r="G31" i="34"/>
  <c r="G17" i="34"/>
  <c r="G16" i="34"/>
  <c r="G30" i="34"/>
  <c r="G22" i="34"/>
  <c r="G14" i="34"/>
  <c r="G27" i="34"/>
  <c r="G19" i="34"/>
  <c r="G29" i="34"/>
  <c r="G21" i="34"/>
  <c r="G12" i="34"/>
  <c r="G33" i="34"/>
  <c r="G39" i="34"/>
  <c r="G34" i="34"/>
  <c r="G28" i="34"/>
  <c r="G20" i="34"/>
  <c r="G26" i="34"/>
  <c r="G11" i="34"/>
  <c r="G25" i="34"/>
  <c r="G10" i="34"/>
  <c r="G24" i="34"/>
  <c r="G9" i="34"/>
  <c r="G38" i="34"/>
  <c r="G37" i="34"/>
  <c r="H30" i="23"/>
  <c r="H23" i="23"/>
  <c r="H15" i="23"/>
  <c r="H13" i="23"/>
  <c r="H11" i="23"/>
  <c r="H32" i="23"/>
  <c r="H35" i="23"/>
  <c r="H29" i="23"/>
  <c r="H22" i="23"/>
  <c r="H14" i="23"/>
  <c r="H21" i="23"/>
  <c r="H20" i="23"/>
  <c r="H28" i="23"/>
  <c r="G38" i="23"/>
  <c r="G40" i="23" s="1"/>
  <c r="G41" i="23" s="1"/>
  <c r="H34" i="23"/>
  <c r="H37" i="23"/>
  <c r="H33" i="23"/>
  <c r="H36" i="23"/>
  <c r="H25" i="23"/>
  <c r="H17" i="23"/>
  <c r="H10" i="23"/>
  <c r="H31" i="23"/>
  <c r="H24" i="23"/>
  <c r="H16" i="23"/>
  <c r="H9" i="23"/>
  <c r="H19" i="23"/>
  <c r="H26" i="23"/>
  <c r="H18" i="23"/>
  <c r="D250" i="43" l="1"/>
  <c r="D252" i="43"/>
  <c r="D246" i="43"/>
  <c r="D251" i="43"/>
  <c r="D253" i="43"/>
  <c r="D243" i="43"/>
  <c r="D248" i="43"/>
  <c r="D245" i="43"/>
  <c r="D244" i="43"/>
  <c r="D249" i="43"/>
  <c r="D254" i="43"/>
  <c r="D241" i="43"/>
  <c r="D224" i="43"/>
  <c r="D231" i="43" s="1"/>
  <c r="D247" i="43"/>
  <c r="D218" i="43"/>
  <c r="D242" i="43"/>
  <c r="C226" i="43"/>
  <c r="C230" i="43" s="1"/>
  <c r="C196" i="43"/>
  <c r="D256" i="43" l="1"/>
  <c r="D236" i="43"/>
  <c r="L218" i="43"/>
  <c r="C121" i="43"/>
  <c r="C132" i="43" s="1"/>
  <c r="C170" i="43"/>
  <c r="D218" i="35"/>
  <c r="D219" i="35" s="1"/>
  <c r="G218" i="35"/>
  <c r="G219" i="35" s="1"/>
  <c r="F218" i="35"/>
  <c r="F219" i="35" s="1"/>
  <c r="C68" i="43" l="1"/>
  <c r="C69" i="43"/>
  <c r="C141" i="43"/>
  <c r="C154" i="43"/>
  <c r="C80" i="43"/>
  <c r="K195" i="43"/>
  <c r="C90" i="43"/>
  <c r="C218" i="35"/>
  <c r="C219" i="35" s="1"/>
  <c r="B218" i="35"/>
  <c r="B219" i="35" s="1"/>
  <c r="H218" i="35"/>
  <c r="H219" i="35" s="1"/>
  <c r="C97" i="43" l="1"/>
  <c r="C70" i="43" s="1"/>
  <c r="C142" i="43"/>
  <c r="K134" i="43"/>
  <c r="E221" i="19"/>
  <c r="C210" i="43" l="1"/>
  <c r="C218" i="43" s="1"/>
  <c r="C17" i="25"/>
  <c r="D17" i="25"/>
  <c r="E17" i="25"/>
  <c r="B17" i="25"/>
  <c r="C67" i="43" l="1"/>
  <c r="C224" i="43"/>
  <c r="C231" i="43" s="1"/>
  <c r="C219" i="43"/>
  <c r="C236" i="43"/>
  <c r="C237" i="43" s="1"/>
  <c r="C251" i="43"/>
  <c r="J251" i="43" s="1"/>
  <c r="C252" i="43"/>
  <c r="J252" i="43" s="1"/>
  <c r="C250" i="43"/>
  <c r="J250" i="43" s="1"/>
  <c r="C246" i="43"/>
  <c r="J246" i="43" s="1"/>
  <c r="C245" i="43"/>
  <c r="J245" i="43" s="1"/>
  <c r="C249" i="43"/>
  <c r="J249" i="43" s="1"/>
  <c r="C253" i="43"/>
  <c r="J253" i="43" s="1"/>
  <c r="C248" i="43"/>
  <c r="J248" i="43" s="1"/>
  <c r="C244" i="43"/>
  <c r="J244" i="43" s="1"/>
  <c r="C243" i="43"/>
  <c r="J243" i="43" s="1"/>
  <c r="C254" i="43"/>
  <c r="J254" i="43" s="1"/>
  <c r="C241" i="43"/>
  <c r="C247" i="43"/>
  <c r="J247" i="43" s="1"/>
  <c r="C242" i="43"/>
  <c r="J242" i="43" s="1"/>
  <c r="I218" i="35"/>
  <c r="K218" i="43" s="1"/>
  <c r="I221" i="19"/>
  <c r="H221" i="19"/>
  <c r="G221" i="19"/>
  <c r="F221" i="19"/>
  <c r="D221" i="19"/>
  <c r="C221" i="19"/>
  <c r="B221" i="19"/>
  <c r="A221" i="19"/>
  <c r="J16" i="19"/>
  <c r="J16" i="43" s="1"/>
  <c r="J15" i="19"/>
  <c r="J15" i="43" s="1"/>
  <c r="J14" i="19"/>
  <c r="J14" i="43" s="1"/>
  <c r="J13" i="19"/>
  <c r="J13" i="43" s="1"/>
  <c r="J22" i="43" l="1"/>
  <c r="C117" i="48"/>
  <c r="T35" i="48" s="1"/>
  <c r="J17" i="43"/>
  <c r="C256" i="43"/>
  <c r="J241" i="43"/>
  <c r="J256" i="43" s="1"/>
  <c r="D234" i="43"/>
  <c r="D237" i="43" s="1"/>
  <c r="C238" i="43"/>
  <c r="I219" i="35"/>
  <c r="C223" i="44"/>
  <c r="J17" i="19"/>
  <c r="J18" i="43" l="1"/>
  <c r="J25" i="43"/>
  <c r="J29" i="43" s="1"/>
  <c r="C106" i="48" s="1"/>
  <c r="J24" i="43"/>
  <c r="J28" i="43" s="1"/>
  <c r="J32" i="43" s="1"/>
  <c r="J26" i="43"/>
  <c r="J30" i="43" s="1"/>
  <c r="C118" i="48" s="1"/>
  <c r="E234" i="43"/>
  <c r="E237" i="43" s="1"/>
  <c r="D238" i="43"/>
  <c r="C127" i="48" l="1"/>
  <c r="C129" i="48" s="1"/>
  <c r="C131" i="48" s="1"/>
  <c r="C132" i="48" s="1"/>
  <c r="T36" i="48"/>
  <c r="T45" i="48" s="1"/>
  <c r="AB45" i="48" s="1"/>
  <c r="F234" i="43"/>
  <c r="F237" i="43" s="1"/>
  <c r="E238" i="43"/>
  <c r="G234" i="43" l="1"/>
  <c r="G237" i="43" s="1"/>
  <c r="F238" i="43"/>
  <c r="A226" i="19"/>
  <c r="A227" i="19"/>
  <c r="A228" i="19"/>
  <c r="I228" i="19"/>
  <c r="I237" i="19"/>
  <c r="G238" i="43" l="1"/>
  <c r="H234" i="43"/>
  <c r="H237" i="43" s="1"/>
  <c r="H238" i="43" s="1"/>
  <c r="I226" i="19"/>
  <c r="I227" i="19"/>
  <c r="I230" i="19" l="1"/>
  <c r="I238" i="19" l="1"/>
  <c r="I224" i="19" l="1"/>
  <c r="I231" i="19" s="1"/>
</calcChain>
</file>

<file path=xl/comments1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<sst xmlns="http://schemas.openxmlformats.org/spreadsheetml/2006/main" count="2939" uniqueCount="518">
  <si>
    <t>Operating</t>
  </si>
  <si>
    <t>SPED</t>
  </si>
  <si>
    <t>NSLP</t>
  </si>
  <si>
    <t>Statewide Base (w/ District Adj)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</si>
  <si>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</si>
  <si>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</si>
  <si>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</si>
  <si>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</si>
  <si>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</si>
  <si>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</si>
  <si>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</si>
  <si>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</si>
  <si>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</si>
  <si>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</si>
  <si>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</si>
  <si>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</si>
  <si>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</si>
  <si>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</si>
  <si>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 xml:space="preserve">Prior Year Numbers </t>
  </si>
  <si>
    <t>SPED Count</t>
  </si>
  <si>
    <t>October 1st counts</t>
  </si>
  <si>
    <t>EL Count</t>
  </si>
  <si>
    <t>GATE Count</t>
  </si>
  <si>
    <t>FRL %</t>
  </si>
  <si>
    <t>At-Risk (FRL) Count</t>
  </si>
  <si>
    <t>Teaching Staff</t>
  </si>
  <si>
    <t>Classroom Teachers</t>
  </si>
  <si>
    <t>SPED Teachers</t>
  </si>
  <si>
    <t>Art Teacher</t>
  </si>
  <si>
    <t>Music</t>
  </si>
  <si>
    <t>PE Teacher</t>
  </si>
  <si>
    <t>Technology (STEM)</t>
  </si>
  <si>
    <t>Spanish / Language</t>
  </si>
  <si>
    <t>Additional Elective Teachers</t>
  </si>
  <si>
    <t>ELL Coordinator</t>
  </si>
  <si>
    <t>Gate Teacher</t>
  </si>
  <si>
    <t>Dean</t>
  </si>
  <si>
    <t xml:space="preserve">     Total Teaching Staff</t>
  </si>
  <si>
    <t>Curriculum Coach</t>
  </si>
  <si>
    <t>Admin &amp; Support</t>
  </si>
  <si>
    <t>Principal</t>
  </si>
  <si>
    <t>Assistant Principal</t>
  </si>
  <si>
    <t>SPED Facilitator</t>
  </si>
  <si>
    <t>Speech Pathologist</t>
  </si>
  <si>
    <t>School Psychologist</t>
  </si>
  <si>
    <t>OT</t>
  </si>
  <si>
    <t>School Counselor</t>
  </si>
  <si>
    <t>School Nurse</t>
  </si>
  <si>
    <t>Social Worker/ Mental Health</t>
  </si>
  <si>
    <t>Office Manager/Banker</t>
  </si>
  <si>
    <t>Registrar</t>
  </si>
  <si>
    <t>Teacher Assistants (SPED Included)</t>
  </si>
  <si>
    <t>Clinic Aide/ FASA</t>
  </si>
  <si>
    <t>Receptionist</t>
  </si>
  <si>
    <t>Campus Monitor/Custodian</t>
  </si>
  <si>
    <t>On Campus Sub</t>
  </si>
  <si>
    <t>Cafeteria Manager</t>
  </si>
  <si>
    <t>Parent Engagement Corrdinator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</si>
  <si>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</si>
  <si>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</si>
  <si>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</si>
  <si>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</si>
  <si>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</si>
  <si>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</si>
  <si>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</si>
  <si>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</si>
  <si>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 xml:space="preserve">REVENUE </t>
  </si>
  <si>
    <t>State Revenue</t>
  </si>
  <si>
    <t>State Base Budget Revenue</t>
  </si>
  <si>
    <t>ELL Weight</t>
  </si>
  <si>
    <t>Gifted and Talented Education (GATE)</t>
  </si>
  <si>
    <t>At-Risk Weight</t>
  </si>
  <si>
    <t>SPED Discretionary Unit</t>
  </si>
  <si>
    <t>Local SPED</t>
  </si>
  <si>
    <t xml:space="preserve">Total State Revenues </t>
  </si>
  <si>
    <t>Federal Revenue</t>
  </si>
  <si>
    <t>SPED Funding (Part B)</t>
  </si>
  <si>
    <t>National School Lunch Program (NSLP) - Breakfast</t>
  </si>
  <si>
    <t>National School Lunch Program (NSLP) - Lunch</t>
  </si>
  <si>
    <t>Title I</t>
  </si>
  <si>
    <t>Title II</t>
  </si>
  <si>
    <t>Title III</t>
  </si>
  <si>
    <t>Title IV</t>
  </si>
  <si>
    <t xml:space="preserve">Other: </t>
  </si>
  <si>
    <t xml:space="preserve">Total Federal Revenues </t>
  </si>
  <si>
    <t>Other Revenue</t>
  </si>
  <si>
    <t>Donation(s)</t>
  </si>
  <si>
    <t xml:space="preserve">Total Other Revenues </t>
  </si>
  <si>
    <t>Total Revenues (consolidated)</t>
  </si>
  <si>
    <t>EXPENSES</t>
  </si>
  <si>
    <t>Personnel Costs - Unrestricted Salaries</t>
  </si>
  <si>
    <t>Assistant Principal(s)</t>
  </si>
  <si>
    <t xml:space="preserve">School Counselor </t>
  </si>
  <si>
    <t>Social Worker / Mental Health</t>
  </si>
  <si>
    <t xml:space="preserve">Teachers Salaries </t>
  </si>
  <si>
    <t>Office Manager/ Registrar / Banker</t>
  </si>
  <si>
    <t>Secretary &amp; FASA</t>
  </si>
  <si>
    <t>Campus Monitors/Plant Operator</t>
  </si>
  <si>
    <t xml:space="preserve">Total Unrestricted Salaries </t>
  </si>
  <si>
    <t>Personnel Costs - Restricted Salaries</t>
  </si>
  <si>
    <t xml:space="preserve">OT </t>
  </si>
  <si>
    <t xml:space="preserve">Total Restricted Salaries </t>
  </si>
  <si>
    <t xml:space="preserve">Total Salaries and Wages </t>
  </si>
  <si>
    <t xml:space="preserve">Insurances/Employment Taxes/Other Benefits </t>
  </si>
  <si>
    <t>Retention</t>
  </si>
  <si>
    <t>Holiday</t>
  </si>
  <si>
    <t>Stipend</t>
  </si>
  <si>
    <t>Additional Bonuses</t>
  </si>
  <si>
    <t>Tuition Reimbursements</t>
  </si>
  <si>
    <t xml:space="preserve">Total Benefits and Related </t>
  </si>
  <si>
    <t>Total Payroll / Benefits and Related</t>
  </si>
  <si>
    <t xml:space="preserve">Consumables </t>
  </si>
  <si>
    <t>Dual Enrollment - Student Fees/Textbooks</t>
  </si>
  <si>
    <t>Cash instead of Zion Lease - Curriculum/Tech/Furniture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</si>
  <si>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</si>
  <si>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</si>
  <si>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</si>
  <si>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</si>
  <si>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</si>
  <si>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</si>
  <si>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>Purchased Services</t>
  </si>
  <si>
    <t>Contracted Services: SPED</t>
  </si>
  <si>
    <t>Management Fee (Academica Nevada)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</si>
  <si>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</si>
  <si>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</si>
  <si>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</si>
  <si>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</si>
  <si>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</si>
  <si>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</si>
  <si>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 xml:space="preserve">Affiliation Fee - Inc. </t>
  </si>
  <si>
    <t>0.5% of Per Pupil</t>
  </si>
  <si>
    <t>Affiliation Fee - Professional Development</t>
  </si>
  <si>
    <t xml:space="preserve">Professional Development </t>
  </si>
  <si>
    <t xml:space="preserve">Total Purchased Services </t>
  </si>
  <si>
    <t>General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</si>
  <si>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</si>
  <si>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</si>
  <si>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</si>
  <si>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</si>
  <si>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</si>
  <si>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</si>
  <si>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</si>
  <si>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Property Insurance</t>
  </si>
  <si>
    <t>Assumes 10% Increases</t>
  </si>
  <si>
    <t>Liability Insurance</t>
  </si>
  <si>
    <t>Other Insurances</t>
  </si>
  <si>
    <t xml:space="preserve">NSLP - Breakfast </t>
  </si>
  <si>
    <t xml:space="preserve">NSLP - Lunch </t>
  </si>
  <si>
    <t>Advertising/Marketing</t>
  </si>
  <si>
    <t xml:space="preserve">Travel </t>
  </si>
  <si>
    <t>Background and Fingerprinting</t>
  </si>
  <si>
    <t>Dues and Fees</t>
  </si>
  <si>
    <t>Prior Year Surplus allocated by board</t>
  </si>
  <si>
    <t>Loan Repayments</t>
  </si>
  <si>
    <t>Facilities</t>
  </si>
  <si>
    <t>Public Utilities (Electricity)</t>
  </si>
  <si>
    <t>Natural Gas</t>
  </si>
  <si>
    <t>Water / Sewer</t>
  </si>
  <si>
    <t>Garbage/Disposal</t>
  </si>
  <si>
    <t>Fire and Security alarms</t>
  </si>
  <si>
    <t>Contracted Janitorial Services</t>
  </si>
  <si>
    <t>Custodial Supplies</t>
  </si>
  <si>
    <t>Facility Maintenance/Repairs/Capital Outlay</t>
  </si>
  <si>
    <t>Snow removal</t>
  </si>
  <si>
    <t>Lawn Care</t>
  </si>
  <si>
    <t>AC Maintenance &amp; Repair</t>
  </si>
  <si>
    <t xml:space="preserve">Total Expenses Before Bldg </t>
  </si>
  <si>
    <t>Scheduled Lease Payment</t>
  </si>
  <si>
    <t>Surplus (Revenues-Total Expenses-Lease-Bond)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</si>
  <si>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</si>
  <si>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</si>
  <si>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</si>
  <si>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</si>
  <si>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>Beginning Cash Balance - FYE 2021 Audited (System)</t>
  </si>
  <si>
    <t>Accounts Receivable</t>
  </si>
  <si>
    <t>Plus:  Operating Surplus (Deficit)</t>
  </si>
  <si>
    <t>Ending Cash Balance</t>
  </si>
  <si>
    <t>Projected Days Cash on Hand</t>
  </si>
  <si>
    <t>Earnings on Investments</t>
  </si>
  <si>
    <t>Interest Income</t>
  </si>
  <si>
    <t>Academica Nevada Donation(s): Payroll Fees</t>
  </si>
  <si>
    <t>Contracted Services: Transportation / Graduation</t>
  </si>
  <si>
    <t>Total General Operations and Other</t>
  </si>
  <si>
    <t>Total Facilities and Building Expenditures</t>
  </si>
  <si>
    <t>Scheduled Bond Payment - Principal</t>
  </si>
  <si>
    <t>Scheduled Bond Payment - Interest</t>
  </si>
  <si>
    <t>HOA/Parking/ Other</t>
  </si>
  <si>
    <t>ELL</t>
  </si>
  <si>
    <t>GATE</t>
  </si>
  <si>
    <t>FRL</t>
  </si>
  <si>
    <t>TRUE FRL</t>
  </si>
  <si>
    <t>Total Count</t>
  </si>
  <si>
    <t>TRUE    FRL %</t>
  </si>
  <si>
    <t>Special Education Support Staff</t>
  </si>
  <si>
    <t>Sales by Item Summary</t>
  </si>
  <si>
    <t>July 1, 2022 through January 6, 2023</t>
  </si>
  <si>
    <t>Qty</t>
  </si>
  <si>
    <t>Amount</t>
  </si>
  <si>
    <t>% of Sales</t>
  </si>
  <si>
    <t>Avg Price</t>
  </si>
  <si>
    <t>Service</t>
  </si>
  <si>
    <t>.Employee</t>
  </si>
  <si>
    <t>Assistant Director</t>
  </si>
  <si>
    <t>Director (Special Education Director: Contract Rate)</t>
  </si>
  <si>
    <t>Total .Employee</t>
  </si>
  <si>
    <t>Contractor (Special Education Departments)</t>
  </si>
  <si>
    <t>Adaptive PE (Adaptive PE Teacher)</t>
  </si>
  <si>
    <t>Compliance Liason (Compliance Liason)</t>
  </si>
  <si>
    <t>Facilitator (Special Education Facilitator)</t>
  </si>
  <si>
    <t>FASA-Float (FASA-Float)</t>
  </si>
  <si>
    <t>Kristal Morrello (School Psychologist:Intern:Kristal Morrello)</t>
  </si>
  <si>
    <t>Lead (Lead)</t>
  </si>
  <si>
    <t>Mentor (Mentor)</t>
  </si>
  <si>
    <t>Occupational Therapist (Occupational Therapist)</t>
  </si>
  <si>
    <t>Orientation-Mobility Specialist (Orientation-Mobility Specialists)</t>
  </si>
  <si>
    <t>Physical Therapist (Physical Therapist)</t>
  </si>
  <si>
    <t>Reading Specialist (Reading Specialist)</t>
  </si>
  <si>
    <t>School Nurse (School Nurse)</t>
  </si>
  <si>
    <t>School Psychologist (School Psychologist)</t>
  </si>
  <si>
    <t>Specialist (Specialist)</t>
  </si>
  <si>
    <t>Sped Trainor</t>
  </si>
  <si>
    <t>Total Sped Trainor</t>
  </si>
  <si>
    <t>Speech Therapist (Speech Therapist)</t>
  </si>
  <si>
    <t>Yvonne McCastle-Virtual (Specialist:Virtual SpEd Support: Yvonne McCastle)</t>
  </si>
  <si>
    <t>Total Contractor (Special Education Departments)</t>
  </si>
  <si>
    <t>Professional Development (Professional Development)</t>
  </si>
  <si>
    <t>SPED Supplies (SPED Supplies)</t>
  </si>
  <si>
    <t>Supplies-Audiology (Supplies-Audiology Equipment)</t>
  </si>
  <si>
    <t>Total Service</t>
  </si>
  <si>
    <t>TOTAL</t>
  </si>
  <si>
    <t>x2</t>
  </si>
  <si>
    <t xml:space="preserve">School </t>
  </si>
  <si>
    <t>Line of Business</t>
  </si>
  <si>
    <t>Policy Number</t>
  </si>
  <si>
    <t>Policy Period</t>
  </si>
  <si>
    <t>Automatic Payments</t>
  </si>
  <si>
    <t>Total Due</t>
  </si>
  <si>
    <t>Total Collected</t>
  </si>
  <si>
    <t>Insuring ISP</t>
  </si>
  <si>
    <t>Workers' Compensation</t>
  </si>
  <si>
    <t>08/01/2022 - 08/01/2023</t>
  </si>
  <si>
    <t>On</t>
  </si>
  <si>
    <t>WCF National Insurance Company</t>
  </si>
  <si>
    <t>School</t>
  </si>
  <si>
    <t>Package</t>
  </si>
  <si>
    <t>Auto</t>
  </si>
  <si>
    <t>Umbrella</t>
  </si>
  <si>
    <t xml:space="preserve">Crime </t>
  </si>
  <si>
    <t xml:space="preserve">Student Accident </t>
  </si>
  <si>
    <t>Total</t>
  </si>
  <si>
    <t>Property</t>
  </si>
  <si>
    <t>Workers' Comp</t>
  </si>
  <si>
    <t>Cyber</t>
  </si>
  <si>
    <t>Cap Lease - Interest</t>
  </si>
  <si>
    <t>Cap Lease - Principal</t>
  </si>
  <si>
    <t>Cap Lease - Buyout</t>
  </si>
  <si>
    <t>Material Equipment and Supplies</t>
  </si>
  <si>
    <t>Total Materials Equipment and Supplies</t>
  </si>
  <si>
    <t>PERS - 33.5%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</si>
  <si>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</si>
  <si>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</si>
  <si>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</si>
  <si>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</si>
  <si>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</si>
  <si>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</si>
  <si>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</si>
  <si>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</si>
  <si>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</si>
  <si>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</si>
  <si>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</si>
  <si>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</si>
  <si>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Elec</t>
  </si>
  <si>
    <t>Gas</t>
  </si>
  <si>
    <t>Garbage</t>
  </si>
  <si>
    <t>Water/Sewer</t>
  </si>
  <si>
    <t>Misc Purchases</t>
  </si>
  <si>
    <t>GATE Teacher</t>
  </si>
  <si>
    <t>Other</t>
  </si>
  <si>
    <t>Other Sources of Funds</t>
  </si>
  <si>
    <t>Borrowings</t>
  </si>
  <si>
    <t>Total Other Sources of Funds</t>
  </si>
  <si>
    <t>Use of Beginning Fund Balances</t>
  </si>
  <si>
    <t>Total (23-24)</t>
  </si>
  <si>
    <t>MANN</t>
  </si>
  <si>
    <t>Mater Academy of Northern Nevada (MANN) - FY24</t>
  </si>
  <si>
    <t xml:space="preserve">Contracted Services: </t>
  </si>
  <si>
    <t>$200 per</t>
  </si>
  <si>
    <t>$1,400 per</t>
  </si>
  <si>
    <t>CSAN, Cognia,  Costco, others</t>
  </si>
  <si>
    <t>$2,915 x 13 months (was $2,800 - 4% increase)</t>
  </si>
  <si>
    <t>$1,125.51 per student</t>
  </si>
  <si>
    <t>Was $46,700</t>
  </si>
  <si>
    <t>Instructional Aide(s) / Parent Engagement</t>
  </si>
  <si>
    <t>Tech Refresh</t>
  </si>
  <si>
    <t>Mater Academy of Nor</t>
  </si>
  <si>
    <t>Mater Northern NV</t>
  </si>
  <si>
    <t>FY20</t>
  </si>
  <si>
    <t>FY21</t>
  </si>
  <si>
    <t>FY22</t>
  </si>
  <si>
    <t>FY23</t>
  </si>
  <si>
    <t>FY24</t>
  </si>
  <si>
    <t>Mater Academy of Northern Nevada</t>
  </si>
  <si>
    <t>Mater Northern Nevada</t>
  </si>
  <si>
    <t>$30 per</t>
  </si>
  <si>
    <t>$150 per</t>
  </si>
  <si>
    <t>$35 per</t>
  </si>
  <si>
    <t>IT</t>
  </si>
  <si>
    <t>Other: IT</t>
  </si>
  <si>
    <t xml:space="preserve">4% of Per Pupil </t>
  </si>
  <si>
    <t>Campus</t>
  </si>
  <si>
    <t>Year Opened</t>
  </si>
  <si>
    <t>Refresh #1</t>
  </si>
  <si>
    <t>Refresh #2</t>
  </si>
  <si>
    <t>Refresh #3</t>
  </si>
  <si>
    <t>July 1, 2022 through May 11, 2023</t>
  </si>
  <si>
    <t>Facilitator (Special Education Facilitator: Contract Rate)</t>
  </si>
  <si>
    <t>Other Charges</t>
  </si>
  <si>
    <t>Bounce Check Charge</t>
  </si>
  <si>
    <t>Independent Education Evaluatio</t>
  </si>
  <si>
    <t>Total Other Charges</t>
  </si>
  <si>
    <t>$100 per</t>
  </si>
  <si>
    <t>$2.50 per + $8,500 ($7,500 use to be covered by state)</t>
  </si>
  <si>
    <t>Subst. Teachers (11 days/Teacher)</t>
  </si>
  <si>
    <t>$185 per day</t>
  </si>
  <si>
    <t>Mater Academy of Northern Nevada (MANN) - FY25</t>
  </si>
  <si>
    <t>B&amp;G</t>
  </si>
  <si>
    <t>New</t>
  </si>
  <si>
    <t>$190 per day</t>
  </si>
  <si>
    <t>FY25</t>
  </si>
  <si>
    <t>FY26</t>
  </si>
  <si>
    <t>FY27</t>
  </si>
  <si>
    <t>Base</t>
  </si>
  <si>
    <t>At-Risk</t>
  </si>
  <si>
    <t>FY28</t>
  </si>
  <si>
    <t>FY29</t>
  </si>
  <si>
    <t>Mater Academy of Northern Nevada (MANN) - FY26</t>
  </si>
  <si>
    <t>Full 1600</t>
  </si>
  <si>
    <t>Phase 1</t>
  </si>
  <si>
    <t>900 -1000</t>
  </si>
  <si>
    <t>55k sqft</t>
  </si>
  <si>
    <t>$420 per sq ft</t>
  </si>
  <si>
    <t>Phase 2</t>
  </si>
  <si>
    <t>25k sq ft</t>
  </si>
  <si>
    <t>75sq ft</t>
  </si>
  <si>
    <t xml:space="preserve">Full </t>
  </si>
  <si>
    <t>Interest</t>
  </si>
  <si>
    <t>Borrow</t>
  </si>
  <si>
    <t>Pymt</t>
  </si>
  <si>
    <t>Rate</t>
  </si>
  <si>
    <t>Pymts</t>
  </si>
  <si>
    <t>FY30</t>
  </si>
  <si>
    <t>Banker</t>
  </si>
  <si>
    <t>Mater Academy of Northern Nevada (MANN) - FY27</t>
  </si>
  <si>
    <t>FY31</t>
  </si>
  <si>
    <t>Mater Academy of Northern Nevada (MANN) - FY28</t>
  </si>
  <si>
    <t>Growth</t>
  </si>
  <si>
    <t>FY32</t>
  </si>
  <si>
    <t>Mater Academy of Northern Nevada (MANN) - FY29</t>
  </si>
  <si>
    <t>Breakfast</t>
  </si>
  <si>
    <t>Lunch</t>
  </si>
  <si>
    <t>FY33</t>
  </si>
  <si>
    <t xml:space="preserve">Mater Academy of Northern Nevada (MANN)  </t>
  </si>
  <si>
    <t>FY24 (23-24)</t>
  </si>
  <si>
    <t>FY25 (24-25)</t>
  </si>
  <si>
    <t>FY26 (25-26)</t>
  </si>
  <si>
    <t>FY27 (26-27)</t>
  </si>
  <si>
    <t>FY28 (27-28)</t>
  </si>
  <si>
    <t>FY29 (28-29)</t>
  </si>
  <si>
    <t>Avg</t>
  </si>
  <si>
    <t>Personnel</t>
  </si>
  <si>
    <t>Benefits</t>
  </si>
  <si>
    <t>Contractual</t>
  </si>
  <si>
    <t>Contracted Services</t>
  </si>
  <si>
    <t>Equipment</t>
  </si>
  <si>
    <t>Supplies</t>
  </si>
  <si>
    <t>Facility</t>
  </si>
  <si>
    <t xml:space="preserve">Insurance </t>
  </si>
  <si>
    <t>Travel</t>
  </si>
  <si>
    <t>Accounting, Audit, &amp; Legal Fees</t>
  </si>
  <si>
    <t>Technology</t>
  </si>
  <si>
    <t>(MANN) - B&amp;G Campus</t>
  </si>
  <si>
    <t>(MANN) - New Campus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</si>
  <si>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</si>
  <si>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</si>
  <si>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</si>
  <si>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</si>
  <si>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</si>
  <si>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</si>
  <si>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</si>
  <si>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</si>
  <si>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</si>
  <si>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</si>
  <si>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</si>
  <si>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OPERATIONS PLAN</t>
  </si>
  <si>
    <t>Mike Dang</t>
  </si>
  <si>
    <t>Nevada State Public Charter School Authority</t>
  </si>
  <si>
    <t>Enrollment Tables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</si>
  <si>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</si>
  <si>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</si>
  <si>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</si>
  <si>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</si>
  <si>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</si>
  <si>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Office Manager</t>
  </si>
  <si>
    <t>EL Coordinator / Dean</t>
  </si>
  <si>
    <t>Special Education Teachers</t>
  </si>
  <si>
    <t>Classroom Teachers (Specials)</t>
  </si>
  <si>
    <t>Classroom Teachers (Core Subjects)</t>
  </si>
  <si>
    <t>SPED Facilitator / Speech Psychologist</t>
  </si>
  <si>
    <t xml:space="preserve">Curriculum/Instructional Coach </t>
  </si>
  <si>
    <t>Counselor  / Student Support Advocate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</si>
  <si>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</si>
  <si>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</si>
  <si>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</si>
  <si>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</si>
  <si>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</si>
  <si>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</si>
  <si>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</si>
  <si>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</si>
  <si>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HR, Event Coordinator, Other (Academica Nevada)</t>
  </si>
  <si>
    <t>Paralegal, Director of Growth &amp; Management  (Academica Nevada)</t>
  </si>
  <si>
    <t>Facility Manager (Academica Nevada)</t>
  </si>
  <si>
    <t>Procurement Director (Academica Nevada)</t>
  </si>
  <si>
    <t>Bookkeepers  (Academica Nevada)</t>
  </si>
  <si>
    <t>Chief Legal Officer (Academica Nevada)</t>
  </si>
  <si>
    <t>Chief Financial Officer  (Academica Nevada)</t>
  </si>
  <si>
    <t>Chief Operating Officer (Academica Nevada)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</si>
  <si>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</si>
  <si>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</si>
  <si>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</si>
  <si>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</si>
  <si>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</si>
  <si>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</si>
  <si>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2028-29</t>
  </si>
  <si>
    <t>2027-28</t>
  </si>
  <si>
    <t>2026-27</t>
  </si>
  <si>
    <t>2025-26</t>
  </si>
  <si>
    <t>2024-25</t>
  </si>
  <si>
    <t>Year</t>
  </si>
  <si>
    <t>Network</t>
  </si>
  <si>
    <t>Total FTEs at School</t>
  </si>
  <si>
    <t>Instructional Aide(s)</t>
  </si>
  <si>
    <t>Curriculum/Instructional Coach</t>
  </si>
  <si>
    <t xml:space="preserve">Counselor  / Student Support Advocate </t>
  </si>
  <si>
    <t>School Staff</t>
  </si>
  <si>
    <t>HR, Event Coordinator, Other</t>
  </si>
  <si>
    <t>Paralegal, Director of Growth &amp; Management</t>
  </si>
  <si>
    <t>Facility Manager</t>
  </si>
  <si>
    <t>Procurement Director</t>
  </si>
  <si>
    <t>Bookkeepers</t>
  </si>
  <si>
    <t>Chief Legal Officer</t>
  </si>
  <si>
    <t>Chief Financial Officer</t>
  </si>
  <si>
    <t>Chief Operating Officer</t>
  </si>
  <si>
    <t>Proposed New Campus(es)</t>
  </si>
  <si>
    <t>Projections for school years beginning</t>
  </si>
  <si>
    <t>School Years</t>
  </si>
  <si>
    <t>Staffing Tables of Projected Staffing Needs</t>
  </si>
  <si>
    <t>Network Staff</t>
  </si>
  <si>
    <t>Contracted Services: Other Professional Services</t>
  </si>
  <si>
    <t>Contingencies</t>
  </si>
  <si>
    <t>$135 per</t>
  </si>
  <si>
    <t>$495 per</t>
  </si>
  <si>
    <t>$250 per employee + a little extra for other checks</t>
  </si>
  <si>
    <t>$50 per student + $60per month for back-up</t>
  </si>
  <si>
    <t xml:space="preserve">4.5% of Per Pupil </t>
  </si>
  <si>
    <t>$205 per</t>
  </si>
  <si>
    <t>$50 per</t>
  </si>
  <si>
    <t>$25 per</t>
  </si>
  <si>
    <t>$10 per</t>
  </si>
  <si>
    <t>$45 per</t>
  </si>
  <si>
    <t>Contracted Services: Other Professional</t>
  </si>
  <si>
    <t>Contingencies/Other Purchases</t>
  </si>
  <si>
    <t>$230 per</t>
  </si>
  <si>
    <t>$55 per</t>
  </si>
  <si>
    <t>$28 per</t>
  </si>
  <si>
    <t>$160 per</t>
  </si>
  <si>
    <t>$250 per</t>
  </si>
  <si>
    <t>$165 per</t>
  </si>
  <si>
    <t>$400 per</t>
  </si>
  <si>
    <t>$255 per employee + a little extra for other checks</t>
  </si>
  <si>
    <t xml:space="preserve">3.5% of Per Pupil </t>
  </si>
  <si>
    <t>$435 per</t>
  </si>
  <si>
    <t>Mater Academy of Northern Nevada (MANN) - FY30</t>
  </si>
  <si>
    <t>FY30 (29-30)</t>
  </si>
  <si>
    <t>2029-30</t>
  </si>
  <si>
    <t>$220 per</t>
  </si>
  <si>
    <t>$115 per</t>
  </si>
  <si>
    <t>$27 per</t>
  </si>
  <si>
    <t>$120 per</t>
  </si>
  <si>
    <t>$240 per</t>
  </si>
  <si>
    <t>$56 per</t>
  </si>
  <si>
    <t>$46 per</t>
  </si>
  <si>
    <t>$36 per</t>
  </si>
  <si>
    <t>$57 per</t>
  </si>
  <si>
    <t>$11 per</t>
  </si>
  <si>
    <t>$163 per</t>
  </si>
  <si>
    <t>$47 per</t>
  </si>
  <si>
    <t>$125 per</t>
  </si>
  <si>
    <t xml:space="preserve">2% of Per Pupil </t>
  </si>
  <si>
    <t xml:space="preserve">2.5% of Per Pupil </t>
  </si>
  <si>
    <t>$255 per</t>
  </si>
  <si>
    <t>$37 per</t>
  </si>
  <si>
    <t>$58 per</t>
  </si>
  <si>
    <t>$29 per</t>
  </si>
  <si>
    <t>$12 per</t>
  </si>
  <si>
    <t>$48 per</t>
  </si>
  <si>
    <r>
      <t xml:space="preserve">Beginning Cash Balance - FYE </t>
    </r>
    <r>
      <rPr>
        <sz val="11"/>
        <color rgb="FFFF0000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 Audited (System)</t>
    </r>
  </si>
  <si>
    <t>Back into</t>
  </si>
  <si>
    <t>Tech refresh</t>
  </si>
  <si>
    <t>Grant</t>
  </si>
  <si>
    <t>$42 per</t>
  </si>
  <si>
    <t>$48 per student + $60per month for back-up</t>
  </si>
  <si>
    <t>2% of Per Pupil, was 4.5%</t>
  </si>
  <si>
    <t>$215 per</t>
  </si>
  <si>
    <t>$155 per</t>
  </si>
  <si>
    <t>$265 per</t>
  </si>
  <si>
    <t xml:space="preserve">0.25% of Per Pupil </t>
  </si>
  <si>
    <t>$325 per</t>
  </si>
  <si>
    <t xml:space="preserve">1.5% of Per Pupil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</si>
</sst>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.00###;\-#,##0.00###"/>
    <numFmt numFmtId="168" formatCode="#,##0.00;\-#,##0.00"/>
    <numFmt numFmtId="169" formatCode="#,##0.0#%;\-#,##0.0#%"/>
    <numFmt numFmtId="170" formatCode="&quot;$&quot;#,##0.00"/>
    <numFmt numFmtId="171" formatCode="_(#,##0_);[Red]_(\(#,##0\);_(&quot;-&quot;_);_(@_)"/>
    <numFmt numFmtId="172" formatCode="_(#,##0.00_);[Red]_(\(#,##0.00\);_(&quot;-&quot;_);_(@_)"/>
    <numFmt numFmtId="173" formatCode="_(#,##0.0_);[Red]_(\(#,##0.0\);_(&quot;-&quot;_);_(@_)"/>
    <numFmt numFmtId="174" formatCode="0.000"/>
    <numFmt numFmtId="175" formatCode="0_);[Red]\(0\)"/>
    <numFmt numFmtId="176" formatCode="_(* #,##0.0000_);_(* \(#,##0.000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</cellStyleXfs>
  <cellXfs count="334">
    <xf numFmtId="0" fontId="0" fillId="0" borderId="0" xfId="0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2" applyNumberFormat="1" applyFont="1" applyFill="1" applyBorder="1" applyAlignment="1">
      <alignment horizontal="right"/>
    </xf>
    <xf numFmtId="164" fontId="4" fillId="0" borderId="2" xfId="1" applyNumberFormat="1" applyFont="1" applyBorder="1"/>
    <xf numFmtId="6" fontId="4" fillId="0" borderId="3" xfId="0" applyNumberFormat="1" applyFont="1" applyBorder="1" applyAlignment="1">
      <alignment horizontal="left"/>
    </xf>
    <xf numFmtId="0" fontId="4" fillId="0" borderId="0" xfId="0" applyFont="1"/>
    <xf numFmtId="0" fontId="4" fillId="0" borderId="4" xfId="2" applyNumberFormat="1" applyFont="1" applyFill="1" applyBorder="1" applyAlignment="1">
      <alignment horizontal="right"/>
    </xf>
    <xf numFmtId="164" fontId="3" fillId="0" borderId="2" xfId="1" applyNumberFormat="1" applyFont="1" applyBorder="1"/>
    <xf numFmtId="164" fontId="4" fillId="0" borderId="2" xfId="1" applyNumberFormat="1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64" fontId="4" fillId="0" borderId="2" xfId="3" applyNumberFormat="1" applyFont="1" applyBorder="1"/>
    <xf numFmtId="0" fontId="3" fillId="2" borderId="2" xfId="0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4" fillId="0" borderId="0" xfId="0" applyNumberFormat="1" applyFont="1"/>
    <xf numFmtId="43" fontId="4" fillId="0" borderId="3" xfId="0" applyNumberFormat="1" applyFont="1" applyBorder="1" applyAlignment="1">
      <alignment horizontal="left"/>
    </xf>
    <xf numFmtId="9" fontId="4" fillId="0" borderId="2" xfId="3" applyFont="1" applyFill="1" applyBorder="1"/>
    <xf numFmtId="9" fontId="4" fillId="0" borderId="3" xfId="0" applyNumberFormat="1" applyFont="1" applyBorder="1" applyAlignment="1">
      <alignment horizontal="left"/>
    </xf>
    <xf numFmtId="0" fontId="3" fillId="2" borderId="2" xfId="0" applyFont="1" applyFill="1" applyBorder="1"/>
    <xf numFmtId="43" fontId="4" fillId="0" borderId="2" xfId="1" applyFont="1" applyBorder="1"/>
    <xf numFmtId="43" fontId="4" fillId="0" borderId="2" xfId="1" applyFont="1" applyFill="1" applyBorder="1"/>
    <xf numFmtId="0" fontId="3" fillId="0" borderId="4" xfId="0" applyFont="1" applyBorder="1"/>
    <xf numFmtId="43" fontId="3" fillId="2" borderId="2" xfId="1" applyFont="1" applyFill="1" applyBorder="1"/>
    <xf numFmtId="0" fontId="4" fillId="0" borderId="4" xfId="0" applyFont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wrapText="1"/>
      <protection locked="0"/>
    </xf>
    <xf numFmtId="165" fontId="3" fillId="2" borderId="2" xfId="1" applyNumberFormat="1" applyFont="1" applyFill="1" applyBorder="1"/>
    <xf numFmtId="0" fontId="3" fillId="3" borderId="4" xfId="0" applyFont="1" applyFill="1" applyBorder="1"/>
    <xf numFmtId="164" fontId="4" fillId="0" borderId="1" xfId="1" applyNumberFormat="1" applyFont="1" applyBorder="1"/>
    <xf numFmtId="0" fontId="3" fillId="3" borderId="5" xfId="0" applyFont="1" applyFill="1" applyBorder="1"/>
    <xf numFmtId="43" fontId="3" fillId="0" borderId="5" xfId="1" applyFont="1" applyBorder="1"/>
    <xf numFmtId="0" fontId="3" fillId="3" borderId="1" xfId="0" applyFont="1" applyFill="1" applyBorder="1"/>
    <xf numFmtId="43" fontId="3" fillId="0" borderId="2" xfId="1" applyFont="1" applyBorder="1"/>
    <xf numFmtId="0" fontId="3" fillId="3" borderId="6" xfId="0" applyFont="1" applyFill="1" applyBorder="1"/>
    <xf numFmtId="43" fontId="3" fillId="0" borderId="6" xfId="1" applyFont="1" applyBorder="1"/>
    <xf numFmtId="164" fontId="4" fillId="0" borderId="4" xfId="1" applyNumberFormat="1" applyFont="1" applyBorder="1"/>
    <xf numFmtId="0" fontId="3" fillId="0" borderId="2" xfId="0" applyFont="1" applyBorder="1"/>
    <xf numFmtId="166" fontId="4" fillId="0" borderId="2" xfId="3" applyNumberFormat="1" applyFont="1" applyBorder="1"/>
    <xf numFmtId="166" fontId="4" fillId="0" borderId="2" xfId="3" applyNumberFormat="1" applyFont="1" applyBorder="1" applyAlignment="1">
      <alignment horizontal="center"/>
    </xf>
    <xf numFmtId="0" fontId="3" fillId="4" borderId="7" xfId="0" applyFont="1" applyFill="1" applyBorder="1"/>
    <xf numFmtId="164" fontId="3" fillId="4" borderId="7" xfId="1" applyNumberFormat="1" applyFont="1" applyFill="1" applyBorder="1" applyAlignment="1">
      <alignment horizontal="center"/>
    </xf>
    <xf numFmtId="0" fontId="6" fillId="2" borderId="5" xfId="0" applyFont="1" applyFill="1" applyBorder="1"/>
    <xf numFmtId="164" fontId="3" fillId="2" borderId="8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/>
    <xf numFmtId="164" fontId="4" fillId="0" borderId="3" xfId="0" applyNumberFormat="1" applyFont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164" fontId="3" fillId="5" borderId="2" xfId="1" applyNumberFormat="1" applyFont="1" applyFill="1" applyBorder="1"/>
    <xf numFmtId="0" fontId="6" fillId="2" borderId="2" xfId="0" applyFont="1" applyFill="1" applyBorder="1"/>
    <xf numFmtId="8" fontId="4" fillId="0" borderId="3" xfId="0" applyNumberFormat="1" applyFont="1" applyBorder="1" applyAlignment="1">
      <alignment horizontal="left"/>
    </xf>
    <xf numFmtId="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6" borderId="7" xfId="0" applyFont="1" applyFill="1" applyBorder="1" applyAlignment="1">
      <alignment horizontal="left"/>
    </xf>
    <xf numFmtId="164" fontId="3" fillId="6" borderId="7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right"/>
    </xf>
    <xf numFmtId="164" fontId="3" fillId="7" borderId="2" xfId="1" applyNumberFormat="1" applyFont="1" applyFill="1" applyBorder="1"/>
    <xf numFmtId="0" fontId="6" fillId="2" borderId="11" xfId="0" applyFont="1" applyFill="1" applyBorder="1"/>
    <xf numFmtId="0" fontId="3" fillId="7" borderId="1" xfId="0" applyFont="1" applyFill="1" applyBorder="1" applyAlignment="1">
      <alignment horizontal="right"/>
    </xf>
    <xf numFmtId="164" fontId="3" fillId="7" borderId="1" xfId="1" applyNumberFormat="1" applyFont="1" applyFill="1" applyBorder="1"/>
    <xf numFmtId="0" fontId="3" fillId="6" borderId="2" xfId="0" applyFont="1" applyFill="1" applyBorder="1" applyAlignment="1">
      <alignment horizontal="right"/>
    </xf>
    <xf numFmtId="164" fontId="3" fillId="6" borderId="2" xfId="1" applyNumberFormat="1" applyFont="1" applyFill="1" applyBorder="1"/>
    <xf numFmtId="0" fontId="3" fillId="6" borderId="1" xfId="0" applyFont="1" applyFill="1" applyBorder="1" applyAlignment="1">
      <alignment horizontal="right"/>
    </xf>
    <xf numFmtId="164" fontId="3" fillId="6" borderId="1" xfId="1" applyNumberFormat="1" applyFont="1" applyFill="1" applyBorder="1"/>
    <xf numFmtId="0" fontId="6" fillId="2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/>
    <xf numFmtId="10" fontId="4" fillId="0" borderId="3" xfId="0" applyNumberFormat="1" applyFont="1" applyBorder="1" applyAlignment="1">
      <alignment horizontal="left"/>
    </xf>
    <xf numFmtId="0" fontId="4" fillId="0" borderId="1" xfId="0" applyFont="1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0" fontId="6" fillId="0" borderId="2" xfId="0" applyFont="1" applyBorder="1" applyAlignment="1">
      <alignment horizontal="right"/>
    </xf>
    <xf numFmtId="0" fontId="6" fillId="0" borderId="4" xfId="0" applyFont="1" applyBorder="1"/>
    <xf numFmtId="0" fontId="3" fillId="4" borderId="7" xfId="0" applyFont="1" applyFill="1" applyBorder="1" applyAlignment="1">
      <alignment horizontal="right" wrapText="1"/>
    </xf>
    <xf numFmtId="164" fontId="3" fillId="4" borderId="7" xfId="0" applyNumberFormat="1" applyFont="1" applyFill="1" applyBorder="1"/>
    <xf numFmtId="0" fontId="4" fillId="0" borderId="5" xfId="0" applyFont="1" applyBorder="1"/>
    <xf numFmtId="10" fontId="4" fillId="0" borderId="5" xfId="3" applyNumberFormat="1" applyFont="1" applyBorder="1"/>
    <xf numFmtId="10" fontId="4" fillId="0" borderId="0" xfId="3" applyNumberFormat="1" applyFont="1" applyBorder="1"/>
    <xf numFmtId="164" fontId="4" fillId="0" borderId="0" xfId="1" applyNumberFormat="1" applyFont="1"/>
    <xf numFmtId="0" fontId="2" fillId="7" borderId="8" xfId="0" applyFont="1" applyFill="1" applyBorder="1"/>
    <xf numFmtId="164" fontId="4" fillId="7" borderId="8" xfId="0" applyNumberFormat="1" applyFont="1" applyFill="1" applyBorder="1"/>
    <xf numFmtId="0" fontId="2" fillId="0" borderId="0" xfId="0" applyFont="1"/>
    <xf numFmtId="164" fontId="4" fillId="0" borderId="0" xfId="1" applyNumberFormat="1" applyFont="1" applyBorder="1"/>
    <xf numFmtId="164" fontId="4" fillId="7" borderId="8" xfId="1" applyNumberFormat="1" applyFont="1" applyFill="1" applyBorder="1"/>
    <xf numFmtId="0" fontId="2" fillId="6" borderId="8" xfId="0" applyFont="1" applyFill="1" applyBorder="1"/>
    <xf numFmtId="43" fontId="3" fillId="6" borderId="8" xfId="1" applyFont="1" applyFill="1" applyBorder="1"/>
    <xf numFmtId="10" fontId="4" fillId="0" borderId="0" xfId="3" applyNumberFormat="1" applyFont="1" applyFill="1"/>
    <xf numFmtId="0" fontId="0" fillId="5" borderId="8" xfId="0" applyFill="1" applyBorder="1"/>
    <xf numFmtId="0" fontId="2" fillId="5" borderId="8" xfId="0" applyFont="1" applyFill="1" applyBorder="1"/>
    <xf numFmtId="41" fontId="4" fillId="8" borderId="0" xfId="0" applyNumberFormat="1" applyFont="1" applyFill="1"/>
    <xf numFmtId="41" fontId="4" fillId="9" borderId="0" xfId="0" applyNumberFormat="1" applyFont="1" applyFill="1"/>
    <xf numFmtId="0" fontId="1" fillId="5" borderId="8" xfId="0" applyFont="1" applyFill="1" applyBorder="1"/>
    <xf numFmtId="164" fontId="7" fillId="5" borderId="8" xfId="1" applyNumberFormat="1" applyFont="1" applyFill="1" applyBorder="1"/>
    <xf numFmtId="0" fontId="2" fillId="4" borderId="8" xfId="0" applyFont="1" applyFill="1" applyBorder="1"/>
    <xf numFmtId="43" fontId="3" fillId="4" borderId="8" xfId="1" applyFont="1" applyFill="1" applyBorder="1"/>
    <xf numFmtId="164" fontId="0" fillId="0" borderId="0" xfId="1" applyNumberFormat="1" applyFont="1"/>
    <xf numFmtId="43" fontId="4" fillId="0" borderId="0" xfId="1" applyFont="1"/>
    <xf numFmtId="0" fontId="4" fillId="0" borderId="4" xfId="0" applyFont="1" applyBorder="1" applyAlignment="1" applyProtection="1">
      <alignment horizontal="left"/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0" fontId="4" fillId="0" borderId="3" xfId="3" applyNumberFormat="1" applyFont="1" applyBorder="1" applyAlignment="1">
      <alignment horizontal="left"/>
    </xf>
    <xf numFmtId="10" fontId="4" fillId="0" borderId="0" xfId="3" applyNumberFormat="1" applyFont="1" applyBorder="1" applyAlignment="1">
      <alignment horizontal="left"/>
    </xf>
    <xf numFmtId="165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9" fontId="4" fillId="0" borderId="2" xfId="3" applyFont="1" applyBorder="1"/>
    <xf numFmtId="164" fontId="4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5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0" fontId="4" fillId="0" borderId="2" xfId="3" applyNumberFormat="1" applyFont="1" applyFill="1" applyBorder="1"/>
    <xf numFmtId="44" fontId="4" fillId="0" borderId="3" xfId="2" applyFont="1" applyBorder="1" applyAlignment="1">
      <alignment horizontal="left"/>
    </xf>
    <xf numFmtId="164" fontId="0" fillId="0" borderId="10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0" fontId="0" fillId="0" borderId="2" xfId="3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2" borderId="0" xfId="0" applyFill="1"/>
    <xf numFmtId="49" fontId="9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8" fillId="11" borderId="17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170" fontId="19" fillId="0" borderId="2" xfId="0" applyNumberFormat="1" applyFont="1" applyBorder="1" applyAlignment="1">
      <alignment vertical="center"/>
    </xf>
    <xf numFmtId="170" fontId="19" fillId="0" borderId="16" xfId="0" applyNumberFormat="1" applyFont="1" applyBorder="1" applyAlignment="1">
      <alignment vertical="center"/>
    </xf>
    <xf numFmtId="170" fontId="19" fillId="0" borderId="21" xfId="0" applyNumberFormat="1" applyFont="1" applyBorder="1" applyAlignment="1">
      <alignment vertical="center"/>
    </xf>
    <xf numFmtId="170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1" applyFont="1" applyAlignment="1">
      <alignment wrapText="1"/>
    </xf>
    <xf numFmtId="43" fontId="8" fillId="0" borderId="0" xfId="1" applyFont="1"/>
    <xf numFmtId="43" fontId="8" fillId="0" borderId="22" xfId="1" applyFont="1" applyBorder="1"/>
    <xf numFmtId="10" fontId="4" fillId="0" borderId="0" xfId="3" applyNumberFormat="1" applyFont="1" applyAlignment="1">
      <alignment horizontal="left"/>
    </xf>
    <xf numFmtId="164" fontId="4" fillId="0" borderId="1" xfId="1" applyNumberFormat="1" applyFont="1" applyFill="1" applyBorder="1"/>
    <xf numFmtId="0" fontId="0" fillId="0" borderId="2" xfId="0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4" borderId="1" xfId="1" applyNumberFormat="1" applyFont="1" applyFill="1" applyBorder="1"/>
    <xf numFmtId="9" fontId="4" fillId="0" borderId="0" xfId="3" applyFont="1" applyAlignment="1">
      <alignment horizontal="left"/>
    </xf>
    <xf numFmtId="10" fontId="0" fillId="0" borderId="0" xfId="3" applyNumberFormat="1" applyFont="1"/>
    <xf numFmtId="0" fontId="14" fillId="0" borderId="0" xfId="0" applyFont="1"/>
    <xf numFmtId="0" fontId="15" fillId="0" borderId="0" xfId="0" applyFont="1" applyAlignment="1">
      <alignment horizontal="left" wrapText="1" indent="1"/>
    </xf>
    <xf numFmtId="0" fontId="14" fillId="0" borderId="11" xfId="0" applyFont="1" applyBorder="1"/>
    <xf numFmtId="0" fontId="16" fillId="0" borderId="22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indent="1"/>
    </xf>
    <xf numFmtId="8" fontId="16" fillId="0" borderId="22" xfId="0" applyNumberFormat="1" applyFont="1" applyBorder="1" applyAlignment="1">
      <alignment horizontal="left" vertical="center" wrapText="1" indent="1"/>
    </xf>
    <xf numFmtId="0" fontId="16" fillId="0" borderId="23" xfId="0" applyFont="1" applyBorder="1" applyAlignment="1">
      <alignment horizontal="left" vertical="center" wrapText="1" indent="1"/>
    </xf>
    <xf numFmtId="8" fontId="2" fillId="5" borderId="0" xfId="0" applyNumberFormat="1" applyFont="1" applyFill="1"/>
    <xf numFmtId="49" fontId="0" fillId="12" borderId="0" xfId="0" applyNumberFormat="1" applyFill="1"/>
    <xf numFmtId="49" fontId="0" fillId="12" borderId="0" xfId="0" applyNumberFormat="1" applyFill="1" applyAlignment="1">
      <alignment horizontal="centerContinuous"/>
    </xf>
    <xf numFmtId="49" fontId="10" fillId="12" borderId="0" xfId="0" applyNumberFormat="1" applyFont="1" applyFill="1" applyAlignment="1">
      <alignment horizontal="centerContinuous"/>
    </xf>
    <xf numFmtId="49" fontId="10" fillId="12" borderId="12" xfId="0" applyNumberFormat="1" applyFont="1" applyFill="1" applyBorder="1" applyAlignment="1">
      <alignment horizontal="center"/>
    </xf>
    <xf numFmtId="168" fontId="13" fillId="12" borderId="0" xfId="0" applyNumberFormat="1" applyFont="1" applyFill="1"/>
    <xf numFmtId="169" fontId="13" fillId="12" borderId="0" xfId="0" applyNumberFormat="1" applyFont="1" applyFill="1"/>
    <xf numFmtId="168" fontId="13" fillId="12" borderId="13" xfId="0" applyNumberFormat="1" applyFont="1" applyFill="1" applyBorder="1"/>
    <xf numFmtId="169" fontId="13" fillId="12" borderId="13" xfId="0" applyNumberFormat="1" applyFont="1" applyFill="1" applyBorder="1"/>
    <xf numFmtId="167" fontId="13" fillId="12" borderId="13" xfId="0" applyNumberFormat="1" applyFont="1" applyFill="1" applyBorder="1"/>
    <xf numFmtId="168" fontId="13" fillId="12" borderId="14" xfId="0" applyNumberFormat="1" applyFont="1" applyFill="1" applyBorder="1"/>
    <xf numFmtId="169" fontId="13" fillId="12" borderId="14" xfId="0" applyNumberFormat="1" applyFont="1" applyFill="1" applyBorder="1"/>
    <xf numFmtId="168" fontId="10" fillId="12" borderId="15" xfId="0" applyNumberFormat="1" applyFont="1" applyFill="1" applyBorder="1"/>
    <xf numFmtId="169" fontId="10" fillId="12" borderId="15" xfId="0" applyNumberFormat="1" applyFont="1" applyFill="1" applyBorder="1"/>
    <xf numFmtId="43" fontId="0" fillId="12" borderId="0" xfId="1" applyFont="1" applyFill="1"/>
    <xf numFmtId="43" fontId="0" fillId="12" borderId="0" xfId="0" applyNumberFormat="1" applyFill="1"/>
    <xf numFmtId="43" fontId="4" fillId="0" borderId="0" xfId="1" applyFont="1" applyAlignment="1">
      <alignment horizontal="left"/>
    </xf>
    <xf numFmtId="43" fontId="5" fillId="0" borderId="0" xfId="1" applyFont="1" applyAlignment="1">
      <alignment horizontal="left"/>
    </xf>
    <xf numFmtId="43" fontId="10" fillId="0" borderId="0" xfId="1" applyFont="1"/>
    <xf numFmtId="0" fontId="20" fillId="13" borderId="2" xfId="0" applyFont="1" applyFill="1" applyBorder="1"/>
    <xf numFmtId="164" fontId="20" fillId="13" borderId="2" xfId="1" applyNumberFormat="1" applyFont="1" applyFill="1" applyBorder="1" applyAlignment="1">
      <alignment horizontal="center"/>
    </xf>
    <xf numFmtId="164" fontId="21" fillId="0" borderId="2" xfId="1" applyNumberFormat="1" applyFont="1" applyBorder="1"/>
    <xf numFmtId="0" fontId="21" fillId="0" borderId="0" xfId="0" applyFont="1"/>
    <xf numFmtId="164" fontId="21" fillId="0" borderId="0" xfId="1" applyNumberFormat="1" applyFont="1"/>
    <xf numFmtId="0" fontId="2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2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2" fillId="0" borderId="2" xfId="0" applyNumberFormat="1" applyFont="1" applyBorder="1"/>
    <xf numFmtId="164" fontId="3" fillId="0" borderId="0" xfId="1" applyNumberFormat="1" applyFont="1" applyBorder="1"/>
    <xf numFmtId="164" fontId="0" fillId="0" borderId="0" xfId="0" applyNumberFormat="1"/>
    <xf numFmtId="43" fontId="2" fillId="0" borderId="0" xfId="1" applyFont="1" applyAlignment="1">
      <alignment horizontal="center"/>
    </xf>
    <xf numFmtId="0" fontId="0" fillId="10" borderId="0" xfId="0" applyFill="1"/>
    <xf numFmtId="43" fontId="0" fillId="10" borderId="0" xfId="1" applyFont="1" applyFill="1"/>
    <xf numFmtId="10" fontId="0" fillId="10" borderId="0" xfId="3" applyNumberFormat="1" applyFont="1" applyFill="1"/>
    <xf numFmtId="43" fontId="0" fillId="5" borderId="0" xfId="1" applyFont="1" applyFill="1"/>
    <xf numFmtId="43" fontId="0" fillId="5" borderId="22" xfId="1" applyFont="1" applyFill="1" applyBorder="1"/>
    <xf numFmtId="0" fontId="0" fillId="5" borderId="0" xfId="0" applyFill="1"/>
    <xf numFmtId="10" fontId="0" fillId="5" borderId="0" xfId="3" applyNumberFormat="1" applyFont="1" applyFill="1"/>
    <xf numFmtId="0" fontId="0" fillId="14" borderId="0" xfId="0" applyFill="1"/>
    <xf numFmtId="43" fontId="0" fillId="14" borderId="0" xfId="1" applyFont="1" applyFill="1"/>
    <xf numFmtId="10" fontId="0" fillId="14" borderId="0" xfId="3" applyNumberFormat="1" applyFont="1" applyFill="1"/>
    <xf numFmtId="43" fontId="0" fillId="14" borderId="22" xfId="1" applyFont="1" applyFill="1" applyBorder="1"/>
    <xf numFmtId="43" fontId="0" fillId="14" borderId="0" xfId="0" applyNumberFormat="1" applyFill="1"/>
    <xf numFmtId="0" fontId="4" fillId="0" borderId="0" xfId="0" applyFont="1" applyAlignment="1">
      <alignment horizontal="right"/>
    </xf>
    <xf numFmtId="0" fontId="0" fillId="15" borderId="0" xfId="0" applyFill="1"/>
    <xf numFmtId="43" fontId="0" fillId="15" borderId="0" xfId="1" applyFont="1" applyFill="1"/>
    <xf numFmtId="10" fontId="0" fillId="15" borderId="0" xfId="3" applyNumberFormat="1" applyFont="1" applyFill="1"/>
    <xf numFmtId="43" fontId="0" fillId="15" borderId="22" xfId="1" applyFont="1" applyFill="1" applyBorder="1"/>
    <xf numFmtId="0" fontId="21" fillId="0" borderId="2" xfId="0" applyFont="1" applyBorder="1"/>
    <xf numFmtId="43" fontId="21" fillId="0" borderId="2" xfId="1" applyFont="1" applyBorder="1"/>
    <xf numFmtId="43" fontId="22" fillId="0" borderId="2" xfId="1" applyFont="1" applyBorder="1"/>
    <xf numFmtId="0" fontId="0" fillId="16" borderId="0" xfId="0" applyFill="1"/>
    <xf numFmtId="43" fontId="0" fillId="16" borderId="0" xfId="1" applyFont="1" applyFill="1"/>
    <xf numFmtId="10" fontId="0" fillId="16" borderId="0" xfId="3" applyNumberFormat="1" applyFont="1" applyFill="1"/>
    <xf numFmtId="43" fontId="0" fillId="16" borderId="22" xfId="1" applyFont="1" applyFill="1" applyBorder="1"/>
    <xf numFmtId="43" fontId="0" fillId="0" borderId="0" xfId="0" applyNumberFormat="1"/>
    <xf numFmtId="164" fontId="3" fillId="0" borderId="10" xfId="1" applyNumberFormat="1" applyFont="1" applyBorder="1"/>
    <xf numFmtId="0" fontId="3" fillId="0" borderId="0" xfId="0" applyFont="1"/>
    <xf numFmtId="10" fontId="4" fillId="0" borderId="0" xfId="0" applyNumberFormat="1" applyFont="1"/>
    <xf numFmtId="10" fontId="0" fillId="0" borderId="0" xfId="0" applyNumberFormat="1"/>
    <xf numFmtId="164" fontId="3" fillId="0" borderId="2" xfId="1" applyNumberFormat="1" applyFont="1" applyFill="1" applyBorder="1"/>
    <xf numFmtId="0" fontId="23" fillId="0" borderId="0" xfId="8"/>
    <xf numFmtId="9" fontId="24" fillId="0" borderId="0" xfId="9" applyFont="1"/>
    <xf numFmtId="171" fontId="16" fillId="0" borderId="24" xfId="8" applyNumberFormat="1" applyFont="1" applyBorder="1" applyAlignment="1">
      <alignment vertical="center" wrapText="1"/>
    </xf>
    <xf numFmtId="0" fontId="16" fillId="0" borderId="24" xfId="8" applyFont="1" applyBorder="1" applyAlignment="1">
      <alignment vertical="center" wrapText="1"/>
    </xf>
    <xf numFmtId="0" fontId="24" fillId="0" borderId="0" xfId="8" applyFont="1"/>
    <xf numFmtId="172" fontId="16" fillId="0" borderId="25" xfId="8" applyNumberFormat="1" applyFont="1" applyBorder="1" applyAlignment="1">
      <alignment vertical="center" wrapText="1"/>
    </xf>
    <xf numFmtId="0" fontId="16" fillId="0" borderId="26" xfId="8" applyFont="1" applyBorder="1" applyAlignment="1">
      <alignment vertical="center" wrapText="1"/>
    </xf>
    <xf numFmtId="0" fontId="16" fillId="0" borderId="25" xfId="8" applyFont="1" applyBorder="1" applyAlignment="1">
      <alignment vertical="center" wrapText="1"/>
    </xf>
    <xf numFmtId="171" fontId="24" fillId="0" borderId="0" xfId="8" applyNumberFormat="1" applyFont="1"/>
    <xf numFmtId="171" fontId="23" fillId="0" borderId="0" xfId="8" applyNumberFormat="1"/>
    <xf numFmtId="0" fontId="16" fillId="0" borderId="25" xfId="8" applyFont="1" applyBorder="1" applyAlignment="1">
      <alignment horizontal="right" vertical="center" wrapText="1"/>
    </xf>
    <xf numFmtId="171" fontId="16" fillId="0" borderId="27" xfId="8" applyNumberFormat="1" applyFont="1" applyBorder="1" applyAlignment="1">
      <alignment vertical="center" wrapText="1"/>
    </xf>
    <xf numFmtId="0" fontId="16" fillId="0" borderId="23" xfId="8" applyFont="1" applyBorder="1" applyAlignment="1">
      <alignment horizontal="right" vertical="center" wrapText="1"/>
    </xf>
    <xf numFmtId="0" fontId="16" fillId="0" borderId="22" xfId="8" applyFont="1" applyBorder="1" applyAlignment="1">
      <alignment horizontal="right" vertical="center" wrapText="1"/>
    </xf>
    <xf numFmtId="0" fontId="16" fillId="0" borderId="11" xfId="8" applyFont="1" applyBorder="1" applyAlignment="1">
      <alignment horizontal="right" vertical="center" wrapText="1"/>
    </xf>
    <xf numFmtId="0" fontId="16" fillId="0" borderId="29" xfId="8" applyFont="1" applyBorder="1" applyAlignment="1">
      <alignment horizontal="right" vertical="center" wrapText="1"/>
    </xf>
    <xf numFmtId="0" fontId="16" fillId="0" borderId="30" xfId="8" applyFont="1" applyBorder="1" applyAlignment="1">
      <alignment horizontal="right" vertical="center" wrapText="1"/>
    </xf>
    <xf numFmtId="0" fontId="16" fillId="0" borderId="31" xfId="8" applyFont="1" applyBorder="1" applyAlignment="1">
      <alignment horizontal="right" vertical="center" wrapText="1"/>
    </xf>
    <xf numFmtId="171" fontId="25" fillId="0" borderId="0" xfId="8" applyNumberFormat="1" applyFont="1"/>
    <xf numFmtId="171" fontId="26" fillId="0" borderId="0" xfId="8" quotePrefix="1" applyNumberFormat="1" applyFont="1"/>
    <xf numFmtId="171" fontId="27" fillId="0" borderId="0" xfId="8" quotePrefix="1" applyNumberFormat="1" applyFont="1"/>
    <xf numFmtId="10" fontId="24" fillId="0" borderId="0" xfId="9" applyNumberFormat="1" applyFont="1"/>
    <xf numFmtId="171" fontId="16" fillId="0" borderId="25" xfId="8" applyNumberFormat="1" applyFont="1" applyBorder="1" applyAlignment="1">
      <alignment vertical="center" wrapText="1"/>
    </xf>
    <xf numFmtId="0" fontId="28" fillId="0" borderId="0" xfId="8" quotePrefix="1" applyFont="1" applyAlignment="1">
      <alignment horizontal="left" vertical="center"/>
    </xf>
    <xf numFmtId="0" fontId="16" fillId="17" borderId="31" xfId="8" applyFont="1" applyFill="1" applyBorder="1" applyAlignment="1">
      <alignment horizontal="right" vertical="center" wrapText="1"/>
    </xf>
    <xf numFmtId="171" fontId="27" fillId="0" borderId="0" xfId="8" applyNumberFormat="1" applyFont="1"/>
    <xf numFmtId="0" fontId="28" fillId="0" borderId="0" xfId="8" applyFont="1" applyAlignment="1">
      <alignment vertical="center"/>
    </xf>
    <xf numFmtId="0" fontId="29" fillId="0" borderId="0" xfId="8" applyFont="1"/>
    <xf numFmtId="0" fontId="30" fillId="0" borderId="0" xfId="8" applyFont="1"/>
    <xf numFmtId="0" fontId="31" fillId="0" borderId="0" xfId="8" applyFont="1"/>
    <xf numFmtId="0" fontId="32" fillId="18" borderId="0" xfId="8" applyFont="1" applyFill="1"/>
    <xf numFmtId="0" fontId="33" fillId="18" borderId="0" xfId="8" applyFont="1" applyFill="1"/>
    <xf numFmtId="0" fontId="33" fillId="19" borderId="0" xfId="8" applyFont="1" applyFill="1"/>
    <xf numFmtId="40" fontId="23" fillId="0" borderId="0" xfId="8" applyNumberFormat="1"/>
    <xf numFmtId="0" fontId="34" fillId="0" borderId="0" xfId="8" applyFont="1" applyAlignment="1">
      <alignment vertical="center"/>
    </xf>
    <xf numFmtId="0" fontId="35" fillId="0" borderId="0" xfId="8" applyFont="1"/>
    <xf numFmtId="0" fontId="36" fillId="0" borderId="0" xfId="8" applyFont="1" applyAlignment="1">
      <alignment vertical="center" wrapText="1"/>
    </xf>
    <xf numFmtId="171" fontId="16" fillId="0" borderId="24" xfId="8" applyNumberFormat="1" applyFont="1" applyBorder="1" applyAlignment="1">
      <alignment horizontal="center" vertical="center" wrapText="1"/>
    </xf>
    <xf numFmtId="0" fontId="28" fillId="0" borderId="24" xfId="8" applyFont="1" applyBorder="1" applyAlignment="1">
      <alignment vertical="center" wrapText="1"/>
    </xf>
    <xf numFmtId="171" fontId="16" fillId="0" borderId="36" xfId="8" applyNumberFormat="1" applyFont="1" applyBorder="1" applyAlignment="1">
      <alignment horizontal="center" vertical="center" wrapText="1"/>
    </xf>
    <xf numFmtId="0" fontId="28" fillId="0" borderId="36" xfId="8" applyFont="1" applyBorder="1" applyAlignment="1">
      <alignment vertical="center" wrapText="1"/>
    </xf>
    <xf numFmtId="171" fontId="16" fillId="0" borderId="37" xfId="8" applyNumberFormat="1" applyFont="1" applyBorder="1" applyAlignment="1">
      <alignment horizontal="center" vertical="center" wrapText="1"/>
    </xf>
    <xf numFmtId="173" fontId="16" fillId="0" borderId="37" xfId="8" applyNumberFormat="1" applyFont="1" applyBorder="1" applyAlignment="1">
      <alignment horizontal="center" vertical="center" wrapText="1"/>
    </xf>
    <xf numFmtId="0" fontId="28" fillId="0" borderId="37" xfId="8" applyFont="1" applyBorder="1" applyAlignment="1">
      <alignment vertical="center" wrapText="1"/>
    </xf>
    <xf numFmtId="173" fontId="16" fillId="0" borderId="25" xfId="8" applyNumberFormat="1" applyFont="1" applyBorder="1" applyAlignment="1">
      <alignment horizontal="center" vertical="center" wrapText="1"/>
    </xf>
    <xf numFmtId="171" fontId="16" fillId="0" borderId="25" xfId="8" applyNumberFormat="1" applyFont="1" applyBorder="1" applyAlignment="1">
      <alignment horizontal="center" vertical="center" wrapText="1"/>
    </xf>
    <xf numFmtId="0" fontId="28" fillId="20" borderId="37" xfId="8" applyFont="1" applyFill="1" applyBorder="1" applyAlignment="1">
      <alignment vertical="center" wrapText="1"/>
    </xf>
    <xf numFmtId="0" fontId="28" fillId="0" borderId="0" xfId="8" applyFont="1" applyAlignment="1">
      <alignment horizontal="justify" vertical="center" wrapText="1"/>
    </xf>
    <xf numFmtId="0" fontId="28" fillId="0" borderId="0" xfId="8" applyFont="1" applyAlignment="1">
      <alignment vertical="center" wrapText="1"/>
    </xf>
    <xf numFmtId="0" fontId="23" fillId="0" borderId="0" xfId="8" applyAlignment="1">
      <alignment horizontal="center"/>
    </xf>
    <xf numFmtId="0" fontId="28" fillId="20" borderId="37" xfId="8" applyFont="1" applyFill="1" applyBorder="1" applyAlignment="1">
      <alignment horizontal="center" vertical="center" wrapText="1"/>
    </xf>
    <xf numFmtId="0" fontId="28" fillId="0" borderId="0" xfId="8" applyFont="1" applyAlignment="1">
      <alignment horizontal="center" vertical="center" wrapText="1"/>
    </xf>
    <xf numFmtId="172" fontId="16" fillId="0" borderId="24" xfId="8" applyNumberFormat="1" applyFont="1" applyBorder="1" applyAlignment="1">
      <alignment horizontal="center" vertical="center" wrapText="1"/>
    </xf>
    <xf numFmtId="174" fontId="23" fillId="0" borderId="0" xfId="8" applyNumberFormat="1"/>
    <xf numFmtId="0" fontId="28" fillId="20" borderId="8" xfId="8" applyFont="1" applyFill="1" applyBorder="1" applyAlignment="1">
      <alignment vertical="center" wrapText="1"/>
    </xf>
    <xf numFmtId="171" fontId="16" fillId="0" borderId="27" xfId="8" applyNumberFormat="1" applyFont="1" applyBorder="1" applyAlignment="1">
      <alignment horizontal="center" vertical="center" wrapText="1"/>
    </xf>
    <xf numFmtId="0" fontId="16" fillId="0" borderId="27" xfId="8" applyFont="1" applyBorder="1" applyAlignment="1">
      <alignment vertical="center" wrapText="1"/>
    </xf>
    <xf numFmtId="0" fontId="28" fillId="20" borderId="9" xfId="8" applyFont="1" applyFill="1" applyBorder="1" applyAlignment="1">
      <alignment vertical="center" wrapText="1"/>
    </xf>
    <xf numFmtId="0" fontId="28" fillId="20" borderId="16" xfId="8" applyFont="1" applyFill="1" applyBorder="1" applyAlignment="1">
      <alignment vertical="center" wrapText="1"/>
    </xf>
    <xf numFmtId="0" fontId="16" fillId="0" borderId="0" xfId="8" applyFont="1" applyAlignment="1">
      <alignment vertical="center" wrapText="1"/>
    </xf>
    <xf numFmtId="0" fontId="28" fillId="0" borderId="30" xfId="8" applyFont="1" applyBorder="1" applyAlignment="1">
      <alignment vertical="center" wrapText="1"/>
    </xf>
    <xf numFmtId="171" fontId="16" fillId="0" borderId="26" xfId="8" applyNumberFormat="1" applyFont="1" applyBorder="1" applyAlignment="1">
      <alignment horizontal="center" vertical="center" wrapText="1"/>
    </xf>
    <xf numFmtId="0" fontId="28" fillId="20" borderId="38" xfId="8" applyFont="1" applyFill="1" applyBorder="1" applyAlignment="1">
      <alignment horizontal="center" vertical="center" wrapText="1"/>
    </xf>
    <xf numFmtId="0" fontId="28" fillId="20" borderId="39" xfId="8" applyFont="1" applyFill="1" applyBorder="1" applyAlignment="1">
      <alignment horizontal="center" vertical="center" wrapText="1"/>
    </xf>
    <xf numFmtId="0" fontId="28" fillId="20" borderId="40" xfId="8" applyFont="1" applyFill="1" applyBorder="1" applyAlignment="1">
      <alignment horizontal="right" vertical="center" wrapText="1" indent="4"/>
    </xf>
    <xf numFmtId="0" fontId="37" fillId="0" borderId="0" xfId="8" applyFont="1"/>
    <xf numFmtId="0" fontId="16" fillId="0" borderId="0" xfId="8" applyFont="1" applyAlignment="1">
      <alignment vertical="center"/>
    </xf>
    <xf numFmtId="171" fontId="28" fillId="0" borderId="0" xfId="8" applyNumberFormat="1" applyFont="1" applyAlignment="1">
      <alignment vertical="center" wrapText="1"/>
    </xf>
    <xf numFmtId="171" fontId="28" fillId="0" borderId="30" xfId="8" applyNumberFormat="1" applyFont="1" applyBorder="1" applyAlignment="1">
      <alignment horizontal="center" vertical="center" wrapText="1"/>
    </xf>
    <xf numFmtId="175" fontId="32" fillId="0" borderId="23" xfId="8" applyNumberFormat="1" applyFont="1" applyBorder="1"/>
    <xf numFmtId="175" fontId="32" fillId="0" borderId="22" xfId="8" applyNumberFormat="1" applyFont="1" applyBorder="1"/>
    <xf numFmtId="175" fontId="32" fillId="0" borderId="11" xfId="8" applyNumberFormat="1" applyFont="1" applyBorder="1"/>
    <xf numFmtId="175" fontId="32" fillId="0" borderId="29" xfId="8" applyNumberFormat="1" applyFont="1" applyBorder="1"/>
    <xf numFmtId="175" fontId="32" fillId="0" borderId="30" xfId="8" applyNumberFormat="1" applyFont="1" applyBorder="1"/>
    <xf numFmtId="175" fontId="38" fillId="17" borderId="31" xfId="8" applyNumberFormat="1" applyFont="1" applyFill="1" applyBorder="1"/>
    <xf numFmtId="171" fontId="32" fillId="0" borderId="30" xfId="8" applyNumberFormat="1" applyFont="1" applyBorder="1" applyAlignment="1">
      <alignment horizontal="right"/>
    </xf>
    <xf numFmtId="171" fontId="23" fillId="0" borderId="29" xfId="8" applyNumberFormat="1" applyBorder="1"/>
    <xf numFmtId="171" fontId="23" fillId="0" borderId="30" xfId="8" applyNumberFormat="1" applyBorder="1"/>
    <xf numFmtId="171" fontId="32" fillId="0" borderId="31" xfId="8" applyNumberFormat="1" applyFont="1" applyBorder="1"/>
    <xf numFmtId="0" fontId="39" fillId="0" borderId="0" xfId="8" applyFont="1"/>
    <xf numFmtId="165" fontId="0" fillId="0" borderId="0" xfId="0" applyNumberFormat="1"/>
    <xf numFmtId="9" fontId="0" fillId="0" borderId="0" xfId="3" applyFont="1"/>
    <xf numFmtId="166" fontId="0" fillId="0" borderId="0" xfId="3" applyNumberFormat="1" applyFont="1"/>
    <xf numFmtId="176" fontId="4" fillId="0" borderId="0" xfId="1" applyNumberFormat="1" applyFont="1" applyAlignment="1">
      <alignment horizontal="left"/>
    </xf>
    <xf numFmtId="41" fontId="4" fillId="0" borderId="0" xfId="0" applyNumberFormat="1" applyFont="1"/>
    <xf numFmtId="41" fontId="4" fillId="10" borderId="0" xfId="0" applyNumberFormat="1" applyFont="1" applyFill="1"/>
    <xf numFmtId="0" fontId="42" fillId="0" borderId="11" xfId="8" applyFont="1" applyBorder="1" applyAlignment="1">
      <alignment horizontal="right" vertical="center" wrapText="1"/>
    </xf>
    <xf numFmtId="0" fontId="42" fillId="0" borderId="31" xfId="8" applyFont="1" applyBorder="1" applyAlignment="1">
      <alignment horizontal="right" vertical="center" wrapText="1"/>
    </xf>
    <xf numFmtId="43" fontId="4" fillId="0" borderId="3" xfId="1" applyFont="1" applyBorder="1" applyAlignment="1">
      <alignment horizontal="left"/>
    </xf>
    <xf numFmtId="173" fontId="23" fillId="0" borderId="0" xfId="8" applyNumberFormat="1"/>
    <xf numFmtId="0" fontId="16" fillId="0" borderId="35" xfId="8" applyFont="1" applyBorder="1" applyAlignment="1">
      <alignment horizontal="center" vertical="center" wrapText="1"/>
    </xf>
    <xf numFmtId="0" fontId="16" fillId="0" borderId="32" xfId="8" applyFont="1" applyBorder="1" applyAlignment="1">
      <alignment horizontal="center" vertical="center" wrapText="1"/>
    </xf>
    <xf numFmtId="0" fontId="16" fillId="0" borderId="28" xfId="8" applyFont="1" applyBorder="1" applyAlignment="1">
      <alignment horizontal="center" vertical="center" wrapText="1"/>
    </xf>
    <xf numFmtId="0" fontId="16" fillId="0" borderId="34" xfId="8" applyFont="1" applyBorder="1" applyAlignment="1">
      <alignment horizontal="center" vertical="center" wrapText="1"/>
    </xf>
    <xf numFmtId="0" fontId="16" fillId="0" borderId="14" xfId="8" applyFont="1" applyBorder="1" applyAlignment="1">
      <alignment horizontal="center" vertical="center" wrapText="1"/>
    </xf>
    <xf numFmtId="0" fontId="16" fillId="0" borderId="33" xfId="8" applyFont="1" applyBorder="1" applyAlignment="1">
      <alignment horizontal="center" vertical="center" wrapText="1"/>
    </xf>
    <xf numFmtId="173" fontId="16" fillId="0" borderId="25" xfId="8" applyNumberFormat="1" applyFont="1" applyBorder="1" applyAlignment="1">
      <alignment horizontal="center" vertical="center" wrapText="1"/>
    </xf>
    <xf numFmtId="171" fontId="16" fillId="0" borderId="26" xfId="8" applyNumberFormat="1" applyFont="1" applyBorder="1" applyAlignment="1">
      <alignment horizontal="center" vertical="center" wrapText="1"/>
    </xf>
    <xf numFmtId="171" fontId="16" fillId="0" borderId="27" xfId="8" applyNumberFormat="1" applyFont="1" applyBorder="1" applyAlignment="1">
      <alignment horizontal="center" vertical="center" wrapText="1"/>
    </xf>
    <xf numFmtId="171" fontId="16" fillId="0" borderId="25" xfId="8" applyNumberFormat="1" applyFont="1" applyBorder="1" applyAlignment="1">
      <alignment horizontal="center" vertical="center" wrapText="1"/>
    </xf>
    <xf numFmtId="0" fontId="16" fillId="0" borderId="26" xfId="8" applyFont="1" applyBorder="1" applyAlignment="1">
      <alignment horizontal="left" vertical="center" wrapText="1"/>
    </xf>
    <xf numFmtId="0" fontId="16" fillId="0" borderId="27" xfId="8" applyFont="1" applyBorder="1" applyAlignment="1">
      <alignment horizontal="left" vertical="center" wrapText="1"/>
    </xf>
    <xf numFmtId="0" fontId="28" fillId="20" borderId="16" xfId="8" applyFont="1" applyFill="1" applyBorder="1" applyAlignment="1">
      <alignment horizontal="left" vertical="center" wrapText="1"/>
    </xf>
    <xf numFmtId="0" fontId="28" fillId="20" borderId="8" xfId="8" applyFont="1" applyFill="1" applyBorder="1" applyAlignment="1">
      <alignment horizontal="left" vertical="center" wrapText="1"/>
    </xf>
    <xf numFmtId="0" fontId="28" fillId="20" borderId="9" xfId="8" applyFont="1" applyFill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10" borderId="9" xfId="0" applyFont="1" applyFill="1" applyBorder="1" applyAlignment="1">
      <alignment horizontal="center"/>
    </xf>
    <xf numFmtId="0" fontId="20" fillId="14" borderId="16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/>
    </xf>
    <xf numFmtId="0" fontId="20" fillId="14" borderId="9" xfId="0" applyFont="1" applyFill="1" applyBorder="1" applyAlignment="1">
      <alignment horizontal="center"/>
    </xf>
  </cellXfs>
  <cellStyles count="10">
    <cellStyle name="Comma" xfId="1" builtinId="3"/>
    <cellStyle name="Comma 2" xfId="4"/>
    <cellStyle name="Currency" xfId="2" builtinId="4"/>
    <cellStyle name="Currency 2" xfId="7"/>
    <cellStyle name="Normal" xfId="0" builtinId="0"/>
    <cellStyle name="Normal 2" xfId="5"/>
    <cellStyle name="Normal 2 2" xfId="8"/>
    <cellStyle name="Percent" xfId="3" builtinId="5"/>
    <cellStyle name="Percent 2" xfId="6"/>
    <cellStyle name="Percent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21</xdr:col>
      <xdr:colOff>246895</xdr:colOff>
      <xdr:row>27</xdr:row>
      <xdr:rowOff>28312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A5128B-7DBE-4169-A9D7-93059372A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3048495" cy="47368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20</xdr:col>
      <xdr:colOff>151695</xdr:colOff>
      <xdr:row>129</xdr:row>
      <xdr:rowOff>37092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F01B05-E1B2-45E9-A202-7E561F191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67300"/>
          <a:ext cx="12343695" cy="18315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21</xdr:col>
      <xdr:colOff>161181</xdr:colOff>
      <xdr:row>87</xdr:row>
      <xdr:rowOff>56305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42BE39-DF39-4A21-A2E2-35DF0005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2962781" cy="15620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zoomScale="85" zoomScaleNormal="85" workbookViewId="0">
      <selection activeCell="F34" sqref="F34"/>
    </sheetView>
  </sheetViews>
  <sheetFormatPr defaultRowHeight="14.5" x14ac:dyDescent="0.35"/>
  <cols>
    <col min="1" max="1" width="18.81640625" bestFit="1" customWidth="1"/>
    <col min="3" max="3" width="8.81640625" bestFit="1" customWidth="1"/>
    <col min="4" max="6" width="9.08984375" bestFit="1" customWidth="1"/>
    <col min="7" max="7" width="12.1796875" customWidth="1"/>
    <col min="8" max="8" width="11.08984375" customWidth="1"/>
    <col min="18" max="18" width="13.6328125" bestFit="1" customWidth="1"/>
  </cols>
  <sheetData>
    <row r="2" spans="1:18" x14ac:dyDescent="0.35">
      <c r="B2" s="121" t="s">
        <v>328</v>
      </c>
      <c r="C2" s="121" t="s">
        <v>329</v>
      </c>
      <c r="D2" s="121" t="s">
        <v>330</v>
      </c>
      <c r="E2" s="121" t="s">
        <v>333</v>
      </c>
      <c r="F2" s="121" t="s">
        <v>334</v>
      </c>
      <c r="G2" s="124"/>
      <c r="H2" s="122" t="s">
        <v>344</v>
      </c>
      <c r="I2" s="124" t="s">
        <v>336</v>
      </c>
    </row>
    <row r="3" spans="1:18" x14ac:dyDescent="0.35">
      <c r="A3" s="186" t="s">
        <v>5</v>
      </c>
      <c r="B3" s="5">
        <f>25*4</f>
        <v>100</v>
      </c>
      <c r="C3" s="5">
        <f>25*4</f>
        <v>100</v>
      </c>
      <c r="D3" s="5">
        <f>25*4</f>
        <v>100</v>
      </c>
      <c r="E3" s="5">
        <f t="shared" ref="E3:F3" si="0">25*4</f>
        <v>100</v>
      </c>
      <c r="F3" s="5">
        <f t="shared" si="0"/>
        <v>100</v>
      </c>
      <c r="H3" s="101">
        <v>100</v>
      </c>
      <c r="P3" t="s">
        <v>340</v>
      </c>
    </row>
    <row r="4" spans="1:18" x14ac:dyDescent="0.35">
      <c r="A4" s="187" t="s">
        <v>6</v>
      </c>
      <c r="B4" s="5">
        <f t="shared" ref="B4:F6" si="1">26*4</f>
        <v>104</v>
      </c>
      <c r="C4" s="5">
        <f t="shared" si="1"/>
        <v>104</v>
      </c>
      <c r="D4" s="5">
        <f t="shared" si="1"/>
        <v>104</v>
      </c>
      <c r="E4" s="5">
        <f t="shared" si="1"/>
        <v>104</v>
      </c>
      <c r="F4" s="5">
        <f t="shared" si="1"/>
        <v>104</v>
      </c>
      <c r="H4" s="101">
        <v>104</v>
      </c>
      <c r="L4" t="s">
        <v>337</v>
      </c>
      <c r="M4" t="s">
        <v>338</v>
      </c>
      <c r="O4" t="s">
        <v>339</v>
      </c>
      <c r="R4" s="143">
        <v>27200000</v>
      </c>
    </row>
    <row r="5" spans="1:18" x14ac:dyDescent="0.35">
      <c r="A5" s="187" t="s">
        <v>7</v>
      </c>
      <c r="B5" s="5">
        <f t="shared" si="1"/>
        <v>104</v>
      </c>
      <c r="C5" s="5">
        <f t="shared" si="1"/>
        <v>104</v>
      </c>
      <c r="D5" s="5">
        <f t="shared" si="1"/>
        <v>104</v>
      </c>
      <c r="E5" s="5">
        <f t="shared" si="1"/>
        <v>104</v>
      </c>
      <c r="F5" s="5">
        <f t="shared" si="1"/>
        <v>104</v>
      </c>
      <c r="H5" s="101">
        <v>104</v>
      </c>
    </row>
    <row r="6" spans="1:18" x14ac:dyDescent="0.35">
      <c r="A6" s="186" t="s">
        <v>8</v>
      </c>
      <c r="B6" s="5">
        <f t="shared" si="1"/>
        <v>104</v>
      </c>
      <c r="C6" s="5">
        <f t="shared" si="1"/>
        <v>104</v>
      </c>
      <c r="D6" s="5">
        <f t="shared" si="1"/>
        <v>104</v>
      </c>
      <c r="E6" s="5">
        <f t="shared" si="1"/>
        <v>104</v>
      </c>
      <c r="F6" s="5">
        <f t="shared" si="1"/>
        <v>104</v>
      </c>
      <c r="H6" s="101">
        <v>104</v>
      </c>
      <c r="L6" t="s">
        <v>341</v>
      </c>
      <c r="O6" t="s">
        <v>342</v>
      </c>
    </row>
    <row r="7" spans="1:18" x14ac:dyDescent="0.35">
      <c r="A7" s="186" t="s">
        <v>9</v>
      </c>
      <c r="B7" s="5">
        <f>26*3</f>
        <v>78</v>
      </c>
      <c r="C7" s="5">
        <f>26*4</f>
        <v>104</v>
      </c>
      <c r="D7" s="5">
        <f>26*4</f>
        <v>104</v>
      </c>
      <c r="E7" s="5">
        <f>26*4</f>
        <v>104</v>
      </c>
      <c r="F7" s="5">
        <f>26*4</f>
        <v>104</v>
      </c>
      <c r="H7" s="101">
        <v>104</v>
      </c>
    </row>
    <row r="8" spans="1:18" x14ac:dyDescent="0.35">
      <c r="A8" s="186" t="s">
        <v>10</v>
      </c>
      <c r="B8" s="5">
        <f>26*2</f>
        <v>52</v>
      </c>
      <c r="C8" s="5">
        <f>26*3</f>
        <v>78</v>
      </c>
      <c r="D8" s="5">
        <f>26*4</f>
        <v>104</v>
      </c>
      <c r="E8" s="5">
        <f>26*4</f>
        <v>104</v>
      </c>
      <c r="F8" s="5">
        <f>26*4</f>
        <v>104</v>
      </c>
      <c r="H8" s="101">
        <v>104</v>
      </c>
    </row>
    <row r="9" spans="1:18" x14ac:dyDescent="0.35">
      <c r="A9" s="186" t="s">
        <v>11</v>
      </c>
      <c r="B9" s="5">
        <f>31*3</f>
        <v>93</v>
      </c>
      <c r="C9" s="5">
        <f>31*4</f>
        <v>124</v>
      </c>
      <c r="D9" s="5">
        <f>31*4</f>
        <v>124</v>
      </c>
      <c r="E9" s="5">
        <f>26*4</f>
        <v>104</v>
      </c>
      <c r="F9" s="5">
        <f>26*4</f>
        <v>104</v>
      </c>
      <c r="H9" s="101">
        <v>124</v>
      </c>
      <c r="O9" t="s">
        <v>343</v>
      </c>
    </row>
    <row r="10" spans="1:18" x14ac:dyDescent="0.35">
      <c r="A10" s="186" t="s">
        <v>12</v>
      </c>
      <c r="B10" s="5">
        <f>31*2</f>
        <v>62</v>
      </c>
      <c r="C10" s="5">
        <f>31*3</f>
        <v>93</v>
      </c>
      <c r="D10" s="5">
        <f>31*4</f>
        <v>124</v>
      </c>
      <c r="E10" s="5">
        <f>31*4</f>
        <v>124</v>
      </c>
      <c r="F10" s="5">
        <f>26*4</f>
        <v>104</v>
      </c>
      <c r="H10" s="101">
        <v>124</v>
      </c>
    </row>
    <row r="11" spans="1:18" x14ac:dyDescent="0.35">
      <c r="A11" s="186" t="s">
        <v>13</v>
      </c>
      <c r="B11" s="5">
        <v>31</v>
      </c>
      <c r="C11" s="5">
        <f>31*2</f>
        <v>62</v>
      </c>
      <c r="D11" s="5">
        <f>31*3</f>
        <v>93</v>
      </c>
      <c r="E11" s="5">
        <f>31*4</f>
        <v>124</v>
      </c>
      <c r="F11" s="5">
        <f>31*4</f>
        <v>124</v>
      </c>
      <c r="H11" s="101">
        <v>124</v>
      </c>
    </row>
    <row r="12" spans="1:18" x14ac:dyDescent="0.35">
      <c r="A12" s="186" t="s">
        <v>14</v>
      </c>
      <c r="B12" s="5">
        <f>31*2</f>
        <v>62</v>
      </c>
      <c r="C12" s="5">
        <f>31*3</f>
        <v>93</v>
      </c>
      <c r="D12" s="5">
        <f>31*4</f>
        <v>124</v>
      </c>
      <c r="E12" s="5">
        <f>31*5</f>
        <v>155</v>
      </c>
      <c r="F12" s="5">
        <f>31*5</f>
        <v>155</v>
      </c>
      <c r="H12" s="101">
        <v>155</v>
      </c>
    </row>
    <row r="13" spans="1:18" x14ac:dyDescent="0.35">
      <c r="A13" s="186" t="s">
        <v>15</v>
      </c>
      <c r="B13" s="5">
        <v>0</v>
      </c>
      <c r="C13" s="5">
        <v>62</v>
      </c>
      <c r="D13" s="5">
        <f>31*3</f>
        <v>93</v>
      </c>
      <c r="E13" s="5">
        <f>31*4</f>
        <v>124</v>
      </c>
      <c r="F13" s="5">
        <f>31*5</f>
        <v>155</v>
      </c>
      <c r="H13" s="101">
        <v>155</v>
      </c>
    </row>
    <row r="14" spans="1:18" x14ac:dyDescent="0.35">
      <c r="A14" s="186" t="s">
        <v>16</v>
      </c>
      <c r="B14" s="5">
        <v>0</v>
      </c>
      <c r="C14" s="5">
        <v>0</v>
      </c>
      <c r="D14" s="5">
        <f>31*2</f>
        <v>62</v>
      </c>
      <c r="E14" s="5">
        <f>31*3</f>
        <v>93</v>
      </c>
      <c r="F14" s="5">
        <f>31*4</f>
        <v>124</v>
      </c>
      <c r="H14" s="101">
        <v>155</v>
      </c>
    </row>
    <row r="15" spans="1:18" x14ac:dyDescent="0.35">
      <c r="A15" s="186" t="s">
        <v>17</v>
      </c>
      <c r="B15" s="5">
        <v>0</v>
      </c>
      <c r="C15" s="5">
        <v>0</v>
      </c>
      <c r="D15" s="5">
        <v>0</v>
      </c>
      <c r="E15" s="5">
        <f>31*2</f>
        <v>62</v>
      </c>
      <c r="F15" s="5">
        <f>31*3</f>
        <v>93</v>
      </c>
      <c r="H15" s="101">
        <v>155</v>
      </c>
    </row>
    <row r="16" spans="1:18" x14ac:dyDescent="0.35">
      <c r="A16" s="188" t="s">
        <v>4</v>
      </c>
      <c r="B16" s="189">
        <f>SUM(B3:B15)</f>
        <v>790</v>
      </c>
      <c r="C16" s="9">
        <f t="shared" ref="C16:E16" si="2">SUM(C3:C15)</f>
        <v>1028</v>
      </c>
      <c r="D16" s="9">
        <f t="shared" si="2"/>
        <v>1240</v>
      </c>
      <c r="E16" s="9">
        <f t="shared" si="2"/>
        <v>1406</v>
      </c>
      <c r="F16" s="9">
        <f t="shared" ref="F16" si="3">SUM(F3:F15)</f>
        <v>1479</v>
      </c>
      <c r="G16" s="190"/>
      <c r="H16" s="9">
        <f t="shared" ref="H16" si="4">SUM(H3:H15)</f>
        <v>1612</v>
      </c>
      <c r="I16" s="191"/>
    </row>
    <row r="18" spans="1:8" x14ac:dyDescent="0.35">
      <c r="A18" s="205" t="s">
        <v>355</v>
      </c>
      <c r="C18" s="191">
        <f>C16-B16</f>
        <v>238</v>
      </c>
      <c r="D18" s="191">
        <f t="shared" ref="D18:F18" si="5">D16-C16</f>
        <v>212</v>
      </c>
      <c r="E18" s="191">
        <f t="shared" si="5"/>
        <v>166</v>
      </c>
      <c r="F18" s="191">
        <f t="shared" si="5"/>
        <v>73</v>
      </c>
    </row>
    <row r="20" spans="1:8" x14ac:dyDescent="0.35">
      <c r="C20" s="98">
        <v>700</v>
      </c>
      <c r="D20" s="98">
        <v>1000</v>
      </c>
      <c r="E20" s="98">
        <v>1200</v>
      </c>
      <c r="F20" s="98">
        <v>1375</v>
      </c>
    </row>
    <row r="21" spans="1:8" x14ac:dyDescent="0.35">
      <c r="A21" s="142" t="s">
        <v>1</v>
      </c>
      <c r="C21" s="98">
        <f>C20*0.1</f>
        <v>70</v>
      </c>
      <c r="D21" s="98">
        <f t="shared" ref="D21:E21" si="6">D20*0.1</f>
        <v>100</v>
      </c>
      <c r="E21" s="98">
        <f t="shared" si="6"/>
        <v>120</v>
      </c>
      <c r="F21" s="98">
        <v>137</v>
      </c>
    </row>
    <row r="22" spans="1:8" x14ac:dyDescent="0.35">
      <c r="A22" s="142" t="s">
        <v>187</v>
      </c>
      <c r="B22" s="191"/>
      <c r="C22" s="98">
        <f>C20*0.35</f>
        <v>244.99999999999997</v>
      </c>
      <c r="D22" s="98">
        <f t="shared" ref="D22:E22" si="7">D20*0.35</f>
        <v>350</v>
      </c>
      <c r="E22" s="98">
        <f t="shared" si="7"/>
        <v>420</v>
      </c>
      <c r="F22" s="98">
        <v>481</v>
      </c>
    </row>
    <row r="23" spans="1:8" x14ac:dyDescent="0.35">
      <c r="A23" s="142" t="s">
        <v>332</v>
      </c>
      <c r="C23" s="98">
        <f>C20-C21-C22</f>
        <v>385</v>
      </c>
      <c r="D23" s="98">
        <f t="shared" ref="D23:F23" si="8">D20-D21-D22</f>
        <v>550</v>
      </c>
      <c r="E23" s="98">
        <f t="shared" si="8"/>
        <v>660</v>
      </c>
      <c r="F23" s="98">
        <f t="shared" si="8"/>
        <v>757</v>
      </c>
    </row>
    <row r="28" spans="1:8" ht="29" x14ac:dyDescent="0.35">
      <c r="A28" s="121" t="s">
        <v>294</v>
      </c>
      <c r="B28" s="122" t="s">
        <v>1</v>
      </c>
      <c r="C28" s="122" t="s">
        <v>187</v>
      </c>
      <c r="D28" s="122" t="s">
        <v>188</v>
      </c>
      <c r="E28" s="122" t="s">
        <v>189</v>
      </c>
      <c r="F28" s="122" t="s">
        <v>190</v>
      </c>
      <c r="G28" s="122" t="s">
        <v>191</v>
      </c>
      <c r="H28" s="122" t="s">
        <v>192</v>
      </c>
    </row>
    <row r="29" spans="1:8" x14ac:dyDescent="0.35">
      <c r="A29" s="101" t="s">
        <v>295</v>
      </c>
      <c r="B29" s="102">
        <v>42</v>
      </c>
      <c r="C29" s="102">
        <v>186</v>
      </c>
      <c r="D29" s="102">
        <v>0</v>
      </c>
      <c r="E29" s="102">
        <v>261</v>
      </c>
      <c r="F29" s="102">
        <v>489</v>
      </c>
      <c r="G29" s="102">
        <v>489</v>
      </c>
      <c r="H29" s="123">
        <v>1</v>
      </c>
    </row>
    <row r="31" spans="1:8" x14ac:dyDescent="0.35">
      <c r="B31" s="153">
        <f>B29/$G$29</f>
        <v>8.5889570552147243E-2</v>
      </c>
      <c r="C31" s="153">
        <f t="shared" ref="C31:E31" si="9">C29/$G$29</f>
        <v>0.38036809815950923</v>
      </c>
      <c r="D31" s="153">
        <f t="shared" si="9"/>
        <v>0</v>
      </c>
      <c r="E31" s="153">
        <f t="shared" si="9"/>
        <v>0.53374233128834359</v>
      </c>
    </row>
  </sheetData>
  <pageMargins left="0.7" right="0.7" top="0.75" bottom="0.75" header="0.3" footer="0.3"/>
  <pageSetup orientation="landscape" r:id="rId1"/>
  <ignoredErrors>
    <ignoredError sqref="C11:D11 D12:E12 F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"/>
  <sheetViews>
    <sheetView zoomScale="75" zoomScaleNormal="75" workbookViewId="0">
      <pane xSplit="1" topLeftCell="B1" activePane="topRight" state="frozen"/>
      <selection activeCell="C185" sqref="C185"/>
      <selection pane="topRight" activeCell="L9" sqref="L9:P9"/>
    </sheetView>
  </sheetViews>
  <sheetFormatPr defaultRowHeight="14.5" x14ac:dyDescent="0.35"/>
  <cols>
    <col min="1" max="1" width="56.54296875" style="7" customWidth="1"/>
    <col min="2" max="8" width="15.6328125" style="81" customWidth="1"/>
  </cols>
  <sheetData>
    <row r="1" spans="1:16" x14ac:dyDescent="0.35">
      <c r="A1" s="1" t="s">
        <v>380</v>
      </c>
      <c r="B1" s="1" t="s">
        <v>362</v>
      </c>
      <c r="C1" s="1" t="s">
        <v>363</v>
      </c>
      <c r="D1" s="1" t="s">
        <v>364</v>
      </c>
      <c r="E1" s="1" t="s">
        <v>365</v>
      </c>
      <c r="F1" s="1" t="s">
        <v>366</v>
      </c>
      <c r="G1" s="1" t="s">
        <v>367</v>
      </c>
      <c r="H1" s="1" t="s">
        <v>482</v>
      </c>
    </row>
    <row r="2" spans="1:16" x14ac:dyDescent="0.35">
      <c r="A2" s="4" t="s">
        <v>3</v>
      </c>
      <c r="B2" s="5">
        <f>'FY24'!I2</f>
        <v>8966</v>
      </c>
      <c r="C2" s="5">
        <f>'FY25'!I2</f>
        <v>9414</v>
      </c>
      <c r="D2" s="5">
        <f>'FY26'!I2</f>
        <v>9555</v>
      </c>
      <c r="E2" s="5">
        <f>'FY27'!I2</f>
        <v>9695</v>
      </c>
      <c r="F2" s="5">
        <f>'FY28'!I2</f>
        <v>9840</v>
      </c>
      <c r="G2" s="5">
        <f>'FY29'!I2</f>
        <v>9987</v>
      </c>
      <c r="H2" s="5">
        <f>'FY30'!I2</f>
        <v>10136</v>
      </c>
    </row>
    <row r="3" spans="1:16" x14ac:dyDescent="0.35">
      <c r="A3" s="8" t="s">
        <v>4</v>
      </c>
      <c r="B3" s="9">
        <f t="shared" ref="B3:G3" si="0">B4+B5+B6+B7+B8+B9+B10+B11+B12+B13+B14+B15+B16</f>
        <v>498</v>
      </c>
      <c r="C3" s="9">
        <f t="shared" si="0"/>
        <v>498</v>
      </c>
      <c r="D3" s="9">
        <f t="shared" si="0"/>
        <v>465</v>
      </c>
      <c r="E3" s="9">
        <f t="shared" si="0"/>
        <v>465</v>
      </c>
      <c r="F3" s="9">
        <f t="shared" si="0"/>
        <v>465</v>
      </c>
      <c r="G3" s="9">
        <f t="shared" si="0"/>
        <v>465</v>
      </c>
      <c r="H3" s="9">
        <f t="shared" ref="H3" si="1">H4+H5+H6+H7+H8+H9+H10+H11+H12+H13+H14+H15+H16</f>
        <v>465</v>
      </c>
    </row>
    <row r="4" spans="1:16" x14ac:dyDescent="0.35">
      <c r="A4" s="103" t="s">
        <v>5</v>
      </c>
      <c r="B4" s="10">
        <f>'FY24'!I4</f>
        <v>50</v>
      </c>
      <c r="C4" s="5">
        <f>'FY25'!I4</f>
        <v>50</v>
      </c>
      <c r="D4" s="10">
        <f>'FY26'!I4</f>
        <v>75</v>
      </c>
      <c r="E4" s="10">
        <f>'FY27'!I4</f>
        <v>75</v>
      </c>
      <c r="F4" s="10">
        <f>'FY28'!I4</f>
        <v>75</v>
      </c>
      <c r="G4" s="10">
        <f>'FY29'!I4</f>
        <v>75</v>
      </c>
      <c r="H4" s="10">
        <f>'FY30'!I4</f>
        <v>75</v>
      </c>
      <c r="J4" s="303">
        <f t="shared" ref="J4:P4" si="2">B4/25</f>
        <v>2</v>
      </c>
      <c r="K4" s="303">
        <f t="shared" si="2"/>
        <v>2</v>
      </c>
      <c r="L4" s="303">
        <f t="shared" si="2"/>
        <v>3</v>
      </c>
      <c r="M4" s="303">
        <f t="shared" si="2"/>
        <v>3</v>
      </c>
      <c r="N4" s="303">
        <f t="shared" si="2"/>
        <v>3</v>
      </c>
      <c r="O4" s="303">
        <f t="shared" si="2"/>
        <v>3</v>
      </c>
      <c r="P4" s="303">
        <f t="shared" si="2"/>
        <v>3</v>
      </c>
    </row>
    <row r="5" spans="1:16" x14ac:dyDescent="0.35">
      <c r="A5" s="8" t="s">
        <v>6</v>
      </c>
      <c r="B5" s="10">
        <f>'FY24'!I5</f>
        <v>52</v>
      </c>
      <c r="C5" s="5">
        <f>'FY25'!I5</f>
        <v>52</v>
      </c>
      <c r="D5" s="10">
        <f>'FY26'!I5</f>
        <v>78</v>
      </c>
      <c r="E5" s="10">
        <f>'FY27'!I5</f>
        <v>78</v>
      </c>
      <c r="F5" s="10">
        <f>'FY28'!I5</f>
        <v>78</v>
      </c>
      <c r="G5" s="10">
        <f>'FY29'!I5</f>
        <v>78</v>
      </c>
      <c r="H5" s="10">
        <f>'FY30'!I5</f>
        <v>78</v>
      </c>
      <c r="J5" s="303">
        <f t="shared" ref="J5:P5" si="3">B5/26</f>
        <v>2</v>
      </c>
      <c r="K5" s="303">
        <f t="shared" si="3"/>
        <v>2</v>
      </c>
      <c r="L5" s="303">
        <f t="shared" si="3"/>
        <v>3</v>
      </c>
      <c r="M5" s="303">
        <f t="shared" si="3"/>
        <v>3</v>
      </c>
      <c r="N5" s="303">
        <f t="shared" si="3"/>
        <v>3</v>
      </c>
      <c r="O5" s="303">
        <f t="shared" si="3"/>
        <v>3</v>
      </c>
      <c r="P5" s="303">
        <f t="shared" si="3"/>
        <v>3</v>
      </c>
    </row>
    <row r="6" spans="1:16" x14ac:dyDescent="0.35">
      <c r="A6" s="8" t="s">
        <v>7</v>
      </c>
      <c r="B6" s="10">
        <f>'FY24'!I6</f>
        <v>52</v>
      </c>
      <c r="C6" s="5">
        <f>'FY25'!I6</f>
        <v>52</v>
      </c>
      <c r="D6" s="10">
        <f>'FY26'!I6</f>
        <v>78</v>
      </c>
      <c r="E6" s="10">
        <f>'FY27'!I6</f>
        <v>78</v>
      </c>
      <c r="F6" s="10">
        <f>'FY28'!I6</f>
        <v>78</v>
      </c>
      <c r="G6" s="10">
        <f>'FY29'!I6</f>
        <v>78</v>
      </c>
      <c r="H6" s="10">
        <f>'FY30'!I6</f>
        <v>78</v>
      </c>
      <c r="J6" s="303">
        <f t="shared" ref="J6:J8" si="4">B6/26</f>
        <v>2</v>
      </c>
      <c r="K6" s="303">
        <f t="shared" ref="K6:P9" si="5">C6/26</f>
        <v>2</v>
      </c>
      <c r="L6" s="303">
        <f t="shared" si="5"/>
        <v>3</v>
      </c>
      <c r="M6" s="303">
        <f t="shared" si="5"/>
        <v>3</v>
      </c>
      <c r="N6" s="303">
        <f t="shared" si="5"/>
        <v>3</v>
      </c>
      <c r="O6" s="303">
        <f t="shared" si="5"/>
        <v>3</v>
      </c>
      <c r="P6" s="303">
        <f t="shared" si="5"/>
        <v>3</v>
      </c>
    </row>
    <row r="7" spans="1:16" x14ac:dyDescent="0.35">
      <c r="A7" s="12" t="s">
        <v>8</v>
      </c>
      <c r="B7" s="10">
        <f>'FY24'!I7</f>
        <v>52</v>
      </c>
      <c r="C7" s="5">
        <f>'FY25'!I7</f>
        <v>52</v>
      </c>
      <c r="D7" s="10">
        <f>'FY26'!I7</f>
        <v>78</v>
      </c>
      <c r="E7" s="10">
        <f>'FY27'!I7</f>
        <v>78</v>
      </c>
      <c r="F7" s="10">
        <f>'FY28'!I7</f>
        <v>78</v>
      </c>
      <c r="G7" s="10">
        <f>'FY29'!I7</f>
        <v>78</v>
      </c>
      <c r="H7" s="10">
        <f>'FY30'!I7</f>
        <v>78</v>
      </c>
      <c r="J7" s="303">
        <f t="shared" si="4"/>
        <v>2</v>
      </c>
      <c r="K7" s="303">
        <f t="shared" si="5"/>
        <v>2</v>
      </c>
      <c r="L7" s="303">
        <f t="shared" si="5"/>
        <v>3</v>
      </c>
      <c r="M7" s="303">
        <f t="shared" si="5"/>
        <v>3</v>
      </c>
      <c r="N7" s="303">
        <f t="shared" si="5"/>
        <v>3</v>
      </c>
      <c r="O7" s="303">
        <f t="shared" si="5"/>
        <v>3</v>
      </c>
      <c r="P7" s="303">
        <f t="shared" si="5"/>
        <v>3</v>
      </c>
    </row>
    <row r="8" spans="1:16" x14ac:dyDescent="0.35">
      <c r="A8" s="12" t="s">
        <v>9</v>
      </c>
      <c r="B8" s="10">
        <f>'FY24'!I8</f>
        <v>52</v>
      </c>
      <c r="C8" s="5">
        <f>'FY25'!I8</f>
        <v>52</v>
      </c>
      <c r="D8" s="10">
        <f>'FY26'!I8</f>
        <v>78</v>
      </c>
      <c r="E8" s="10">
        <f>'FY27'!I8</f>
        <v>78</v>
      </c>
      <c r="F8" s="10">
        <f>'FY28'!I8</f>
        <v>78</v>
      </c>
      <c r="G8" s="10">
        <f>'FY29'!I8</f>
        <v>78</v>
      </c>
      <c r="H8" s="10">
        <f>'FY30'!I8</f>
        <v>78</v>
      </c>
      <c r="J8" s="303">
        <f t="shared" si="4"/>
        <v>2</v>
      </c>
      <c r="K8" s="303">
        <f t="shared" si="5"/>
        <v>2</v>
      </c>
      <c r="L8" s="303">
        <f t="shared" si="5"/>
        <v>3</v>
      </c>
      <c r="M8" s="303">
        <f t="shared" si="5"/>
        <v>3</v>
      </c>
      <c r="N8" s="303">
        <f t="shared" si="5"/>
        <v>3</v>
      </c>
      <c r="O8" s="303">
        <f t="shared" si="5"/>
        <v>3</v>
      </c>
      <c r="P8" s="303">
        <f t="shared" si="5"/>
        <v>3</v>
      </c>
    </row>
    <row r="9" spans="1:16" x14ac:dyDescent="0.35">
      <c r="A9" s="12" t="s">
        <v>10</v>
      </c>
      <c r="B9" s="10">
        <f>'FY24'!I9</f>
        <v>54</v>
      </c>
      <c r="C9" s="5">
        <f>'FY25'!I9</f>
        <v>54</v>
      </c>
      <c r="D9" s="10">
        <f>'FY26'!I9</f>
        <v>78</v>
      </c>
      <c r="E9" s="10">
        <f>'FY27'!I9</f>
        <v>78</v>
      </c>
      <c r="F9" s="10">
        <f>'FY28'!I9</f>
        <v>78</v>
      </c>
      <c r="G9" s="10">
        <f>'FY29'!I9</f>
        <v>78</v>
      </c>
      <c r="H9" s="10">
        <f>'FY30'!I9</f>
        <v>78</v>
      </c>
      <c r="J9" s="303">
        <f t="shared" ref="J9:K9" si="6">B9/27</f>
        <v>2</v>
      </c>
      <c r="K9" s="303">
        <f t="shared" si="6"/>
        <v>2</v>
      </c>
      <c r="L9" s="303">
        <f t="shared" si="5"/>
        <v>3</v>
      </c>
      <c r="M9" s="303">
        <f t="shared" ref="M9" si="7">E9/26</f>
        <v>3</v>
      </c>
      <c r="N9" s="303">
        <f t="shared" ref="N9" si="8">F9/26</f>
        <v>3</v>
      </c>
      <c r="O9" s="303">
        <f t="shared" ref="O9" si="9">G9/26</f>
        <v>3</v>
      </c>
      <c r="P9" s="303">
        <f t="shared" ref="P9" si="10">H9/26</f>
        <v>3</v>
      </c>
    </row>
    <row r="10" spans="1:16" x14ac:dyDescent="0.35">
      <c r="A10" s="12" t="s">
        <v>11</v>
      </c>
      <c r="B10" s="10">
        <f>'FY24'!I10</f>
        <v>62</v>
      </c>
      <c r="C10" s="5">
        <f>'FY25'!I10</f>
        <v>62</v>
      </c>
      <c r="D10" s="10">
        <f>'FY26'!I10</f>
        <v>0</v>
      </c>
      <c r="E10" s="10">
        <f>'FY27'!I10</f>
        <v>0</v>
      </c>
      <c r="F10" s="10">
        <f>'FY28'!I10</f>
        <v>0</v>
      </c>
      <c r="G10" s="10">
        <f>'FY29'!I10</f>
        <v>0</v>
      </c>
      <c r="H10" s="10">
        <f>'FY30'!I10</f>
        <v>0</v>
      </c>
      <c r="J10" s="303">
        <f t="shared" ref="J10:P12" si="11">B10/31</f>
        <v>2</v>
      </c>
      <c r="K10" s="303">
        <f t="shared" si="11"/>
        <v>2</v>
      </c>
      <c r="L10" s="303">
        <f t="shared" si="11"/>
        <v>0</v>
      </c>
      <c r="M10" s="303">
        <f t="shared" si="11"/>
        <v>0</v>
      </c>
      <c r="N10" s="303">
        <f t="shared" si="11"/>
        <v>0</v>
      </c>
      <c r="O10" s="303">
        <f t="shared" si="11"/>
        <v>0</v>
      </c>
      <c r="P10" s="303">
        <f t="shared" si="11"/>
        <v>0</v>
      </c>
    </row>
    <row r="11" spans="1:16" x14ac:dyDescent="0.35">
      <c r="A11" s="12" t="s">
        <v>12</v>
      </c>
      <c r="B11" s="10">
        <f>'FY24'!I11</f>
        <v>62</v>
      </c>
      <c r="C11" s="5">
        <f>'FY25'!I11</f>
        <v>62</v>
      </c>
      <c r="D11" s="10">
        <f>'FY26'!I11</f>
        <v>0</v>
      </c>
      <c r="E11" s="10">
        <f>'FY27'!I11</f>
        <v>0</v>
      </c>
      <c r="F11" s="10">
        <f>'FY28'!I11</f>
        <v>0</v>
      </c>
      <c r="G11" s="10">
        <f>'FY29'!I11</f>
        <v>0</v>
      </c>
      <c r="H11" s="10">
        <f>'FY30'!I11</f>
        <v>0</v>
      </c>
      <c r="J11" s="303">
        <f t="shared" si="11"/>
        <v>2</v>
      </c>
      <c r="K11" s="303">
        <f t="shared" si="11"/>
        <v>2</v>
      </c>
      <c r="L11" s="303">
        <f t="shared" si="11"/>
        <v>0</v>
      </c>
      <c r="M11" s="303">
        <f t="shared" si="11"/>
        <v>0</v>
      </c>
      <c r="N11" s="303">
        <f t="shared" si="11"/>
        <v>0</v>
      </c>
      <c r="O11" s="303">
        <f t="shared" si="11"/>
        <v>0</v>
      </c>
      <c r="P11" s="303">
        <f t="shared" si="11"/>
        <v>0</v>
      </c>
    </row>
    <row r="12" spans="1:16" x14ac:dyDescent="0.35">
      <c r="A12" s="12" t="s">
        <v>13</v>
      </c>
      <c r="B12" s="10">
        <f>'FY24'!I12</f>
        <v>62</v>
      </c>
      <c r="C12" s="5">
        <f>'FY25'!I12</f>
        <v>62</v>
      </c>
      <c r="D12" s="10">
        <f>'FY26'!I12</f>
        <v>0</v>
      </c>
      <c r="E12" s="10">
        <f>'FY27'!I12</f>
        <v>0</v>
      </c>
      <c r="F12" s="10">
        <f>'FY28'!I12</f>
        <v>0</v>
      </c>
      <c r="G12" s="10">
        <f>'FY29'!I12</f>
        <v>0</v>
      </c>
      <c r="H12" s="10">
        <f>'FY30'!I12</f>
        <v>0</v>
      </c>
      <c r="J12" s="303">
        <f t="shared" si="11"/>
        <v>2</v>
      </c>
      <c r="K12" s="303">
        <f t="shared" si="11"/>
        <v>2</v>
      </c>
      <c r="L12" s="303">
        <f t="shared" si="11"/>
        <v>0</v>
      </c>
      <c r="M12" s="303">
        <f t="shared" si="11"/>
        <v>0</v>
      </c>
      <c r="N12" s="303">
        <f t="shared" si="11"/>
        <v>0</v>
      </c>
      <c r="O12" s="303">
        <f t="shared" si="11"/>
        <v>0</v>
      </c>
      <c r="P12" s="303">
        <f t="shared" si="11"/>
        <v>0</v>
      </c>
    </row>
    <row r="13" spans="1:16" x14ac:dyDescent="0.35">
      <c r="A13" s="12" t="s">
        <v>14</v>
      </c>
      <c r="B13" s="10">
        <f>'FY24'!I13</f>
        <v>0</v>
      </c>
      <c r="C13" s="5">
        <f>'FY25'!I13</f>
        <v>0</v>
      </c>
      <c r="D13" s="10">
        <f>'FY26'!I13</f>
        <v>0</v>
      </c>
      <c r="E13" s="10">
        <f>'FY27'!I13</f>
        <v>0</v>
      </c>
      <c r="F13" s="10">
        <f>'FY28'!I13</f>
        <v>0</v>
      </c>
      <c r="G13" s="10">
        <f>'FY29'!I13</f>
        <v>0</v>
      </c>
      <c r="H13" s="10">
        <f>'FY30'!I13</f>
        <v>0</v>
      </c>
    </row>
    <row r="14" spans="1:16" x14ac:dyDescent="0.35">
      <c r="A14" s="12" t="s">
        <v>15</v>
      </c>
      <c r="B14" s="10">
        <f>'FY24'!I14</f>
        <v>0</v>
      </c>
      <c r="C14" s="5">
        <f>'FY25'!I14</f>
        <v>0</v>
      </c>
      <c r="D14" s="10">
        <f>'FY26'!I14</f>
        <v>0</v>
      </c>
      <c r="E14" s="10">
        <f>'FY27'!I14</f>
        <v>0</v>
      </c>
      <c r="F14" s="10">
        <f>'FY28'!I14</f>
        <v>0</v>
      </c>
      <c r="G14" s="10">
        <f>'FY29'!I14</f>
        <v>0</v>
      </c>
      <c r="H14" s="10">
        <f>'FY30'!I14</f>
        <v>0</v>
      </c>
    </row>
    <row r="15" spans="1:16" x14ac:dyDescent="0.35">
      <c r="A15" s="12" t="s">
        <v>16</v>
      </c>
      <c r="B15" s="10">
        <f>'FY24'!I15</f>
        <v>0</v>
      </c>
      <c r="C15" s="5">
        <f>'FY25'!I15</f>
        <v>0</v>
      </c>
      <c r="D15" s="10">
        <f>'FY26'!I15</f>
        <v>0</v>
      </c>
      <c r="E15" s="10">
        <f>'FY27'!I15</f>
        <v>0</v>
      </c>
      <c r="F15" s="10">
        <f>'FY28'!I15</f>
        <v>0</v>
      </c>
      <c r="G15" s="10">
        <f>'FY29'!I15</f>
        <v>0</v>
      </c>
      <c r="H15" s="10">
        <f>'FY30'!I15</f>
        <v>0</v>
      </c>
    </row>
    <row r="16" spans="1:16" x14ac:dyDescent="0.35">
      <c r="A16" s="12" t="s">
        <v>17</v>
      </c>
      <c r="B16" s="10">
        <f>'FY24'!I16</f>
        <v>0</v>
      </c>
      <c r="C16" s="5">
        <f>'FY25'!I16</f>
        <v>0</v>
      </c>
      <c r="D16" s="10">
        <f>'FY26'!I16</f>
        <v>0</v>
      </c>
      <c r="E16" s="10">
        <f>'FY27'!I16</f>
        <v>0</v>
      </c>
      <c r="F16" s="10">
        <f>'FY28'!I16</f>
        <v>0</v>
      </c>
      <c r="G16" s="10">
        <f>'FY29'!I16</f>
        <v>0</v>
      </c>
      <c r="H16" s="10">
        <f>'FY30'!I16</f>
        <v>0</v>
      </c>
    </row>
    <row r="17" spans="1:16" x14ac:dyDescent="0.35">
      <c r="A17" s="104" t="s">
        <v>4</v>
      </c>
      <c r="B17" s="9">
        <f t="shared" ref="B17:G17" si="12">SUM(B4:B16)</f>
        <v>498</v>
      </c>
      <c r="C17" s="9">
        <f t="shared" si="12"/>
        <v>498</v>
      </c>
      <c r="D17" s="9">
        <f t="shared" si="12"/>
        <v>465</v>
      </c>
      <c r="E17" s="9">
        <f t="shared" si="12"/>
        <v>465</v>
      </c>
      <c r="F17" s="9">
        <f t="shared" si="12"/>
        <v>465</v>
      </c>
      <c r="G17" s="9">
        <f t="shared" si="12"/>
        <v>465</v>
      </c>
      <c r="H17" s="9">
        <f t="shared" ref="H17" si="13">SUM(H4:H16)</f>
        <v>465</v>
      </c>
      <c r="J17" s="303">
        <f>SUM(J4:J16)</f>
        <v>18</v>
      </c>
      <c r="K17" s="303">
        <f t="shared" ref="K17:O17" si="14">SUM(K4:K16)</f>
        <v>18</v>
      </c>
      <c r="L17" s="303">
        <f t="shared" si="14"/>
        <v>18</v>
      </c>
      <c r="M17" s="303">
        <f t="shared" si="14"/>
        <v>18</v>
      </c>
      <c r="N17" s="303">
        <f t="shared" si="14"/>
        <v>18</v>
      </c>
      <c r="O17" s="303">
        <f t="shared" si="14"/>
        <v>18</v>
      </c>
      <c r="P17" s="303">
        <f t="shared" ref="P17" si="15">SUM(P4:P16)</f>
        <v>18</v>
      </c>
    </row>
    <row r="18" spans="1:16" x14ac:dyDescent="0.35">
      <c r="A18" s="12"/>
      <c r="B18" s="13"/>
      <c r="C18" s="5"/>
      <c r="D18" s="13"/>
      <c r="E18" s="13"/>
      <c r="F18" s="13"/>
      <c r="G18" s="13"/>
      <c r="H18" s="13"/>
      <c r="J18" t="b">
        <f t="shared" ref="J18:P18" si="16">B27=J17</f>
        <v>1</v>
      </c>
      <c r="K18" t="b">
        <f t="shared" si="16"/>
        <v>1</v>
      </c>
      <c r="L18" t="b">
        <f t="shared" si="16"/>
        <v>1</v>
      </c>
      <c r="M18" t="b">
        <f t="shared" si="16"/>
        <v>1</v>
      </c>
      <c r="N18" t="b">
        <f t="shared" si="16"/>
        <v>1</v>
      </c>
      <c r="O18" t="b">
        <f t="shared" si="16"/>
        <v>1</v>
      </c>
      <c r="P18" t="b">
        <f t="shared" si="16"/>
        <v>1</v>
      </c>
    </row>
    <row r="19" spans="1:16" x14ac:dyDescent="0.35">
      <c r="A19" s="14" t="s">
        <v>18</v>
      </c>
      <c r="B19" s="15" t="str">
        <f t="shared" ref="B19:G19" si="17">B1</f>
        <v>FY24 (23-24)</v>
      </c>
      <c r="C19" s="15" t="str">
        <f t="shared" si="17"/>
        <v>FY25 (24-25)</v>
      </c>
      <c r="D19" s="15" t="str">
        <f t="shared" si="17"/>
        <v>FY26 (25-26)</v>
      </c>
      <c r="E19" s="15" t="str">
        <f t="shared" si="17"/>
        <v>FY27 (26-27)</v>
      </c>
      <c r="F19" s="15" t="str">
        <f t="shared" si="17"/>
        <v>FY28 (27-28)</v>
      </c>
      <c r="G19" s="15" t="str">
        <f t="shared" si="17"/>
        <v>FY29 (28-29)</v>
      </c>
      <c r="H19" s="15" t="str">
        <f t="shared" ref="H19" si="18">H1</f>
        <v>FY30 (29-30)</v>
      </c>
    </row>
    <row r="20" spans="1:16" x14ac:dyDescent="0.35">
      <c r="A20" s="12" t="s">
        <v>19</v>
      </c>
      <c r="B20" s="10">
        <f>'FY24'!I20</f>
        <v>76</v>
      </c>
      <c r="C20" s="5">
        <f>'FY25'!I20</f>
        <v>76</v>
      </c>
      <c r="D20" s="10">
        <f>'FY26'!I20</f>
        <v>76</v>
      </c>
      <c r="E20" s="10">
        <f>'FY27'!I20</f>
        <v>56</v>
      </c>
      <c r="F20" s="10">
        <f>'FY28'!I20</f>
        <v>56</v>
      </c>
      <c r="G20" s="10">
        <f>'FY29'!I20</f>
        <v>56</v>
      </c>
      <c r="H20" s="10">
        <f>'FY30'!I20</f>
        <v>56</v>
      </c>
    </row>
    <row r="21" spans="1:16" x14ac:dyDescent="0.35">
      <c r="A21" s="12" t="s">
        <v>21</v>
      </c>
      <c r="B21" s="10">
        <f>'FY24'!I21</f>
        <v>152</v>
      </c>
      <c r="C21" s="5">
        <f>'FY25'!I21</f>
        <v>152</v>
      </c>
      <c r="D21" s="10">
        <f>'FY26'!I21</f>
        <v>152</v>
      </c>
      <c r="E21" s="10">
        <f>'FY27'!I21</f>
        <v>144</v>
      </c>
      <c r="F21" s="10">
        <f>'FY28'!I21</f>
        <v>144</v>
      </c>
      <c r="G21" s="10">
        <f>'FY29'!I21</f>
        <v>144</v>
      </c>
      <c r="H21" s="10">
        <f>'FY30'!I21</f>
        <v>144</v>
      </c>
    </row>
    <row r="22" spans="1:16" x14ac:dyDescent="0.35">
      <c r="A22" s="12" t="s">
        <v>22</v>
      </c>
      <c r="B22" s="10">
        <f>'FY24'!I22</f>
        <v>0</v>
      </c>
      <c r="C22" s="5">
        <f>'FY25'!I22</f>
        <v>0</v>
      </c>
      <c r="D22" s="10">
        <f>'FY26'!I22</f>
        <v>0</v>
      </c>
      <c r="E22" s="10">
        <f>'FY27'!I22</f>
        <v>0</v>
      </c>
      <c r="F22" s="10">
        <f>'FY28'!I22</f>
        <v>0</v>
      </c>
      <c r="G22" s="10">
        <f>'FY29'!I22</f>
        <v>0</v>
      </c>
      <c r="H22" s="10">
        <f>'FY30'!I22</f>
        <v>0</v>
      </c>
    </row>
    <row r="23" spans="1:16" x14ac:dyDescent="0.35">
      <c r="A23" s="12" t="s">
        <v>23</v>
      </c>
      <c r="B23" s="18">
        <f>'FY24'!I23</f>
        <v>1</v>
      </c>
      <c r="C23" s="111">
        <f>'FY25'!I23</f>
        <v>1</v>
      </c>
      <c r="D23" s="18">
        <f>'FY26'!I23</f>
        <v>1</v>
      </c>
      <c r="E23" s="18">
        <f>'FY27'!I23</f>
        <v>1</v>
      </c>
      <c r="F23" s="18">
        <f>'FY28'!I23</f>
        <v>1</v>
      </c>
      <c r="G23" s="18">
        <f>'FY29'!I23</f>
        <v>1</v>
      </c>
      <c r="H23" s="18">
        <f>'FY30'!I23</f>
        <v>1</v>
      </c>
    </row>
    <row r="24" spans="1:16" x14ac:dyDescent="0.35">
      <c r="A24" s="12" t="s">
        <v>24</v>
      </c>
      <c r="B24" s="10">
        <f>'FY24'!I24</f>
        <v>4</v>
      </c>
      <c r="C24" s="5">
        <f>'FY25'!I24</f>
        <v>4</v>
      </c>
      <c r="D24" s="10">
        <f>'FY26'!I24</f>
        <v>14</v>
      </c>
      <c r="E24" s="10">
        <f>'FY27'!I24</f>
        <v>4</v>
      </c>
      <c r="F24" s="10">
        <f>'FY28'!I24</f>
        <v>4</v>
      </c>
      <c r="G24" s="10">
        <f>'FY29'!I24</f>
        <v>4</v>
      </c>
      <c r="H24" s="10">
        <f>'FY30'!I24</f>
        <v>4</v>
      </c>
    </row>
    <row r="25" spans="1:16" x14ac:dyDescent="0.35">
      <c r="A25" s="12"/>
      <c r="B25" s="5"/>
      <c r="C25" s="5"/>
      <c r="D25" s="5"/>
      <c r="E25" s="5"/>
      <c r="F25" s="5"/>
      <c r="G25" s="5"/>
      <c r="H25" s="5"/>
    </row>
    <row r="26" spans="1:16" x14ac:dyDescent="0.35">
      <c r="A26" s="20" t="s">
        <v>25</v>
      </c>
      <c r="B26" s="15" t="str">
        <f t="shared" ref="B26:G26" si="19">B1</f>
        <v>FY24 (23-24)</v>
      </c>
      <c r="C26" s="15" t="str">
        <f t="shared" si="19"/>
        <v>FY25 (24-25)</v>
      </c>
      <c r="D26" s="15" t="str">
        <f t="shared" si="19"/>
        <v>FY26 (25-26)</v>
      </c>
      <c r="E26" s="15" t="str">
        <f t="shared" si="19"/>
        <v>FY27 (26-27)</v>
      </c>
      <c r="F26" s="15" t="str">
        <f t="shared" si="19"/>
        <v>FY28 (27-28)</v>
      </c>
      <c r="G26" s="15" t="str">
        <f t="shared" si="19"/>
        <v>FY29 (28-29)</v>
      </c>
      <c r="H26" s="15" t="str">
        <f t="shared" ref="H26" si="20">H1</f>
        <v>FY30 (29-30)</v>
      </c>
    </row>
    <row r="27" spans="1:16" x14ac:dyDescent="0.35">
      <c r="A27" s="25" t="s">
        <v>26</v>
      </c>
      <c r="B27" s="22">
        <f>'FY24'!I27</f>
        <v>18</v>
      </c>
      <c r="C27" s="21">
        <f>'FY25'!I27</f>
        <v>18</v>
      </c>
      <c r="D27" s="22">
        <f>'FY26'!I27</f>
        <v>18</v>
      </c>
      <c r="E27" s="22">
        <f>'FY27'!I27</f>
        <v>18</v>
      </c>
      <c r="F27" s="22">
        <f>'FY28'!I27</f>
        <v>18</v>
      </c>
      <c r="G27" s="22">
        <f>'FY29'!I27</f>
        <v>18</v>
      </c>
      <c r="H27" s="22">
        <f>'FY30'!I27</f>
        <v>18</v>
      </c>
    </row>
    <row r="28" spans="1:16" x14ac:dyDescent="0.35">
      <c r="A28" s="25" t="s">
        <v>27</v>
      </c>
      <c r="B28" s="22">
        <f>'FY24'!I28</f>
        <v>3</v>
      </c>
      <c r="C28" s="21">
        <f>'FY25'!I28</f>
        <v>3</v>
      </c>
      <c r="D28" s="22">
        <f>'FY26'!I28</f>
        <v>3</v>
      </c>
      <c r="E28" s="22">
        <f>'FY27'!I28</f>
        <v>3</v>
      </c>
      <c r="F28" s="22">
        <f>'FY28'!I28</f>
        <v>3</v>
      </c>
      <c r="G28" s="22">
        <f>'FY29'!I28</f>
        <v>3</v>
      </c>
      <c r="H28" s="22">
        <f>'FY30'!I28</f>
        <v>3</v>
      </c>
    </row>
    <row r="29" spans="1:16" x14ac:dyDescent="0.35">
      <c r="A29" s="25" t="s">
        <v>28</v>
      </c>
      <c r="B29" s="22">
        <f>'FY24'!I29</f>
        <v>1</v>
      </c>
      <c r="C29" s="21">
        <f>'FY25'!I29</f>
        <v>1</v>
      </c>
      <c r="D29" s="22">
        <f>'FY26'!I29</f>
        <v>1</v>
      </c>
      <c r="E29" s="22">
        <f>'FY27'!I29</f>
        <v>1</v>
      </c>
      <c r="F29" s="22">
        <f>'FY28'!I29</f>
        <v>1</v>
      </c>
      <c r="G29" s="22">
        <f>'FY29'!I29</f>
        <v>1</v>
      </c>
      <c r="H29" s="22">
        <f>'FY30'!I29</f>
        <v>1</v>
      </c>
    </row>
    <row r="30" spans="1:16" x14ac:dyDescent="0.35">
      <c r="A30" s="25" t="s">
        <v>29</v>
      </c>
      <c r="B30" s="22">
        <f>'FY24'!I30</f>
        <v>1</v>
      </c>
      <c r="C30" s="21">
        <f>'FY25'!I30</f>
        <v>1</v>
      </c>
      <c r="D30" s="22">
        <f>'FY26'!I30</f>
        <v>1</v>
      </c>
      <c r="E30" s="22">
        <f>'FY27'!I30</f>
        <v>1</v>
      </c>
      <c r="F30" s="22">
        <f>'FY28'!I30</f>
        <v>1</v>
      </c>
      <c r="G30" s="22">
        <f>'FY29'!I30</f>
        <v>1</v>
      </c>
      <c r="H30" s="22">
        <f>'FY30'!I30</f>
        <v>1</v>
      </c>
    </row>
    <row r="31" spans="1:16" x14ac:dyDescent="0.35">
      <c r="A31" s="25" t="s">
        <v>30</v>
      </c>
      <c r="B31" s="22">
        <f>'FY24'!I31</f>
        <v>1</v>
      </c>
      <c r="C31" s="21">
        <f>'FY25'!I31</f>
        <v>1</v>
      </c>
      <c r="D31" s="22">
        <f>'FY26'!I31</f>
        <v>1</v>
      </c>
      <c r="E31" s="22">
        <f>'FY27'!I31</f>
        <v>1</v>
      </c>
      <c r="F31" s="22">
        <f>'FY28'!I31</f>
        <v>1</v>
      </c>
      <c r="G31" s="22">
        <f>'FY29'!I31</f>
        <v>1</v>
      </c>
      <c r="H31" s="22">
        <f>'FY30'!I31</f>
        <v>1</v>
      </c>
    </row>
    <row r="32" spans="1:16" x14ac:dyDescent="0.35">
      <c r="A32" s="100" t="s">
        <v>31</v>
      </c>
      <c r="B32" s="22">
        <f>'FY24'!I32</f>
        <v>0</v>
      </c>
      <c r="C32" s="21">
        <f>'FY25'!I32</f>
        <v>0</v>
      </c>
      <c r="D32" s="22">
        <f>'FY26'!I32</f>
        <v>0</v>
      </c>
      <c r="E32" s="22">
        <f>'FY27'!I32</f>
        <v>0</v>
      </c>
      <c r="F32" s="22">
        <f>'FY28'!I32</f>
        <v>0</v>
      </c>
      <c r="G32" s="22">
        <f>'FY29'!I32</f>
        <v>0</v>
      </c>
      <c r="H32" s="22">
        <f>'FY30'!I32</f>
        <v>0</v>
      </c>
    </row>
    <row r="33" spans="1:8" x14ac:dyDescent="0.35">
      <c r="A33" s="100" t="s">
        <v>32</v>
      </c>
      <c r="B33" s="22">
        <f>'FY24'!I33</f>
        <v>0.5</v>
      </c>
      <c r="C33" s="21">
        <f>'FY25'!I33</f>
        <v>0.5</v>
      </c>
      <c r="D33" s="22">
        <f>'FY26'!I33</f>
        <v>0</v>
      </c>
      <c r="E33" s="22">
        <f>'FY27'!I33</f>
        <v>0</v>
      </c>
      <c r="F33" s="22">
        <f>'FY28'!I33</f>
        <v>0</v>
      </c>
      <c r="G33" s="22">
        <f>'FY29'!I33</f>
        <v>0</v>
      </c>
      <c r="H33" s="22">
        <f>'FY30'!I33</f>
        <v>0</v>
      </c>
    </row>
    <row r="34" spans="1:8" x14ac:dyDescent="0.35">
      <c r="A34" s="100" t="s">
        <v>33</v>
      </c>
      <c r="B34" s="22">
        <f>'FY24'!I34</f>
        <v>0.5</v>
      </c>
      <c r="C34" s="21">
        <f>'FY25'!I34</f>
        <v>0.5</v>
      </c>
      <c r="D34" s="22">
        <f>'FY26'!I34</f>
        <v>0</v>
      </c>
      <c r="E34" s="22">
        <f>'FY27'!I34</f>
        <v>0</v>
      </c>
      <c r="F34" s="22">
        <f>'FY28'!I34</f>
        <v>0</v>
      </c>
      <c r="G34" s="22">
        <f>'FY29'!I34</f>
        <v>0</v>
      </c>
      <c r="H34" s="22">
        <f>'FY30'!I34</f>
        <v>0</v>
      </c>
    </row>
    <row r="35" spans="1:8" x14ac:dyDescent="0.35">
      <c r="A35" s="26" t="s">
        <v>35</v>
      </c>
      <c r="B35" s="22">
        <f>'FY24'!I35</f>
        <v>0</v>
      </c>
      <c r="C35" s="21">
        <f>'FY25'!I35</f>
        <v>0</v>
      </c>
      <c r="D35" s="22">
        <f>'FY26'!I35</f>
        <v>0</v>
      </c>
      <c r="E35" s="22">
        <f>'FY27'!I35</f>
        <v>0</v>
      </c>
      <c r="F35" s="22">
        <f>'FY28'!I35</f>
        <v>0</v>
      </c>
      <c r="G35" s="22">
        <f>'FY29'!I35</f>
        <v>0</v>
      </c>
      <c r="H35" s="22">
        <f>'FY30'!I35</f>
        <v>0</v>
      </c>
    </row>
    <row r="36" spans="1:8" x14ac:dyDescent="0.35">
      <c r="A36" s="20" t="s">
        <v>37</v>
      </c>
      <c r="B36" s="24">
        <f>SUM(B27:B35)</f>
        <v>25</v>
      </c>
      <c r="C36" s="24">
        <f>SUM(C27:C35)</f>
        <v>25</v>
      </c>
      <c r="D36" s="24">
        <f t="shared" ref="D36:G36" si="21">SUM(D27:D35)</f>
        <v>24</v>
      </c>
      <c r="E36" s="24">
        <f t="shared" si="21"/>
        <v>24</v>
      </c>
      <c r="F36" s="24">
        <f t="shared" si="21"/>
        <v>24</v>
      </c>
      <c r="G36" s="24">
        <f t="shared" si="21"/>
        <v>24</v>
      </c>
      <c r="H36" s="24">
        <f t="shared" ref="H36" si="22">SUM(H27:H35)</f>
        <v>24</v>
      </c>
    </row>
    <row r="37" spans="1:8" x14ac:dyDescent="0.35">
      <c r="A37" s="23"/>
      <c r="B37" s="5"/>
      <c r="C37" s="5"/>
      <c r="D37" s="5"/>
      <c r="E37" s="5"/>
      <c r="F37" s="5"/>
      <c r="G37" s="5"/>
      <c r="H37" s="5"/>
    </row>
    <row r="38" spans="1:8" x14ac:dyDescent="0.35">
      <c r="A38" s="20" t="s">
        <v>39</v>
      </c>
      <c r="B38" s="15" t="str">
        <f t="shared" ref="B38:G38" si="23">B1</f>
        <v>FY24 (23-24)</v>
      </c>
      <c r="C38" s="15" t="str">
        <f t="shared" si="23"/>
        <v>FY25 (24-25)</v>
      </c>
      <c r="D38" s="15" t="str">
        <f t="shared" si="23"/>
        <v>FY26 (25-26)</v>
      </c>
      <c r="E38" s="15" t="str">
        <f t="shared" si="23"/>
        <v>FY27 (26-27)</v>
      </c>
      <c r="F38" s="15" t="str">
        <f t="shared" si="23"/>
        <v>FY28 (27-28)</v>
      </c>
      <c r="G38" s="15" t="str">
        <f t="shared" si="23"/>
        <v>FY29 (28-29)</v>
      </c>
      <c r="H38" s="15" t="str">
        <f t="shared" ref="H38" si="24">H1</f>
        <v>FY30 (29-30)</v>
      </c>
    </row>
    <row r="39" spans="1:8" x14ac:dyDescent="0.35">
      <c r="A39" s="25" t="s">
        <v>40</v>
      </c>
      <c r="B39" s="22">
        <f>'FY24'!I39</f>
        <v>1</v>
      </c>
      <c r="C39" s="21">
        <f>'FY25'!I39</f>
        <v>1</v>
      </c>
      <c r="D39" s="22">
        <f>'FY26'!I39</f>
        <v>1</v>
      </c>
      <c r="E39" s="22">
        <f>'FY27'!I39</f>
        <v>1</v>
      </c>
      <c r="F39" s="22">
        <f>'FY28'!I39</f>
        <v>1</v>
      </c>
      <c r="G39" s="22">
        <f>'FY29'!I39</f>
        <v>1</v>
      </c>
      <c r="H39" s="22">
        <f>'FY30'!I39</f>
        <v>1</v>
      </c>
    </row>
    <row r="40" spans="1:8" x14ac:dyDescent="0.35">
      <c r="A40" s="25" t="s">
        <v>41</v>
      </c>
      <c r="B40" s="22">
        <f>'FY24'!I40</f>
        <v>1</v>
      </c>
      <c r="C40" s="21">
        <f>'FY25'!I40</f>
        <v>1</v>
      </c>
      <c r="D40" s="22">
        <f>'FY26'!I40</f>
        <v>1</v>
      </c>
      <c r="E40" s="22">
        <f>'FY27'!I40</f>
        <v>1</v>
      </c>
      <c r="F40" s="22">
        <f>'FY28'!I40</f>
        <v>1</v>
      </c>
      <c r="G40" s="22">
        <f>'FY29'!I40</f>
        <v>1</v>
      </c>
      <c r="H40" s="22">
        <f>'FY30'!I40</f>
        <v>1</v>
      </c>
    </row>
    <row r="41" spans="1:8" x14ac:dyDescent="0.35">
      <c r="A41" s="26" t="s">
        <v>34</v>
      </c>
      <c r="B41" s="22">
        <f>'FY24'!I41</f>
        <v>0</v>
      </c>
      <c r="C41" s="21">
        <f>'FY25'!I41</f>
        <v>0</v>
      </c>
      <c r="D41" s="22">
        <f>'FY26'!I41</f>
        <v>0</v>
      </c>
      <c r="E41" s="22">
        <f>'FY27'!I41</f>
        <v>0</v>
      </c>
      <c r="F41" s="22">
        <f>'FY28'!I41</f>
        <v>0</v>
      </c>
      <c r="G41" s="22">
        <f>'FY29'!I41</f>
        <v>0</v>
      </c>
      <c r="H41" s="22">
        <f>'FY30'!I41</f>
        <v>0</v>
      </c>
    </row>
    <row r="42" spans="1:8" x14ac:dyDescent="0.35">
      <c r="A42" s="27" t="s">
        <v>36</v>
      </c>
      <c r="B42" s="22">
        <f>'FY24'!I42</f>
        <v>2</v>
      </c>
      <c r="C42" s="21">
        <f>'FY25'!I42</f>
        <v>2</v>
      </c>
      <c r="D42" s="22">
        <f>'FY26'!I42</f>
        <v>0</v>
      </c>
      <c r="E42" s="22">
        <f>'FY27'!I42</f>
        <v>0</v>
      </c>
      <c r="F42" s="22">
        <f>'FY28'!I42</f>
        <v>0</v>
      </c>
      <c r="G42" s="22">
        <f>'FY29'!I42</f>
        <v>0</v>
      </c>
      <c r="H42" s="22">
        <f>'FY30'!I42</f>
        <v>0</v>
      </c>
    </row>
    <row r="43" spans="1:8" x14ac:dyDescent="0.35">
      <c r="A43" s="27" t="s">
        <v>38</v>
      </c>
      <c r="B43" s="22">
        <f>'FY24'!I43</f>
        <v>2</v>
      </c>
      <c r="C43" s="21">
        <f>'FY25'!I43</f>
        <v>1.5</v>
      </c>
      <c r="D43" s="22">
        <f>'FY26'!I43</f>
        <v>1</v>
      </c>
      <c r="E43" s="22">
        <f>'FY27'!I43</f>
        <v>1</v>
      </c>
      <c r="F43" s="22">
        <f>'FY28'!I43</f>
        <v>1</v>
      </c>
      <c r="G43" s="22">
        <f>'FY29'!I43</f>
        <v>1</v>
      </c>
      <c r="H43" s="22">
        <f>'FY30'!I43</f>
        <v>1</v>
      </c>
    </row>
    <row r="44" spans="1:8" x14ac:dyDescent="0.35">
      <c r="A44" s="27" t="s">
        <v>46</v>
      </c>
      <c r="B44" s="22">
        <f>'FY24'!I44</f>
        <v>0</v>
      </c>
      <c r="C44" s="21">
        <f>'FY25'!I44</f>
        <v>0</v>
      </c>
      <c r="D44" s="22">
        <f>'FY26'!I44</f>
        <v>1</v>
      </c>
      <c r="E44" s="22">
        <f>'FY27'!I44</f>
        <v>1</v>
      </c>
      <c r="F44" s="22">
        <f>'FY28'!I44</f>
        <v>1</v>
      </c>
      <c r="G44" s="22">
        <f>'FY29'!I44</f>
        <v>1</v>
      </c>
      <c r="H44" s="22">
        <f>'FY30'!I44</f>
        <v>1</v>
      </c>
    </row>
    <row r="45" spans="1:8" x14ac:dyDescent="0.35">
      <c r="A45" s="27" t="s">
        <v>48</v>
      </c>
      <c r="B45" s="22">
        <f>'FY24'!I45</f>
        <v>1</v>
      </c>
      <c r="C45" s="21">
        <f>'FY25'!I45</f>
        <v>1</v>
      </c>
      <c r="D45" s="22">
        <f>'FY26'!I45</f>
        <v>0</v>
      </c>
      <c r="E45" s="22">
        <f>'FY27'!I45</f>
        <v>0</v>
      </c>
      <c r="F45" s="22">
        <f>'FY28'!I45</f>
        <v>0</v>
      </c>
      <c r="G45" s="22">
        <f>'FY29'!I45</f>
        <v>0</v>
      </c>
      <c r="H45" s="22">
        <f>'FY30'!I45</f>
        <v>0</v>
      </c>
    </row>
    <row r="46" spans="1:8" x14ac:dyDescent="0.35">
      <c r="A46" s="25" t="s">
        <v>49</v>
      </c>
      <c r="B46" s="22">
        <f>'FY24'!I46</f>
        <v>1</v>
      </c>
      <c r="C46" s="21">
        <f>'FY25'!I46</f>
        <v>1</v>
      </c>
      <c r="D46" s="22">
        <f>'FY26'!I46</f>
        <v>1</v>
      </c>
      <c r="E46" s="22">
        <f>'FY27'!I46</f>
        <v>1</v>
      </c>
      <c r="F46" s="22">
        <f>'FY28'!I46</f>
        <v>1</v>
      </c>
      <c r="G46" s="22">
        <f>'FY29'!I46</f>
        <v>1</v>
      </c>
      <c r="H46" s="22">
        <f>'FY30'!I46</f>
        <v>1</v>
      </c>
    </row>
    <row r="47" spans="1:8" x14ac:dyDescent="0.35">
      <c r="A47" s="25" t="s">
        <v>50</v>
      </c>
      <c r="B47" s="22">
        <f>'FY24'!I47</f>
        <v>1</v>
      </c>
      <c r="C47" s="21">
        <f>'FY25'!I47</f>
        <v>1</v>
      </c>
      <c r="D47" s="22">
        <f>'FY26'!I47</f>
        <v>1</v>
      </c>
      <c r="E47" s="22">
        <f>'FY27'!I47</f>
        <v>1</v>
      </c>
      <c r="F47" s="22">
        <f>'FY28'!I47</f>
        <v>1</v>
      </c>
      <c r="G47" s="22">
        <f>'FY29'!I47</f>
        <v>1</v>
      </c>
      <c r="H47" s="22">
        <f>'FY30'!I47</f>
        <v>1</v>
      </c>
    </row>
    <row r="48" spans="1:8" x14ac:dyDescent="0.35">
      <c r="A48" s="25" t="s">
        <v>52</v>
      </c>
      <c r="B48" s="22">
        <f>'FY24'!I48</f>
        <v>1</v>
      </c>
      <c r="C48" s="21">
        <f>'FY25'!I48</f>
        <v>1</v>
      </c>
      <c r="D48" s="22">
        <f>'FY26'!I48</f>
        <v>1</v>
      </c>
      <c r="E48" s="22">
        <f>'FY27'!I48</f>
        <v>1</v>
      </c>
      <c r="F48" s="22">
        <f>'FY28'!I48</f>
        <v>1</v>
      </c>
      <c r="G48" s="22">
        <f>'FY29'!I48</f>
        <v>1</v>
      </c>
      <c r="H48" s="22">
        <f>'FY30'!I48</f>
        <v>1</v>
      </c>
    </row>
    <row r="49" spans="1:8" x14ac:dyDescent="0.35">
      <c r="A49" s="25" t="s">
        <v>53</v>
      </c>
      <c r="B49" s="22">
        <f>'FY24'!I49</f>
        <v>0</v>
      </c>
      <c r="C49" s="21">
        <f>'FY25'!I49</f>
        <v>0</v>
      </c>
      <c r="D49" s="22">
        <f>'FY26'!I49</f>
        <v>0</v>
      </c>
      <c r="E49" s="22">
        <f>'FY27'!I49</f>
        <v>0</v>
      </c>
      <c r="F49" s="22">
        <f>'FY28'!I49</f>
        <v>0</v>
      </c>
      <c r="G49" s="22">
        <f>'FY29'!I49</f>
        <v>0</v>
      </c>
      <c r="H49" s="22">
        <f>'FY30'!I49</f>
        <v>0</v>
      </c>
    </row>
    <row r="50" spans="1:8" x14ac:dyDescent="0.35">
      <c r="A50" s="25" t="s">
        <v>51</v>
      </c>
      <c r="B50" s="22">
        <f>'FY24'!I50</f>
        <v>9</v>
      </c>
      <c r="C50" s="21">
        <f>'FY25'!I50</f>
        <v>10</v>
      </c>
      <c r="D50" s="22">
        <f>'FY26'!I50</f>
        <v>10</v>
      </c>
      <c r="E50" s="22">
        <f>'FY27'!I50</f>
        <v>10</v>
      </c>
      <c r="F50" s="22">
        <f>'FY28'!I50</f>
        <v>10</v>
      </c>
      <c r="G50" s="22">
        <f>'FY29'!I50</f>
        <v>10</v>
      </c>
      <c r="H50" s="22">
        <f>'FY30'!I50</f>
        <v>10</v>
      </c>
    </row>
    <row r="51" spans="1:8" x14ac:dyDescent="0.35">
      <c r="A51" s="25" t="s">
        <v>54</v>
      </c>
      <c r="B51" s="22">
        <f>'FY24'!I51</f>
        <v>0</v>
      </c>
      <c r="C51" s="21">
        <f>'FY25'!I51</f>
        <v>0</v>
      </c>
      <c r="D51" s="22">
        <f>'FY26'!I51</f>
        <v>0</v>
      </c>
      <c r="E51" s="22">
        <f>'FY27'!I51</f>
        <v>0</v>
      </c>
      <c r="F51" s="22">
        <f>'FY28'!I51</f>
        <v>0</v>
      </c>
      <c r="G51" s="22">
        <f>'FY29'!I51</f>
        <v>0</v>
      </c>
      <c r="H51" s="22">
        <f>'FY30'!I51</f>
        <v>0</v>
      </c>
    </row>
    <row r="52" spans="1:8" x14ac:dyDescent="0.35">
      <c r="A52" s="25" t="s">
        <v>56</v>
      </c>
      <c r="B52" s="22">
        <f>'FY24'!I52</f>
        <v>0</v>
      </c>
      <c r="C52" s="21">
        <f>'FY25'!I52</f>
        <v>0</v>
      </c>
      <c r="D52" s="22">
        <f>'FY26'!I52</f>
        <v>0</v>
      </c>
      <c r="E52" s="22">
        <f>'FY27'!I52</f>
        <v>0</v>
      </c>
      <c r="F52" s="22">
        <f>'FY28'!I52</f>
        <v>0</v>
      </c>
      <c r="G52" s="22">
        <f>'FY29'!I52</f>
        <v>0</v>
      </c>
      <c r="H52" s="22">
        <f>'FY30'!I52</f>
        <v>0</v>
      </c>
    </row>
    <row r="53" spans="1:8" x14ac:dyDescent="0.35">
      <c r="A53" s="25" t="s">
        <v>57</v>
      </c>
      <c r="B53" s="22">
        <f>'FY24'!I53</f>
        <v>0</v>
      </c>
      <c r="C53" s="21">
        <f>'FY25'!I53</f>
        <v>0</v>
      </c>
      <c r="D53" s="22">
        <f>'FY26'!I53</f>
        <v>0</v>
      </c>
      <c r="E53" s="22">
        <f>'FY27'!I53</f>
        <v>0</v>
      </c>
      <c r="F53" s="22">
        <f>'FY28'!I53</f>
        <v>0</v>
      </c>
      <c r="G53" s="22">
        <f>'FY29'!I53</f>
        <v>0</v>
      </c>
      <c r="H53" s="22">
        <f>'FY30'!I53</f>
        <v>0</v>
      </c>
    </row>
    <row r="54" spans="1:8" x14ac:dyDescent="0.35">
      <c r="A54" s="26" t="s">
        <v>42</v>
      </c>
      <c r="B54" s="22">
        <f>'FY24'!I54</f>
        <v>0</v>
      </c>
      <c r="C54" s="21">
        <f>'FY25'!I54</f>
        <v>0</v>
      </c>
      <c r="D54" s="22">
        <f>'FY26'!I54</f>
        <v>0</v>
      </c>
      <c r="E54" s="22">
        <f>'FY27'!I54</f>
        <v>0</v>
      </c>
      <c r="F54" s="22">
        <f>'FY28'!I54</f>
        <v>0</v>
      </c>
      <c r="G54" s="22">
        <f>'FY29'!I54</f>
        <v>0</v>
      </c>
      <c r="H54" s="22">
        <f>'FY30'!I54</f>
        <v>0</v>
      </c>
    </row>
    <row r="55" spans="1:8" x14ac:dyDescent="0.35">
      <c r="A55" s="26" t="s">
        <v>43</v>
      </c>
      <c r="B55" s="22">
        <f>'FY24'!I55</f>
        <v>1</v>
      </c>
      <c r="C55" s="21">
        <f>'FY25'!I55</f>
        <v>1</v>
      </c>
      <c r="D55" s="22">
        <f>'FY26'!I55</f>
        <v>1</v>
      </c>
      <c r="E55" s="22">
        <f>'FY27'!I55</f>
        <v>1</v>
      </c>
      <c r="F55" s="22">
        <f>'FY28'!I55</f>
        <v>1</v>
      </c>
      <c r="G55" s="22">
        <f>'FY29'!I55</f>
        <v>1</v>
      </c>
      <c r="H55" s="22">
        <f>'FY30'!I55</f>
        <v>1</v>
      </c>
    </row>
    <row r="56" spans="1:8" x14ac:dyDescent="0.35">
      <c r="A56" s="26" t="s">
        <v>44</v>
      </c>
      <c r="B56" s="22">
        <f>'FY24'!I56</f>
        <v>0</v>
      </c>
      <c r="C56" s="21">
        <f>'FY25'!I56</f>
        <v>0</v>
      </c>
      <c r="D56" s="22">
        <f>'FY26'!I56</f>
        <v>0</v>
      </c>
      <c r="E56" s="22">
        <f>'FY27'!I56</f>
        <v>0</v>
      </c>
      <c r="F56" s="22">
        <f>'FY28'!I56</f>
        <v>0</v>
      </c>
      <c r="G56" s="22">
        <f>'FY29'!I56</f>
        <v>0</v>
      </c>
      <c r="H56" s="22">
        <f>'FY30'!I56</f>
        <v>0</v>
      </c>
    </row>
    <row r="57" spans="1:8" x14ac:dyDescent="0.35">
      <c r="A57" s="26" t="s">
        <v>45</v>
      </c>
      <c r="B57" s="22">
        <f>'FY24'!I57</f>
        <v>0</v>
      </c>
      <c r="C57" s="21">
        <f>'FY25'!I57</f>
        <v>0</v>
      </c>
      <c r="D57" s="22">
        <f>'FY26'!I57</f>
        <v>0</v>
      </c>
      <c r="E57" s="22">
        <f>'FY27'!I57</f>
        <v>0</v>
      </c>
      <c r="F57" s="22">
        <f>'FY28'!I57</f>
        <v>0</v>
      </c>
      <c r="G57" s="22">
        <f>'FY29'!I57</f>
        <v>0</v>
      </c>
      <c r="H57" s="22">
        <f>'FY30'!I57</f>
        <v>0</v>
      </c>
    </row>
    <row r="58" spans="1:8" x14ac:dyDescent="0.35">
      <c r="A58" s="26" t="s">
        <v>47</v>
      </c>
      <c r="B58" s="22">
        <f>'FY24'!I58</f>
        <v>0</v>
      </c>
      <c r="C58" s="21">
        <f>'FY25'!I58</f>
        <v>0</v>
      </c>
      <c r="D58" s="22">
        <f>'FY26'!I58</f>
        <v>0</v>
      </c>
      <c r="E58" s="22">
        <f>'FY27'!I58</f>
        <v>0</v>
      </c>
      <c r="F58" s="22">
        <f>'FY28'!I58</f>
        <v>0</v>
      </c>
      <c r="G58" s="22">
        <f>'FY29'!I58</f>
        <v>0</v>
      </c>
      <c r="H58" s="22">
        <f>'FY30'!I58</f>
        <v>0</v>
      </c>
    </row>
    <row r="59" spans="1:8" x14ac:dyDescent="0.35">
      <c r="A59" s="26" t="s">
        <v>55</v>
      </c>
      <c r="B59" s="22">
        <f>'FY24'!I59</f>
        <v>0</v>
      </c>
      <c r="C59" s="21">
        <f>'FY25'!I59</f>
        <v>0</v>
      </c>
      <c r="D59" s="22">
        <f>'FY26'!I59</f>
        <v>0</v>
      </c>
      <c r="E59" s="22">
        <f>'FY27'!I59</f>
        <v>0</v>
      </c>
      <c r="F59" s="22">
        <f>'FY28'!I59</f>
        <v>0</v>
      </c>
      <c r="G59" s="22">
        <f>'FY29'!I59</f>
        <v>0</v>
      </c>
      <c r="H59" s="22">
        <f>'FY30'!I59</f>
        <v>0</v>
      </c>
    </row>
    <row r="60" spans="1:8" x14ac:dyDescent="0.35">
      <c r="A60" s="25" t="s">
        <v>307</v>
      </c>
      <c r="B60" s="22">
        <f>'FY24'!I60</f>
        <v>0</v>
      </c>
      <c r="C60" s="21">
        <f>'FY25'!I60</f>
        <v>0</v>
      </c>
      <c r="D60" s="22">
        <f>'FY26'!I60</f>
        <v>0</v>
      </c>
      <c r="E60" s="22">
        <f>'FY27'!I60</f>
        <v>0</v>
      </c>
      <c r="F60" s="22">
        <f>'FY28'!I60</f>
        <v>0</v>
      </c>
      <c r="G60" s="22">
        <f>'FY29'!I60</f>
        <v>0</v>
      </c>
      <c r="H60" s="22">
        <f>'FY30'!I60</f>
        <v>0</v>
      </c>
    </row>
    <row r="61" spans="1:8" x14ac:dyDescent="0.35">
      <c r="A61" s="20" t="s">
        <v>58</v>
      </c>
      <c r="B61" s="28">
        <f t="shared" ref="B61:G61" si="25">SUM(B39:B60)</f>
        <v>20</v>
      </c>
      <c r="C61" s="28">
        <f t="shared" si="25"/>
        <v>20.5</v>
      </c>
      <c r="D61" s="28">
        <f t="shared" si="25"/>
        <v>18</v>
      </c>
      <c r="E61" s="28">
        <f t="shared" si="25"/>
        <v>18</v>
      </c>
      <c r="F61" s="28">
        <f t="shared" si="25"/>
        <v>18</v>
      </c>
      <c r="G61" s="28">
        <f t="shared" si="25"/>
        <v>18</v>
      </c>
      <c r="H61" s="28">
        <f t="shared" ref="H61" si="26">SUM(H39:H60)</f>
        <v>18</v>
      </c>
    </row>
    <row r="62" spans="1:8" ht="15" thickBot="1" x14ac:dyDescent="0.4">
      <c r="A62" s="29"/>
      <c r="B62" s="30"/>
      <c r="C62" s="30"/>
      <c r="D62" s="30"/>
      <c r="E62" s="30"/>
      <c r="F62" s="30"/>
      <c r="G62" s="30"/>
      <c r="H62" s="30"/>
    </row>
    <row r="63" spans="1:8" x14ac:dyDescent="0.35">
      <c r="A63" s="31" t="s">
        <v>59</v>
      </c>
      <c r="B63" s="32">
        <f t="shared" ref="B63:F63" si="27">B36</f>
        <v>25</v>
      </c>
      <c r="C63" s="32">
        <f t="shared" si="27"/>
        <v>25</v>
      </c>
      <c r="D63" s="32">
        <f t="shared" si="27"/>
        <v>24</v>
      </c>
      <c r="E63" s="32">
        <f t="shared" si="27"/>
        <v>24</v>
      </c>
      <c r="F63" s="32">
        <f t="shared" si="27"/>
        <v>24</v>
      </c>
      <c r="G63" s="32">
        <f t="shared" ref="G63:H63" si="28">G36</f>
        <v>24</v>
      </c>
      <c r="H63" s="32">
        <f t="shared" si="28"/>
        <v>24</v>
      </c>
    </row>
    <row r="64" spans="1:8" x14ac:dyDescent="0.35">
      <c r="A64" s="33" t="s">
        <v>60</v>
      </c>
      <c r="B64" s="34">
        <f t="shared" ref="B64:F64" si="29">B61</f>
        <v>20</v>
      </c>
      <c r="C64" s="34">
        <f t="shared" si="29"/>
        <v>20.5</v>
      </c>
      <c r="D64" s="34">
        <f t="shared" si="29"/>
        <v>18</v>
      </c>
      <c r="E64" s="34">
        <f t="shared" si="29"/>
        <v>18</v>
      </c>
      <c r="F64" s="34">
        <f t="shared" si="29"/>
        <v>18</v>
      </c>
      <c r="G64" s="34">
        <f t="shared" ref="G64:H64" si="30">G61</f>
        <v>18</v>
      </c>
      <c r="H64" s="34">
        <f t="shared" si="30"/>
        <v>18</v>
      </c>
    </row>
    <row r="65" spans="1:8" ht="15" thickBot="1" x14ac:dyDescent="0.4">
      <c r="A65" s="35" t="s">
        <v>61</v>
      </c>
      <c r="B65" s="36">
        <f t="shared" ref="B65" si="31">SUM(B63:B64)</f>
        <v>45</v>
      </c>
      <c r="C65" s="36">
        <f t="shared" ref="C65" si="32">SUM(C63:C64)</f>
        <v>45.5</v>
      </c>
      <c r="D65" s="36">
        <f t="shared" ref="D65" si="33">SUM(D63:D64)</f>
        <v>42</v>
      </c>
      <c r="E65" s="36">
        <f t="shared" ref="E65" si="34">SUM(E63:E64)</f>
        <v>42</v>
      </c>
      <c r="F65" s="36">
        <f t="shared" ref="F65" si="35">SUM(F63:F64)</f>
        <v>42</v>
      </c>
      <c r="G65" s="36">
        <f t="shared" ref="G65:H65" si="36">SUM(G63:G64)</f>
        <v>42</v>
      </c>
      <c r="H65" s="36">
        <f t="shared" si="36"/>
        <v>42</v>
      </c>
    </row>
    <row r="66" spans="1:8" x14ac:dyDescent="0.35">
      <c r="A66" s="26"/>
      <c r="B66" s="37"/>
      <c r="C66" s="37"/>
      <c r="D66" s="37"/>
      <c r="E66" s="37"/>
      <c r="F66" s="37"/>
      <c r="G66" s="37"/>
      <c r="H66" s="37"/>
    </row>
    <row r="67" spans="1:8" x14ac:dyDescent="0.35">
      <c r="A67" s="38" t="s">
        <v>62</v>
      </c>
      <c r="B67" s="40">
        <f t="shared" ref="B67:G67" si="37">B142/(B210+B212+B213+B214+B215+B216)</f>
        <v>0.63479948449927248</v>
      </c>
      <c r="C67" s="40">
        <f t="shared" si="37"/>
        <v>0.64409250943747964</v>
      </c>
      <c r="D67" s="40">
        <f t="shared" si="37"/>
        <v>0.63503406460413125</v>
      </c>
      <c r="E67" s="40">
        <f t="shared" si="37"/>
        <v>0.64148474588941229</v>
      </c>
      <c r="F67" s="40">
        <f t="shared" si="37"/>
        <v>0.64174109785216904</v>
      </c>
      <c r="G67" s="40">
        <f t="shared" si="37"/>
        <v>0.64721486278638041</v>
      </c>
      <c r="H67" s="40">
        <f t="shared" ref="H67" si="38">H142/(H210+H212+H213+H214+H215+H216)</f>
        <v>0.64540874251053582</v>
      </c>
    </row>
    <row r="68" spans="1:8" x14ac:dyDescent="0.35">
      <c r="A68" s="38" t="s">
        <v>63</v>
      </c>
      <c r="B68" s="40">
        <f t="shared" ref="B68:G68" si="39">(B114+B115+B118+B128)/B132</f>
        <v>0.68354193326882862</v>
      </c>
      <c r="C68" s="40">
        <f t="shared" si="39"/>
        <v>0.68771517264497617</v>
      </c>
      <c r="D68" s="40">
        <f t="shared" si="39"/>
        <v>0.74850108191247233</v>
      </c>
      <c r="E68" s="40">
        <f t="shared" si="39"/>
        <v>0.74829883852527745</v>
      </c>
      <c r="F68" s="40">
        <f t="shared" si="39"/>
        <v>0.74866455652909458</v>
      </c>
      <c r="G68" s="40">
        <f t="shared" si="39"/>
        <v>0.74820268449043559</v>
      </c>
      <c r="H68" s="40">
        <f t="shared" ref="H68" si="40">(H114+H115+H118+H128)/H132</f>
        <v>0.74835449317168679</v>
      </c>
    </row>
    <row r="69" spans="1:8" x14ac:dyDescent="0.35">
      <c r="A69" s="38" t="s">
        <v>64</v>
      </c>
      <c r="B69" s="40">
        <f t="shared" ref="B69:G69" si="41">(B132-(B114+B115+B118+B128))/B132</f>
        <v>0.31645806673117138</v>
      </c>
      <c r="C69" s="40">
        <f t="shared" si="41"/>
        <v>0.31228482735502378</v>
      </c>
      <c r="D69" s="40">
        <f t="shared" si="41"/>
        <v>0.25149891808752772</v>
      </c>
      <c r="E69" s="40">
        <f t="shared" si="41"/>
        <v>0.25170116147472249</v>
      </c>
      <c r="F69" s="40">
        <f t="shared" si="41"/>
        <v>0.25133544347090542</v>
      </c>
      <c r="G69" s="40">
        <f t="shared" si="41"/>
        <v>0.25179731550956436</v>
      </c>
      <c r="H69" s="40">
        <f t="shared" ref="H69" si="42">(H132-(H114+H115+H118+H128))/H132</f>
        <v>0.25164550682831321</v>
      </c>
    </row>
    <row r="70" spans="1:8" x14ac:dyDescent="0.35">
      <c r="A70" s="38" t="s">
        <v>65</v>
      </c>
      <c r="B70" s="40">
        <f t="shared" ref="B70:G70" si="43">(B212+B213+B214+B215)/(B97)</f>
        <v>9.25153546338425E-2</v>
      </c>
      <c r="C70" s="40">
        <f t="shared" si="43"/>
        <v>9.0738779916136561E-2</v>
      </c>
      <c r="D70" s="40">
        <f t="shared" si="43"/>
        <v>9.0732110282828807E-2</v>
      </c>
      <c r="E70" s="40">
        <f t="shared" si="43"/>
        <v>9.4702182416305777E-2</v>
      </c>
      <c r="F70" s="40">
        <f t="shared" si="43"/>
        <v>9.6163948747621075E-2</v>
      </c>
      <c r="G70" s="40">
        <f t="shared" si="43"/>
        <v>9.835318844318551E-2</v>
      </c>
      <c r="H70" s="40">
        <f t="shared" ref="H70" si="44">(H212+H213+H214+H215)/(H97)</f>
        <v>9.9204578370025567E-2</v>
      </c>
    </row>
    <row r="71" spans="1:8" ht="15" thickBot="1" x14ac:dyDescent="0.4">
      <c r="B71" s="37"/>
      <c r="C71" s="37"/>
      <c r="D71" s="37"/>
      <c r="E71" s="37"/>
      <c r="F71" s="37"/>
      <c r="G71" s="37"/>
      <c r="H71" s="37"/>
    </row>
    <row r="72" spans="1:8" ht="15" thickBot="1" x14ac:dyDescent="0.4">
      <c r="A72" s="41" t="s">
        <v>66</v>
      </c>
      <c r="B72" s="42" t="str">
        <f t="shared" ref="B72:G72" si="45">B1</f>
        <v>FY24 (23-24)</v>
      </c>
      <c r="C72" s="42" t="str">
        <f t="shared" si="45"/>
        <v>FY25 (24-25)</v>
      </c>
      <c r="D72" s="42" t="str">
        <f t="shared" si="45"/>
        <v>FY26 (25-26)</v>
      </c>
      <c r="E72" s="42" t="str">
        <f t="shared" si="45"/>
        <v>FY27 (26-27)</v>
      </c>
      <c r="F72" s="42" t="str">
        <f t="shared" si="45"/>
        <v>FY28 (27-28)</v>
      </c>
      <c r="G72" s="42" t="str">
        <f t="shared" si="45"/>
        <v>FY29 (28-29)</v>
      </c>
      <c r="H72" s="42" t="str">
        <f t="shared" ref="H72" si="46">H1</f>
        <v>FY30 (29-30)</v>
      </c>
    </row>
    <row r="73" spans="1:8" x14ac:dyDescent="0.35">
      <c r="A73" s="43" t="s">
        <v>67</v>
      </c>
      <c r="B73" s="45"/>
      <c r="C73" s="44"/>
      <c r="D73" s="45"/>
      <c r="E73" s="45"/>
      <c r="F73" s="45"/>
      <c r="G73" s="45"/>
      <c r="H73" s="45"/>
    </row>
    <row r="74" spans="1:8" x14ac:dyDescent="0.35">
      <c r="A74" s="26" t="s">
        <v>68</v>
      </c>
      <c r="B74" s="10">
        <f>'FY24'!I74</f>
        <v>4465068</v>
      </c>
      <c r="C74" s="5">
        <f>'FY25'!I74</f>
        <v>4688172</v>
      </c>
      <c r="D74" s="10">
        <f>'FY26'!I74</f>
        <v>4443075</v>
      </c>
      <c r="E74" s="10">
        <f>'FY27'!I74</f>
        <v>4508175</v>
      </c>
      <c r="F74" s="10">
        <f>'FY28'!I74</f>
        <v>4575600</v>
      </c>
      <c r="G74" s="10">
        <f>'FY29'!I74</f>
        <v>4643955</v>
      </c>
      <c r="H74" s="10">
        <f>'FY30'!I74</f>
        <v>4713240</v>
      </c>
    </row>
    <row r="75" spans="1:8" x14ac:dyDescent="0.35">
      <c r="A75" s="26" t="s">
        <v>69</v>
      </c>
      <c r="B75" s="10">
        <f>'FY24'!I75</f>
        <v>613168</v>
      </c>
      <c r="C75" s="5">
        <f>'FY25'!I75</f>
        <v>643872</v>
      </c>
      <c r="D75" s="10">
        <f>'FY26'!I75</f>
        <v>653448</v>
      </c>
      <c r="E75" s="10">
        <f>'FY27'!I75</f>
        <v>628128</v>
      </c>
      <c r="F75" s="10">
        <f>'FY28'!I75</f>
        <v>637632</v>
      </c>
      <c r="G75" s="10">
        <f>'FY29'!I75</f>
        <v>609984</v>
      </c>
      <c r="H75" s="10">
        <f>'FY30'!I75</f>
        <v>656784</v>
      </c>
    </row>
    <row r="76" spans="1:8" x14ac:dyDescent="0.35">
      <c r="A76" s="26" t="s">
        <v>70</v>
      </c>
      <c r="B76" s="10">
        <f>'FY24'!I76</f>
        <v>0</v>
      </c>
      <c r="C76" s="5">
        <f>'FY25'!I76</f>
        <v>0</v>
      </c>
      <c r="D76" s="10">
        <f>'FY26'!I76</f>
        <v>0</v>
      </c>
      <c r="E76" s="10">
        <f>'FY27'!I76</f>
        <v>0</v>
      </c>
      <c r="F76" s="10">
        <f>'FY28'!I76</f>
        <v>0</v>
      </c>
      <c r="G76" s="10">
        <f>'FY29'!I76</f>
        <v>0</v>
      </c>
      <c r="H76" s="10">
        <f>'FY30'!I76</f>
        <v>0</v>
      </c>
    </row>
    <row r="77" spans="1:8" x14ac:dyDescent="0.35">
      <c r="A77" s="26" t="s">
        <v>71</v>
      </c>
      <c r="B77" s="10">
        <f>'FY24'!I77</f>
        <v>12552</v>
      </c>
      <c r="C77" s="5">
        <f>'FY25'!I77</f>
        <v>13176</v>
      </c>
      <c r="D77" s="10">
        <f>'FY26'!I77</f>
        <v>46816</v>
      </c>
      <c r="E77" s="10">
        <f>'FY27'!I77</f>
        <v>13172</v>
      </c>
      <c r="F77" s="10">
        <f>'FY28'!I77</f>
        <v>13776</v>
      </c>
      <c r="G77" s="10">
        <f>'FY29'!I77</f>
        <v>13176</v>
      </c>
      <c r="H77" s="10">
        <f>'FY30'!I77</f>
        <v>14188</v>
      </c>
    </row>
    <row r="78" spans="1:8" x14ac:dyDescent="0.35">
      <c r="A78" s="26" t="s">
        <v>73</v>
      </c>
      <c r="B78" s="10">
        <f>'FY24'!I78</f>
        <v>53862</v>
      </c>
      <c r="C78" s="5">
        <f>'FY25'!I78</f>
        <v>53862</v>
      </c>
      <c r="D78" s="10">
        <f>'FY26'!I78</f>
        <v>53862</v>
      </c>
      <c r="E78" s="10">
        <f>'FY27'!I78</f>
        <v>53862</v>
      </c>
      <c r="F78" s="10">
        <f>'FY28'!I78</f>
        <v>53862</v>
      </c>
      <c r="G78" s="10">
        <f>'FY29'!I78</f>
        <v>53862</v>
      </c>
      <c r="H78" s="10">
        <f>'FY30'!I78</f>
        <v>53862</v>
      </c>
    </row>
    <row r="79" spans="1:8" x14ac:dyDescent="0.35">
      <c r="A79" s="26" t="s">
        <v>72</v>
      </c>
      <c r="B79" s="10">
        <f>'FY24'!I79</f>
        <v>281200</v>
      </c>
      <c r="C79" s="5">
        <f>'FY25'!I79</f>
        <v>288800</v>
      </c>
      <c r="D79" s="10">
        <f>'FY26'!I79</f>
        <v>288800</v>
      </c>
      <c r="E79" s="10">
        <f>'FY27'!I79</f>
        <v>212800</v>
      </c>
      <c r="F79" s="10">
        <f>'FY28'!I79</f>
        <v>218400</v>
      </c>
      <c r="G79" s="10">
        <f>'FY29'!I79</f>
        <v>218400</v>
      </c>
      <c r="H79" s="10">
        <f>'FY30'!I79</f>
        <v>224000</v>
      </c>
    </row>
    <row r="80" spans="1:8" x14ac:dyDescent="0.35">
      <c r="A80" s="49" t="s">
        <v>74</v>
      </c>
      <c r="B80" s="50">
        <f t="shared" ref="B80:G80" si="47">SUM(B74:B79)</f>
        <v>5425850</v>
      </c>
      <c r="C80" s="50">
        <f t="shared" si="47"/>
        <v>5687882</v>
      </c>
      <c r="D80" s="50">
        <f t="shared" si="47"/>
        <v>5486001</v>
      </c>
      <c r="E80" s="50">
        <f t="shared" si="47"/>
        <v>5416137</v>
      </c>
      <c r="F80" s="50">
        <f t="shared" si="47"/>
        <v>5499270</v>
      </c>
      <c r="G80" s="50">
        <f t="shared" si="47"/>
        <v>5539377</v>
      </c>
      <c r="H80" s="50">
        <f t="shared" ref="H80" si="48">SUM(H74:H79)</f>
        <v>5662074</v>
      </c>
    </row>
    <row r="81" spans="1:8" x14ac:dyDescent="0.35">
      <c r="A81" s="51" t="s">
        <v>75</v>
      </c>
      <c r="B81" s="45"/>
      <c r="C81" s="44"/>
      <c r="D81" s="45"/>
      <c r="E81" s="45"/>
      <c r="F81" s="45"/>
      <c r="G81" s="45"/>
      <c r="H81" s="45"/>
    </row>
    <row r="82" spans="1:8" x14ac:dyDescent="0.35">
      <c r="A82" s="26" t="s">
        <v>76</v>
      </c>
      <c r="B82" s="10">
        <f>'FY24'!I82</f>
        <v>77327</v>
      </c>
      <c r="C82" s="5">
        <f>'FY25'!I82</f>
        <v>72200</v>
      </c>
      <c r="D82" s="10">
        <f>'FY26'!I82</f>
        <v>72200</v>
      </c>
      <c r="E82" s="10">
        <f>'FY27'!I82</f>
        <v>53200</v>
      </c>
      <c r="F82" s="10">
        <f>'FY28'!I82</f>
        <v>53200</v>
      </c>
      <c r="G82" s="10">
        <f>'FY29'!I82</f>
        <v>53200</v>
      </c>
      <c r="H82" s="10">
        <f>'FY30'!I82</f>
        <v>53200</v>
      </c>
    </row>
    <row r="83" spans="1:8" x14ac:dyDescent="0.35">
      <c r="A83" s="26" t="s">
        <v>77</v>
      </c>
      <c r="B83" s="10">
        <f>'FY24'!I83</f>
        <v>214127.55000000002</v>
      </c>
      <c r="C83" s="5">
        <f>'FY25'!I83</f>
        <v>234184.49999999997</v>
      </c>
      <c r="D83" s="10">
        <f>'FY26'!I83</f>
        <v>218666.25</v>
      </c>
      <c r="E83" s="10">
        <f>'FY27'!I83</f>
        <v>220256.55000000002</v>
      </c>
      <c r="F83" s="10">
        <f>'FY28'!I83</f>
        <v>222641.99999999997</v>
      </c>
      <c r="G83" s="10">
        <f>'FY29'!I83</f>
        <v>224232.3</v>
      </c>
      <c r="H83" s="10">
        <f>'FY30'!I83</f>
        <v>226617.75</v>
      </c>
    </row>
    <row r="84" spans="1:8" x14ac:dyDescent="0.35">
      <c r="A84" s="26" t="s">
        <v>78</v>
      </c>
      <c r="B84" s="10">
        <f>'FY24'!I84</f>
        <v>341192.24999999994</v>
      </c>
      <c r="C84" s="5">
        <f>'FY25'!I84</f>
        <v>372140.46</v>
      </c>
      <c r="D84" s="10">
        <f>'FY26'!I84</f>
        <v>347480.55</v>
      </c>
      <c r="E84" s="10">
        <f>'FY27'!I84</f>
        <v>349866</v>
      </c>
      <c r="F84" s="10">
        <f>'FY28'!I84</f>
        <v>351456.3</v>
      </c>
      <c r="G84" s="10">
        <f>'FY29'!I84</f>
        <v>353046.60000000003</v>
      </c>
      <c r="H84" s="10">
        <f>'FY30'!I84</f>
        <v>357817.5</v>
      </c>
    </row>
    <row r="85" spans="1:8" x14ac:dyDescent="0.35">
      <c r="A85" s="26" t="s">
        <v>79</v>
      </c>
      <c r="B85" s="10">
        <f>'FY24'!I85</f>
        <v>0</v>
      </c>
      <c r="C85" s="5">
        <f>'FY25'!I85</f>
        <v>0</v>
      </c>
      <c r="D85" s="10">
        <f>'FY26'!I85</f>
        <v>0</v>
      </c>
      <c r="E85" s="10">
        <f>'FY27'!I85</f>
        <v>0</v>
      </c>
      <c r="F85" s="10">
        <f>'FY28'!I85</f>
        <v>0</v>
      </c>
      <c r="G85" s="10">
        <f>'FY29'!I85</f>
        <v>0</v>
      </c>
      <c r="H85" s="10">
        <f>'FY30'!I85</f>
        <v>0</v>
      </c>
    </row>
    <row r="86" spans="1:8" x14ac:dyDescent="0.35">
      <c r="A86" s="26" t="s">
        <v>80</v>
      </c>
      <c r="B86" s="10">
        <f>'FY24'!I86</f>
        <v>0</v>
      </c>
      <c r="C86" s="5">
        <f>'FY25'!I86</f>
        <v>0</v>
      </c>
      <c r="D86" s="10">
        <f>'FY26'!I86</f>
        <v>0</v>
      </c>
      <c r="E86" s="10">
        <f>'FY27'!I86</f>
        <v>0</v>
      </c>
      <c r="F86" s="10">
        <f>'FY28'!I86</f>
        <v>0</v>
      </c>
      <c r="G86" s="10">
        <f>'FY29'!I86</f>
        <v>0</v>
      </c>
      <c r="H86" s="10">
        <f>'FY30'!I86</f>
        <v>0</v>
      </c>
    </row>
    <row r="87" spans="1:8" x14ac:dyDescent="0.35">
      <c r="A87" s="26" t="s">
        <v>81</v>
      </c>
      <c r="B87" s="10">
        <f>'FY24'!I87</f>
        <v>0</v>
      </c>
      <c r="C87" s="5">
        <f>'FY25'!I87</f>
        <v>0</v>
      </c>
      <c r="D87" s="10">
        <f>'FY26'!I87</f>
        <v>0</v>
      </c>
      <c r="E87" s="10">
        <f>'FY27'!I87</f>
        <v>0</v>
      </c>
      <c r="F87" s="10">
        <f>'FY28'!I87</f>
        <v>0</v>
      </c>
      <c r="G87" s="10">
        <f>'FY29'!I87</f>
        <v>0</v>
      </c>
      <c r="H87" s="10">
        <f>'FY30'!I87</f>
        <v>0</v>
      </c>
    </row>
    <row r="88" spans="1:8" x14ac:dyDescent="0.35">
      <c r="A88" s="26" t="s">
        <v>82</v>
      </c>
      <c r="B88" s="10">
        <f>'FY24'!I88</f>
        <v>0</v>
      </c>
      <c r="C88" s="5">
        <f>'FY25'!I88</f>
        <v>0</v>
      </c>
      <c r="D88" s="10">
        <f>'FY26'!I88</f>
        <v>0</v>
      </c>
      <c r="E88" s="10">
        <f>'FY27'!I88</f>
        <v>0</v>
      </c>
      <c r="F88" s="10">
        <f>'FY28'!I88</f>
        <v>0</v>
      </c>
      <c r="G88" s="10">
        <f>'FY29'!I88</f>
        <v>0</v>
      </c>
      <c r="H88" s="10">
        <f>'FY30'!I88</f>
        <v>0</v>
      </c>
    </row>
    <row r="89" spans="1:8" x14ac:dyDescent="0.35">
      <c r="A89" s="26" t="s">
        <v>83</v>
      </c>
      <c r="B89" s="10">
        <f>'FY24'!I89</f>
        <v>0</v>
      </c>
      <c r="C89" s="5">
        <f>'FY25'!I89</f>
        <v>0</v>
      </c>
      <c r="D89" s="10">
        <f>'FY26'!I89</f>
        <v>0</v>
      </c>
      <c r="E89" s="10">
        <f>'FY27'!I89</f>
        <v>0</v>
      </c>
      <c r="F89" s="10">
        <f>'FY28'!I89</f>
        <v>0</v>
      </c>
      <c r="G89" s="10">
        <f>'FY29'!I89</f>
        <v>0</v>
      </c>
      <c r="H89" s="10">
        <f>'FY29'!J89</f>
        <v>0</v>
      </c>
    </row>
    <row r="90" spans="1:8" x14ac:dyDescent="0.35">
      <c r="A90" s="49" t="s">
        <v>84</v>
      </c>
      <c r="B90" s="50">
        <f t="shared" ref="B90:G90" si="49">SUM(B82:B88)</f>
        <v>632646.80000000005</v>
      </c>
      <c r="C90" s="50">
        <f t="shared" si="49"/>
        <v>678524.96</v>
      </c>
      <c r="D90" s="50">
        <f t="shared" si="49"/>
        <v>638346.80000000005</v>
      </c>
      <c r="E90" s="50">
        <f t="shared" si="49"/>
        <v>623322.55000000005</v>
      </c>
      <c r="F90" s="50">
        <f t="shared" si="49"/>
        <v>627298.30000000005</v>
      </c>
      <c r="G90" s="50">
        <f t="shared" si="49"/>
        <v>630478.9</v>
      </c>
      <c r="H90" s="50">
        <f t="shared" ref="H90" si="50">SUM(H82:H88)</f>
        <v>637635.25</v>
      </c>
    </row>
    <row r="91" spans="1:8" x14ac:dyDescent="0.35">
      <c r="A91" s="51" t="s">
        <v>85</v>
      </c>
      <c r="B91" s="45"/>
      <c r="C91" s="44"/>
      <c r="D91" s="45"/>
      <c r="E91" s="45"/>
      <c r="F91" s="45"/>
      <c r="G91" s="45"/>
      <c r="H91" s="45"/>
    </row>
    <row r="92" spans="1:8" x14ac:dyDescent="0.35">
      <c r="A92" s="26" t="s">
        <v>179</v>
      </c>
      <c r="B92" s="10">
        <f>'FY24'!I92</f>
        <v>0</v>
      </c>
      <c r="C92" s="5">
        <f>'FY25'!I92</f>
        <v>0</v>
      </c>
      <c r="D92" s="10">
        <f>'FY26'!I92</f>
        <v>0</v>
      </c>
      <c r="E92" s="10">
        <f>'FY27'!I92</f>
        <v>0</v>
      </c>
      <c r="F92" s="10">
        <f>'FY28'!I92</f>
        <v>0</v>
      </c>
      <c r="G92" s="10">
        <f>'FY29'!I92</f>
        <v>0</v>
      </c>
      <c r="H92" s="10">
        <f>'FY30'!I92</f>
        <v>0</v>
      </c>
    </row>
    <row r="93" spans="1:8" x14ac:dyDescent="0.35">
      <c r="A93" s="26" t="s">
        <v>180</v>
      </c>
      <c r="B93" s="10">
        <f>'FY24'!I93</f>
        <v>0</v>
      </c>
      <c r="C93" s="5">
        <f>'FY25'!I93</f>
        <v>0</v>
      </c>
      <c r="D93" s="10">
        <f>'FY26'!I93</f>
        <v>0</v>
      </c>
      <c r="E93" s="10">
        <f>'FY27'!I93</f>
        <v>0</v>
      </c>
      <c r="F93" s="10">
        <f>'FY28'!I93</f>
        <v>0</v>
      </c>
      <c r="G93" s="10">
        <f>'FY29'!I93</f>
        <v>0</v>
      </c>
      <c r="H93" s="10">
        <f>'FY30'!I93</f>
        <v>0</v>
      </c>
    </row>
    <row r="94" spans="1:8" x14ac:dyDescent="0.35">
      <c r="A94" s="26" t="s">
        <v>86</v>
      </c>
      <c r="B94" s="10">
        <f>'FY24'!I94</f>
        <v>0</v>
      </c>
      <c r="C94" s="5">
        <f>'FY25'!I94</f>
        <v>0</v>
      </c>
      <c r="D94" s="10">
        <f>'FY26'!I94</f>
        <v>0</v>
      </c>
      <c r="E94" s="10">
        <f>'FY27'!I94</f>
        <v>0</v>
      </c>
      <c r="F94" s="10">
        <f>'FY28'!I94</f>
        <v>0</v>
      </c>
      <c r="G94" s="10">
        <f>'FY29'!I94</f>
        <v>0</v>
      </c>
      <c r="H94" s="10">
        <f>'FY30'!I94</f>
        <v>0</v>
      </c>
    </row>
    <row r="95" spans="1:8" x14ac:dyDescent="0.35">
      <c r="A95" s="26" t="s">
        <v>178</v>
      </c>
      <c r="B95" s="10">
        <f>'FY24'!I95</f>
        <v>0</v>
      </c>
      <c r="C95" s="5">
        <f>'FY25'!I95</f>
        <v>0</v>
      </c>
      <c r="D95" s="10">
        <f>'FY26'!I95</f>
        <v>0</v>
      </c>
      <c r="E95" s="10">
        <f>'FY27'!I95</f>
        <v>0</v>
      </c>
      <c r="F95" s="10">
        <f>'FY28'!I95</f>
        <v>0</v>
      </c>
      <c r="G95" s="10">
        <f>'FY29'!I95</f>
        <v>0</v>
      </c>
      <c r="H95" s="10">
        <f>'FY30'!I95</f>
        <v>0</v>
      </c>
    </row>
    <row r="96" spans="1:8" x14ac:dyDescent="0.35">
      <c r="A96" s="49" t="s">
        <v>87</v>
      </c>
      <c r="B96" s="50">
        <v>0</v>
      </c>
      <c r="C96" s="50">
        <f>SUM(C92:C95)</f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</row>
    <row r="97" spans="1:8" x14ac:dyDescent="0.35">
      <c r="A97" s="150" t="s">
        <v>88</v>
      </c>
      <c r="B97" s="151">
        <f>B80+B90+B96</f>
        <v>6058496.7999999998</v>
      </c>
      <c r="C97" s="151">
        <f t="shared" ref="C97:G97" si="51">C80+C90+C96</f>
        <v>6366406.96</v>
      </c>
      <c r="D97" s="151">
        <f t="shared" si="51"/>
        <v>6124347.7999999998</v>
      </c>
      <c r="E97" s="151">
        <f t="shared" si="51"/>
        <v>6039459.5499999998</v>
      </c>
      <c r="F97" s="151">
        <f t="shared" si="51"/>
        <v>6126568.2999999998</v>
      </c>
      <c r="G97" s="151">
        <f t="shared" si="51"/>
        <v>6169855.9000000004</v>
      </c>
      <c r="H97" s="151">
        <f t="shared" ref="H97" si="52">H80+H90+H96</f>
        <v>6299709.25</v>
      </c>
    </row>
    <row r="98" spans="1:8" x14ac:dyDescent="0.35">
      <c r="A98" s="51" t="s">
        <v>278</v>
      </c>
      <c r="B98" s="45"/>
      <c r="C98" s="44"/>
      <c r="D98" s="45"/>
      <c r="E98" s="45"/>
      <c r="F98" s="45"/>
      <c r="G98" s="45"/>
      <c r="H98" s="45"/>
    </row>
    <row r="99" spans="1:8" x14ac:dyDescent="0.35">
      <c r="A99" s="26" t="s">
        <v>281</v>
      </c>
      <c r="B99" s="47">
        <f>'FY24'!I99</f>
        <v>160000</v>
      </c>
      <c r="C99" s="5">
        <f>'FY25'!I99</f>
        <v>0</v>
      </c>
      <c r="D99" s="5">
        <f>'FY26'!AC99</f>
        <v>0</v>
      </c>
      <c r="E99" s="5">
        <f>'FY27'!AC99</f>
        <v>0</v>
      </c>
      <c r="F99" s="5">
        <f>'FY28'!AC99</f>
        <v>0</v>
      </c>
      <c r="G99" s="5">
        <f>'FY29'!AC99</f>
        <v>0</v>
      </c>
      <c r="H99" s="10">
        <f>'FY30'!I99</f>
        <v>0</v>
      </c>
    </row>
    <row r="100" spans="1:8" x14ac:dyDescent="0.35">
      <c r="A100" s="26" t="s">
        <v>279</v>
      </c>
      <c r="B100" s="47">
        <f>'FY24'!I100</f>
        <v>0</v>
      </c>
      <c r="C100" s="5">
        <f>'FY25'!I100</f>
        <v>0</v>
      </c>
      <c r="D100" s="5">
        <f>'FY26'!AC100</f>
        <v>0</v>
      </c>
      <c r="E100" s="5">
        <f>'FY27'!AC100</f>
        <v>0</v>
      </c>
      <c r="F100" s="5">
        <f>'FY28'!AC100</f>
        <v>0</v>
      </c>
      <c r="G100" s="5">
        <f>'FY29'!AC100</f>
        <v>0</v>
      </c>
      <c r="H100" s="10">
        <f>'FY30'!I100</f>
        <v>0</v>
      </c>
    </row>
    <row r="101" spans="1:8" x14ac:dyDescent="0.35">
      <c r="A101" s="26"/>
      <c r="B101" s="47">
        <f>'FY24'!I101</f>
        <v>0</v>
      </c>
      <c r="C101" s="5">
        <f>'FY25'!I101</f>
        <v>0</v>
      </c>
      <c r="D101" s="5">
        <f>'FY26'!AC101</f>
        <v>0</v>
      </c>
      <c r="E101" s="5">
        <f>'FY27'!AC101</f>
        <v>0</v>
      </c>
      <c r="F101" s="5">
        <f>'FY28'!AC101</f>
        <v>0</v>
      </c>
      <c r="G101" s="5">
        <f>'FY29'!AC101</f>
        <v>0</v>
      </c>
      <c r="H101" s="10">
        <f>'FY30'!I101</f>
        <v>0</v>
      </c>
    </row>
    <row r="102" spans="1:8" x14ac:dyDescent="0.35">
      <c r="A102" s="26"/>
      <c r="B102" s="47">
        <f>'FY24'!I102</f>
        <v>0</v>
      </c>
      <c r="C102" s="5">
        <f>'FY25'!I102</f>
        <v>0</v>
      </c>
      <c r="D102" s="5">
        <f>'FY26'!AC102</f>
        <v>0</v>
      </c>
      <c r="E102" s="5">
        <f>'FY27'!AC102</f>
        <v>0</v>
      </c>
      <c r="F102" s="5">
        <f>'FY28'!AC102</f>
        <v>0</v>
      </c>
      <c r="G102" s="5">
        <f>'FY29'!AC102</f>
        <v>0</v>
      </c>
      <c r="H102" s="10">
        <f>'FY30'!I102</f>
        <v>0</v>
      </c>
    </row>
    <row r="103" spans="1:8" x14ac:dyDescent="0.35">
      <c r="A103" s="49" t="s">
        <v>280</v>
      </c>
      <c r="B103" s="50">
        <f>SUM(B99:B102)</f>
        <v>160000</v>
      </c>
      <c r="C103" s="50">
        <f t="shared" ref="C103:H103" si="53">SUM(C99:C102)</f>
        <v>0</v>
      </c>
      <c r="D103" s="50">
        <f t="shared" si="53"/>
        <v>0</v>
      </c>
      <c r="E103" s="50">
        <f t="shared" si="53"/>
        <v>0</v>
      </c>
      <c r="F103" s="50">
        <f t="shared" si="53"/>
        <v>0</v>
      </c>
      <c r="G103" s="50">
        <f t="shared" si="53"/>
        <v>0</v>
      </c>
      <c r="H103" s="50">
        <f t="shared" si="53"/>
        <v>0</v>
      </c>
    </row>
    <row r="104" spans="1:8" ht="15" thickBot="1" x14ac:dyDescent="0.4">
      <c r="A104" s="26"/>
      <c r="B104" s="37"/>
      <c r="C104" s="37"/>
      <c r="D104" s="37"/>
      <c r="E104" s="37"/>
      <c r="F104" s="37"/>
      <c r="G104" s="37"/>
      <c r="H104" s="37"/>
    </row>
    <row r="105" spans="1:8" ht="15" thickBot="1" x14ac:dyDescent="0.4">
      <c r="A105" s="55" t="s">
        <v>89</v>
      </c>
      <c r="B105" s="56" t="str">
        <f t="shared" ref="B105:G105" si="54">B1</f>
        <v>FY24 (23-24)</v>
      </c>
      <c r="C105" s="56" t="str">
        <f t="shared" si="54"/>
        <v>FY25 (24-25)</v>
      </c>
      <c r="D105" s="56" t="str">
        <f t="shared" si="54"/>
        <v>FY26 (25-26)</v>
      </c>
      <c r="E105" s="56" t="str">
        <f t="shared" si="54"/>
        <v>FY27 (26-27)</v>
      </c>
      <c r="F105" s="56" t="str">
        <f t="shared" si="54"/>
        <v>FY28 (27-28)</v>
      </c>
      <c r="G105" s="56" t="str">
        <f t="shared" si="54"/>
        <v>FY29 (28-29)</v>
      </c>
      <c r="H105" s="56" t="str">
        <f t="shared" ref="H105" si="55">H1</f>
        <v>FY30 (29-30)</v>
      </c>
    </row>
    <row r="106" spans="1:8" x14ac:dyDescent="0.35">
      <c r="A106" s="43" t="s">
        <v>90</v>
      </c>
      <c r="B106" s="45"/>
      <c r="C106" s="44"/>
      <c r="D106" s="45"/>
      <c r="E106" s="45"/>
      <c r="F106" s="45"/>
      <c r="G106" s="45"/>
      <c r="H106" s="45"/>
    </row>
    <row r="107" spans="1:8" x14ac:dyDescent="0.35">
      <c r="A107" s="26" t="s">
        <v>40</v>
      </c>
      <c r="B107" s="10">
        <f>'FY24'!I107</f>
        <v>143000</v>
      </c>
      <c r="C107" s="5">
        <f>'FY25'!I107</f>
        <v>147290</v>
      </c>
      <c r="D107" s="10">
        <f>'FY26'!I107</f>
        <v>120000</v>
      </c>
      <c r="E107" s="10">
        <f>'FY27'!I107</f>
        <v>123600</v>
      </c>
      <c r="F107" s="10">
        <f>'FY28'!I107</f>
        <v>127335.80999999997</v>
      </c>
      <c r="G107" s="10">
        <f>'FY29'!I107</f>
        <v>130538.30562149995</v>
      </c>
      <c r="H107" s="10">
        <f>'FY30'!I107</f>
        <v>132235.30359457943</v>
      </c>
    </row>
    <row r="108" spans="1:8" x14ac:dyDescent="0.35">
      <c r="A108" s="26" t="s">
        <v>91</v>
      </c>
      <c r="B108" s="10">
        <f>'FY24'!I108</f>
        <v>115000</v>
      </c>
      <c r="C108" s="5">
        <f>'FY25'!I108</f>
        <v>118450</v>
      </c>
      <c r="D108" s="10">
        <f>'FY26'!I108</f>
        <v>100000</v>
      </c>
      <c r="E108" s="10">
        <f>'FY27'!I108</f>
        <v>101499.99999999999</v>
      </c>
      <c r="F108" s="10">
        <f>'FY28'!I108</f>
        <v>103022.49999999997</v>
      </c>
      <c r="G108" s="10">
        <f>'FY29'!I108</f>
        <v>104052.72499999998</v>
      </c>
      <c r="H108" s="10">
        <f>'FY30'!I108</f>
        <v>105405.41042499997</v>
      </c>
    </row>
    <row r="109" spans="1:8" x14ac:dyDescent="0.35">
      <c r="A109" s="26" t="s">
        <v>34</v>
      </c>
      <c r="B109" s="10">
        <f>'FY24'!I109</f>
        <v>0</v>
      </c>
      <c r="C109" s="5">
        <f>'FY25'!I109</f>
        <v>0</v>
      </c>
      <c r="D109" s="10">
        <f>'FY26'!I109</f>
        <v>0</v>
      </c>
      <c r="E109" s="10">
        <f>'FY27'!I109</f>
        <v>0</v>
      </c>
      <c r="F109" s="10">
        <f>'FY28'!I109</f>
        <v>0</v>
      </c>
      <c r="G109" s="10">
        <f>'FY29'!I109</f>
        <v>0</v>
      </c>
      <c r="H109" s="10">
        <f>'FY30'!I109</f>
        <v>0</v>
      </c>
    </row>
    <row r="110" spans="1:8" x14ac:dyDescent="0.35">
      <c r="A110" s="27" t="s">
        <v>36</v>
      </c>
      <c r="B110" s="10">
        <f>'FY24'!I110</f>
        <v>158050</v>
      </c>
      <c r="C110" s="5">
        <f>'FY25'!I110</f>
        <v>162791.5</v>
      </c>
      <c r="D110" s="10">
        <f>'FY26'!I110</f>
        <v>0</v>
      </c>
      <c r="E110" s="10">
        <f>'FY27'!I110</f>
        <v>0</v>
      </c>
      <c r="F110" s="10">
        <f>'FY28'!I110</f>
        <v>0</v>
      </c>
      <c r="G110" s="10">
        <f>'FY29'!I110</f>
        <v>0</v>
      </c>
      <c r="H110" s="10">
        <f>'FY30'!I110</f>
        <v>0</v>
      </c>
    </row>
    <row r="111" spans="1:8" x14ac:dyDescent="0.35">
      <c r="A111" s="27" t="s">
        <v>38</v>
      </c>
      <c r="B111" s="10">
        <f>'FY24'!I111</f>
        <v>114050</v>
      </c>
      <c r="C111" s="5">
        <f>'FY25'!I111</f>
        <v>117471.5</v>
      </c>
      <c r="D111" s="10">
        <f>'FY26'!I111</f>
        <v>87500</v>
      </c>
      <c r="E111" s="10">
        <f>'FY27'!I111</f>
        <v>88812.499999999985</v>
      </c>
      <c r="F111" s="10">
        <f>'FY28'!I111</f>
        <v>90144.687499999971</v>
      </c>
      <c r="G111" s="10">
        <f>'FY29'!I111</f>
        <v>91496.857812499962</v>
      </c>
      <c r="H111" s="10">
        <f>'FY30'!I111</f>
        <v>92869.310679687449</v>
      </c>
    </row>
    <row r="112" spans="1:8" x14ac:dyDescent="0.35">
      <c r="A112" s="26" t="s">
        <v>92</v>
      </c>
      <c r="B112" s="10">
        <f>'FY24'!I112</f>
        <v>0</v>
      </c>
      <c r="C112" s="5">
        <f>'FY25'!I112</f>
        <v>0</v>
      </c>
      <c r="D112" s="10">
        <f>'FY26'!I112</f>
        <v>87500</v>
      </c>
      <c r="E112" s="10">
        <f>'FY27'!I112</f>
        <v>88812.499999999985</v>
      </c>
      <c r="F112" s="10">
        <f>'FY28'!I112</f>
        <v>90144.687499999971</v>
      </c>
      <c r="G112" s="10">
        <f>'FY29'!I112</f>
        <v>91496.857812499962</v>
      </c>
      <c r="H112" s="10">
        <f>'FY30'!I112</f>
        <v>92869.310679687449</v>
      </c>
    </row>
    <row r="113" spans="1:8" x14ac:dyDescent="0.35">
      <c r="A113" s="26" t="s">
        <v>93</v>
      </c>
      <c r="B113" s="10">
        <f>'FY24'!I113</f>
        <v>73200</v>
      </c>
      <c r="C113" s="5">
        <f>'FY25'!I113</f>
        <v>75396</v>
      </c>
      <c r="D113" s="10">
        <f>'FY26'!I113</f>
        <v>0</v>
      </c>
      <c r="E113" s="10">
        <f>'FY27'!I113</f>
        <v>0</v>
      </c>
      <c r="F113" s="10">
        <f>'FY28'!I113</f>
        <v>0</v>
      </c>
      <c r="G113" s="10">
        <f>'FY29'!I113</f>
        <v>0</v>
      </c>
      <c r="H113" s="10">
        <f>'FY30'!I113</f>
        <v>0</v>
      </c>
    </row>
    <row r="114" spans="1:8" x14ac:dyDescent="0.35">
      <c r="A114" s="26" t="s">
        <v>94</v>
      </c>
      <c r="B114" s="10">
        <f>'FY24'!I114</f>
        <v>1320000</v>
      </c>
      <c r="C114" s="5">
        <f>'FY25'!I114</f>
        <v>1359600</v>
      </c>
      <c r="D114" s="10">
        <f>'FY26'!I114</f>
        <v>1317225</v>
      </c>
      <c r="E114" s="10">
        <f>'FY27'!I114</f>
        <v>1336650</v>
      </c>
      <c r="F114" s="10">
        <f>'FY28'!I114</f>
        <v>1356705</v>
      </c>
      <c r="G114" s="10">
        <f>'FY29'!I114</f>
        <v>1370250</v>
      </c>
      <c r="H114" s="10">
        <f>'FY30'!I114</f>
        <v>1388100</v>
      </c>
    </row>
    <row r="115" spans="1:8" x14ac:dyDescent="0.35">
      <c r="A115" s="26" t="s">
        <v>27</v>
      </c>
      <c r="B115" s="10">
        <f>'FY24'!I115</f>
        <v>180000</v>
      </c>
      <c r="C115" s="5">
        <f>'FY25'!I115</f>
        <v>185400</v>
      </c>
      <c r="D115" s="10">
        <f>'FY26'!I115</f>
        <v>188175</v>
      </c>
      <c r="E115" s="10">
        <f>'FY27'!I115</f>
        <v>190950</v>
      </c>
      <c r="F115" s="10">
        <f>'FY28'!I115</f>
        <v>193815</v>
      </c>
      <c r="G115" s="10">
        <f>'FY29'!I115</f>
        <v>195750</v>
      </c>
      <c r="H115" s="10">
        <f>'FY30'!I115</f>
        <v>198300</v>
      </c>
    </row>
    <row r="116" spans="1:8" x14ac:dyDescent="0.35">
      <c r="A116" s="26" t="s">
        <v>95</v>
      </c>
      <c r="B116" s="10">
        <f>'FY24'!I116</f>
        <v>117200</v>
      </c>
      <c r="C116" s="5">
        <f>'FY25'!I116</f>
        <v>120716</v>
      </c>
      <c r="D116" s="10">
        <f>'FY26'!I116</f>
        <v>122526.73999999999</v>
      </c>
      <c r="E116" s="10">
        <f>'FY27'!I116</f>
        <v>124364.64109999998</v>
      </c>
      <c r="F116" s="10">
        <f>'FY28'!I116</f>
        <v>126230.11071649997</v>
      </c>
      <c r="G116" s="10">
        <f>'FY29'!I116</f>
        <v>127492.41182366497</v>
      </c>
      <c r="H116" s="10">
        <f>'FY30'!I116</f>
        <v>129149.81317737261</v>
      </c>
    </row>
    <row r="117" spans="1:8" x14ac:dyDescent="0.35">
      <c r="A117" s="26" t="s">
        <v>96</v>
      </c>
      <c r="B117" s="10">
        <f>'FY24'!I117</f>
        <v>33120</v>
      </c>
      <c r="C117" s="5">
        <f>'FY25'!I117</f>
        <v>34113.599999999999</v>
      </c>
      <c r="D117" s="10">
        <f>'FY26'!I117</f>
        <v>34625.303999999996</v>
      </c>
      <c r="E117" s="10">
        <f>'FY27'!I117</f>
        <v>35144.68355999999</v>
      </c>
      <c r="F117" s="10">
        <f>'FY28'!I117</f>
        <v>35671.85381339999</v>
      </c>
      <c r="G117" s="10">
        <f>'FY29'!I117</f>
        <v>36028.572351533992</v>
      </c>
      <c r="H117" s="10">
        <f>'FY30'!I117</f>
        <v>36496.943792103928</v>
      </c>
    </row>
    <row r="118" spans="1:8" x14ac:dyDescent="0.35">
      <c r="A118" s="26" t="s">
        <v>292</v>
      </c>
      <c r="B118" s="10">
        <f>'FY24'!I118</f>
        <v>252000</v>
      </c>
      <c r="C118" s="5">
        <f>'FY25'!I118</f>
        <v>294840</v>
      </c>
      <c r="D118" s="10">
        <f>'FY26'!I118</f>
        <v>316800</v>
      </c>
      <c r="E118" s="10">
        <f>'FY27'!I118</f>
        <v>331200</v>
      </c>
      <c r="F118" s="10">
        <f>'FY28'!I118</f>
        <v>345600</v>
      </c>
      <c r="G118" s="10">
        <f>'FY29'!I118</f>
        <v>352800</v>
      </c>
      <c r="H118" s="10">
        <f>'FY30'!I118</f>
        <v>360000</v>
      </c>
    </row>
    <row r="119" spans="1:8" x14ac:dyDescent="0.35">
      <c r="A119" s="26" t="s">
        <v>97</v>
      </c>
      <c r="B119" s="10">
        <f>'FY24'!I119</f>
        <v>0</v>
      </c>
      <c r="C119" s="5">
        <f>'FY25'!I119</f>
        <v>0</v>
      </c>
      <c r="D119" s="10">
        <f>'FY26'!I119</f>
        <v>0</v>
      </c>
      <c r="E119" s="10">
        <f>'FY27'!I119</f>
        <v>0</v>
      </c>
      <c r="F119" s="10">
        <f>'FY28'!I119</f>
        <v>0</v>
      </c>
      <c r="G119" s="10">
        <f>'FY29'!I119</f>
        <v>0</v>
      </c>
      <c r="H119" s="10">
        <f>'FY30'!I119</f>
        <v>0</v>
      </c>
    </row>
    <row r="120" spans="1:8" x14ac:dyDescent="0.35">
      <c r="A120" s="26" t="s">
        <v>56</v>
      </c>
      <c r="B120" s="10">
        <f>'FY24'!I120</f>
        <v>0</v>
      </c>
      <c r="C120" s="5">
        <f>'FY25'!I120</f>
        <v>0</v>
      </c>
      <c r="D120" s="10">
        <f>'FY26'!I120</f>
        <v>0</v>
      </c>
      <c r="E120" s="10">
        <f>'FY27'!I120</f>
        <v>0</v>
      </c>
      <c r="F120" s="10">
        <f>'FY28'!I120</f>
        <v>0</v>
      </c>
      <c r="G120" s="10">
        <f>'FY29'!I120</f>
        <v>0</v>
      </c>
      <c r="H120" s="10">
        <f>'FY30'!I120</f>
        <v>0</v>
      </c>
    </row>
    <row r="121" spans="1:8" x14ac:dyDescent="0.35">
      <c r="A121" s="57" t="s">
        <v>98</v>
      </c>
      <c r="B121" s="58">
        <f>SUM(B107:B120)</f>
        <v>2505620</v>
      </c>
      <c r="C121" s="58">
        <f t="shared" ref="C121:G121" si="56">SUM(C107:C120)</f>
        <v>2616068.6</v>
      </c>
      <c r="D121" s="58">
        <f t="shared" si="56"/>
        <v>2374352.0439999998</v>
      </c>
      <c r="E121" s="58">
        <f t="shared" si="56"/>
        <v>2421034.3246599999</v>
      </c>
      <c r="F121" s="58">
        <f t="shared" si="56"/>
        <v>2468669.6495298999</v>
      </c>
      <c r="G121" s="58">
        <f t="shared" si="56"/>
        <v>2499905.7304216987</v>
      </c>
      <c r="H121" s="58">
        <f t="shared" ref="H121" si="57">SUM(H107:H120)</f>
        <v>2535426.0923484308</v>
      </c>
    </row>
    <row r="122" spans="1:8" x14ac:dyDescent="0.35">
      <c r="A122" s="59" t="s">
        <v>99</v>
      </c>
      <c r="B122" s="45"/>
      <c r="C122" s="44"/>
      <c r="D122" s="45"/>
      <c r="E122" s="45"/>
      <c r="F122" s="45"/>
      <c r="G122" s="45"/>
      <c r="H122" s="45"/>
    </row>
    <row r="123" spans="1:8" x14ac:dyDescent="0.35">
      <c r="A123" s="26" t="s">
        <v>42</v>
      </c>
      <c r="B123" s="10">
        <f>'FY24'!I123</f>
        <v>0</v>
      </c>
      <c r="C123" s="5">
        <f>'FY25'!I123</f>
        <v>0</v>
      </c>
      <c r="D123" s="10">
        <f>'FY26'!I123</f>
        <v>0</v>
      </c>
      <c r="E123" s="10">
        <f>'FY27'!I123</f>
        <v>0</v>
      </c>
      <c r="F123" s="10">
        <f>'FY28'!I123</f>
        <v>0</v>
      </c>
      <c r="G123" s="10">
        <f>'FY29'!I123</f>
        <v>0</v>
      </c>
      <c r="H123" s="10">
        <f>'FY30'!I123</f>
        <v>0</v>
      </c>
    </row>
    <row r="124" spans="1:8" x14ac:dyDescent="0.35">
      <c r="A124" s="26" t="s">
        <v>43</v>
      </c>
      <c r="B124" s="10">
        <f>'FY24'!I124</f>
        <v>57500</v>
      </c>
      <c r="C124" s="5">
        <f>'FY25'!I124</f>
        <v>59225</v>
      </c>
      <c r="D124" s="10">
        <f>'FY26'!I124</f>
        <v>60113.374999999993</v>
      </c>
      <c r="E124" s="10">
        <f>'FY27'!I124</f>
        <v>63000</v>
      </c>
      <c r="F124" s="10">
        <f>'FY28'!I124</f>
        <v>64000</v>
      </c>
      <c r="G124" s="10">
        <f>'FY29'!I124</f>
        <v>64640</v>
      </c>
      <c r="H124" s="10">
        <f>'FY30'!I124</f>
        <v>65480.319999999992</v>
      </c>
    </row>
    <row r="125" spans="1:8" x14ac:dyDescent="0.35">
      <c r="A125" s="26" t="s">
        <v>44</v>
      </c>
      <c r="B125" s="10">
        <f>'FY24'!I125</f>
        <v>0</v>
      </c>
      <c r="C125" s="5">
        <f>'FY25'!I125</f>
        <v>0</v>
      </c>
      <c r="D125" s="10">
        <f>'FY26'!I125</f>
        <v>0</v>
      </c>
      <c r="E125" s="10">
        <f>'FY27'!I125</f>
        <v>0</v>
      </c>
      <c r="F125" s="10">
        <f>'FY28'!I125</f>
        <v>0</v>
      </c>
      <c r="G125" s="10">
        <f>'FY29'!I125</f>
        <v>0</v>
      </c>
      <c r="H125" s="10">
        <f>'FY30'!I125</f>
        <v>0</v>
      </c>
    </row>
    <row r="126" spans="1:8" x14ac:dyDescent="0.35">
      <c r="A126" s="26" t="s">
        <v>100</v>
      </c>
      <c r="B126" s="10">
        <f>'FY24'!I126</f>
        <v>0</v>
      </c>
      <c r="C126" s="5">
        <f>'FY25'!I126</f>
        <v>0</v>
      </c>
      <c r="D126" s="10">
        <f>'FY26'!I126</f>
        <v>0</v>
      </c>
      <c r="E126" s="10">
        <f>'FY27'!I126</f>
        <v>0</v>
      </c>
      <c r="F126" s="10">
        <f>'FY28'!I126</f>
        <v>0</v>
      </c>
      <c r="G126" s="10">
        <f>'FY29'!I126</f>
        <v>0</v>
      </c>
      <c r="H126" s="10">
        <f>'FY30'!I126</f>
        <v>0</v>
      </c>
    </row>
    <row r="127" spans="1:8" x14ac:dyDescent="0.35">
      <c r="A127" s="26" t="s">
        <v>47</v>
      </c>
      <c r="B127" s="10">
        <f>'FY24'!I127</f>
        <v>0</v>
      </c>
      <c r="C127" s="5">
        <f>'FY25'!I127</f>
        <v>0</v>
      </c>
      <c r="D127" s="10">
        <f>'FY26'!I127</f>
        <v>0</v>
      </c>
      <c r="E127" s="10">
        <f>'FY27'!I127</f>
        <v>0</v>
      </c>
      <c r="F127" s="10">
        <f>'FY28'!I127</f>
        <v>0</v>
      </c>
      <c r="G127" s="10">
        <f>'FY29'!I127</f>
        <v>0</v>
      </c>
      <c r="H127" s="10">
        <f>'FY30'!I127</f>
        <v>0</v>
      </c>
    </row>
    <row r="128" spans="1:8" x14ac:dyDescent="0.35">
      <c r="A128" s="26" t="s">
        <v>276</v>
      </c>
      <c r="B128" s="10">
        <f>'FY24'!I128</f>
        <v>0</v>
      </c>
      <c r="C128" s="5">
        <f>'FY25'!I128</f>
        <v>0</v>
      </c>
      <c r="D128" s="10">
        <f>'FY26'!I128</f>
        <v>0</v>
      </c>
      <c r="E128" s="10">
        <f>'FY27'!I128</f>
        <v>0</v>
      </c>
      <c r="F128" s="10">
        <f>'FY28'!I128</f>
        <v>0</v>
      </c>
      <c r="G128" s="10">
        <f>'FY29'!I128</f>
        <v>0</v>
      </c>
      <c r="H128" s="10">
        <f>'FY30'!I128</f>
        <v>0</v>
      </c>
    </row>
    <row r="129" spans="1:8" x14ac:dyDescent="0.35">
      <c r="A129" s="26" t="s">
        <v>306</v>
      </c>
      <c r="B129" s="10">
        <f>'FY24'!I129</f>
        <v>0</v>
      </c>
      <c r="C129" s="5">
        <f>'FY25'!I129</f>
        <v>0</v>
      </c>
      <c r="D129" s="10">
        <f>'FY26'!I129</f>
        <v>0</v>
      </c>
      <c r="E129" s="10">
        <f>'FY27'!I129</f>
        <v>0</v>
      </c>
      <c r="F129" s="10">
        <f>'FY28'!I129</f>
        <v>0</v>
      </c>
      <c r="G129" s="10">
        <f>'FY29'!I129</f>
        <v>0</v>
      </c>
      <c r="H129" s="10">
        <f>'FY30'!I129</f>
        <v>0</v>
      </c>
    </row>
    <row r="130" spans="1:8" x14ac:dyDescent="0.35">
      <c r="A130" s="26" t="s">
        <v>55</v>
      </c>
      <c r="B130" s="10">
        <f>'FY24'!I130</f>
        <v>0</v>
      </c>
      <c r="C130" s="5">
        <f>'FY25'!I130</f>
        <v>0</v>
      </c>
      <c r="D130" s="10">
        <f>'FY26'!I130</f>
        <v>0</v>
      </c>
      <c r="E130" s="10">
        <f>'FY27'!I130</f>
        <v>0</v>
      </c>
      <c r="F130" s="10">
        <f>'FY28'!I130</f>
        <v>0</v>
      </c>
      <c r="G130" s="10">
        <f>'FY29'!I130</f>
        <v>0</v>
      </c>
      <c r="H130" s="10">
        <f>'FY30'!I130</f>
        <v>0</v>
      </c>
    </row>
    <row r="131" spans="1:8" x14ac:dyDescent="0.35">
      <c r="A131" s="60" t="s">
        <v>101</v>
      </c>
      <c r="B131" s="61">
        <f>SUM(B123:B130)</f>
        <v>57500</v>
      </c>
      <c r="C131" s="61">
        <f t="shared" ref="C131:G131" si="58">SUM(C123:C130)</f>
        <v>59225</v>
      </c>
      <c r="D131" s="61">
        <f t="shared" si="58"/>
        <v>60113.374999999993</v>
      </c>
      <c r="E131" s="61">
        <f t="shared" si="58"/>
        <v>63000</v>
      </c>
      <c r="F131" s="61">
        <f t="shared" si="58"/>
        <v>64000</v>
      </c>
      <c r="G131" s="61">
        <f t="shared" si="58"/>
        <v>64640</v>
      </c>
      <c r="H131" s="61">
        <f t="shared" ref="H131" si="59">SUM(H123:H130)</f>
        <v>65480.319999999992</v>
      </c>
    </row>
    <row r="132" spans="1:8" x14ac:dyDescent="0.35">
      <c r="A132" s="62" t="s">
        <v>102</v>
      </c>
      <c r="B132" s="63">
        <f t="shared" ref="B132:G132" si="60">B121+B131</f>
        <v>2563120</v>
      </c>
      <c r="C132" s="63">
        <f t="shared" si="60"/>
        <v>2675293.6</v>
      </c>
      <c r="D132" s="63">
        <f t="shared" si="60"/>
        <v>2434465.4189999998</v>
      </c>
      <c r="E132" s="63">
        <f t="shared" si="60"/>
        <v>2484034.3246599999</v>
      </c>
      <c r="F132" s="63">
        <f t="shared" si="60"/>
        <v>2532669.6495298999</v>
      </c>
      <c r="G132" s="63">
        <f t="shared" si="60"/>
        <v>2564545.7304216987</v>
      </c>
      <c r="H132" s="63">
        <f t="shared" ref="H132" si="61">H121+H131</f>
        <v>2600906.4123484306</v>
      </c>
    </row>
    <row r="133" spans="1:8" x14ac:dyDescent="0.35">
      <c r="A133" s="26" t="s">
        <v>258</v>
      </c>
      <c r="B133" s="10">
        <f>'FY24'!I133</f>
        <v>858645.20000000007</v>
      </c>
      <c r="C133" s="5">
        <f>'FY25'!I133</f>
        <v>896223.35600000015</v>
      </c>
      <c r="D133" s="10">
        <f>'FY26'!I133</f>
        <v>815545.91536500002</v>
      </c>
      <c r="E133" s="10">
        <f>'FY27'!I133</f>
        <v>832151.4987611</v>
      </c>
      <c r="F133" s="10">
        <f>'FY28'!I133</f>
        <v>848444.33259251644</v>
      </c>
      <c r="G133" s="10">
        <f>'FY29'!I133</f>
        <v>859122.81969126908</v>
      </c>
      <c r="H133" s="10">
        <f>'FY30'!I133</f>
        <v>871303.64813672437</v>
      </c>
    </row>
    <row r="134" spans="1:8" x14ac:dyDescent="0.35">
      <c r="A134" s="26" t="s">
        <v>103</v>
      </c>
      <c r="B134" s="10">
        <f>'FY24'!I134</f>
        <v>332037.89999999997</v>
      </c>
      <c r="C134" s="5">
        <f>'FY25'!I134</f>
        <v>358403.26199999999</v>
      </c>
      <c r="D134" s="10">
        <f>'FY26'!I134</f>
        <v>343024.74385500001</v>
      </c>
      <c r="E134" s="10">
        <f>'FY27'!I134</f>
        <v>359022.94460969995</v>
      </c>
      <c r="F134" s="10">
        <f>'FY28'!I134</f>
        <v>375819.13422884553</v>
      </c>
      <c r="G134" s="10">
        <f>'FY29'!I134</f>
        <v>390181.15786897647</v>
      </c>
      <c r="H134" s="10">
        <f>'FY30'!I134</f>
        <v>390584.98855567933</v>
      </c>
    </row>
    <row r="135" spans="1:8" x14ac:dyDescent="0.35">
      <c r="A135" s="26" t="s">
        <v>104</v>
      </c>
      <c r="B135" s="10">
        <f>'FY24'!I135</f>
        <v>58807.5</v>
      </c>
      <c r="C135" s="5">
        <f>'FY25'!I135</f>
        <v>43560</v>
      </c>
      <c r="D135" s="10">
        <f>'FY26'!I135</f>
        <v>38857.5</v>
      </c>
      <c r="E135" s="10">
        <f>'FY27'!I135</f>
        <v>38857.5</v>
      </c>
      <c r="F135" s="10">
        <f>'FY28'!I135</f>
        <v>38857.5</v>
      </c>
      <c r="G135" s="10">
        <f>'FY29'!I135</f>
        <v>38857.5</v>
      </c>
      <c r="H135" s="10">
        <f>'FY30'!I135</f>
        <v>38857.5</v>
      </c>
    </row>
    <row r="136" spans="1:8" x14ac:dyDescent="0.35">
      <c r="A136" s="26" t="s">
        <v>105</v>
      </c>
      <c r="B136" s="10">
        <f>'FY24'!I136</f>
        <v>7500</v>
      </c>
      <c r="C136" s="5">
        <f>'FY25'!I136</f>
        <v>7562.5</v>
      </c>
      <c r="D136" s="10">
        <f>'FY26'!I136</f>
        <v>7125</v>
      </c>
      <c r="E136" s="10">
        <f>'FY27'!I136</f>
        <v>7125</v>
      </c>
      <c r="F136" s="10">
        <f>'FY28'!I136</f>
        <v>7125</v>
      </c>
      <c r="G136" s="10">
        <f>'FY29'!I136</f>
        <v>7125</v>
      </c>
      <c r="H136" s="10">
        <f>'FY30'!I136</f>
        <v>7125</v>
      </c>
    </row>
    <row r="137" spans="1:8" x14ac:dyDescent="0.35">
      <c r="A137" s="26" t="s">
        <v>106</v>
      </c>
      <c r="B137" s="10">
        <f>'FY24'!I137</f>
        <v>50000</v>
      </c>
      <c r="C137" s="5">
        <f>'FY25'!I137</f>
        <v>51500</v>
      </c>
      <c r="D137" s="10">
        <f>'FY26'!I137</f>
        <v>52272.499999999993</v>
      </c>
      <c r="E137" s="10">
        <f>'FY27'!I137</f>
        <v>53056.587499999987</v>
      </c>
      <c r="F137" s="10">
        <f>'FY28'!I137</f>
        <v>53852.43631249998</v>
      </c>
      <c r="G137" s="10">
        <f>'FY29'!I137</f>
        <v>53852.43631249998</v>
      </c>
      <c r="H137" s="10">
        <f>'FY30'!I137</f>
        <v>53852.43631249998</v>
      </c>
    </row>
    <row r="138" spans="1:8" x14ac:dyDescent="0.35">
      <c r="A138" s="26" t="s">
        <v>107</v>
      </c>
      <c r="B138" s="10">
        <f>'FY24'!I138</f>
        <v>0</v>
      </c>
      <c r="C138" s="5">
        <f>'FY25'!I138</f>
        <v>0</v>
      </c>
      <c r="D138" s="10">
        <f>'FY26'!I138</f>
        <v>0</v>
      </c>
      <c r="E138" s="10">
        <f>'FY27'!I138</f>
        <v>0</v>
      </c>
      <c r="F138" s="10">
        <f>'FY28'!I138</f>
        <v>0</v>
      </c>
      <c r="G138" s="10">
        <f>'FY29'!I138</f>
        <v>0</v>
      </c>
      <c r="H138" s="10">
        <f>'FY30'!I138</f>
        <v>0</v>
      </c>
    </row>
    <row r="139" spans="1:8" x14ac:dyDescent="0.35">
      <c r="A139" s="26" t="s">
        <v>108</v>
      </c>
      <c r="B139" s="10">
        <f>'FY24'!I139</f>
        <v>10500</v>
      </c>
      <c r="C139" s="5">
        <f>'FY25'!I139</f>
        <v>12500</v>
      </c>
      <c r="D139" s="10">
        <f>'FY26'!I139</f>
        <v>12500</v>
      </c>
      <c r="E139" s="10">
        <f>'FY27'!I139</f>
        <v>12500</v>
      </c>
      <c r="F139" s="10">
        <f>'FY28'!I139</f>
        <v>13000</v>
      </c>
      <c r="G139" s="10">
        <f>'FY29'!I139</f>
        <v>13000</v>
      </c>
      <c r="H139" s="10">
        <f>'FY30'!I139</f>
        <v>13000</v>
      </c>
    </row>
    <row r="140" spans="1:8" x14ac:dyDescent="0.35">
      <c r="A140" s="26" t="s">
        <v>322</v>
      </c>
      <c r="B140" s="10">
        <f>'FY24'!I140</f>
        <v>50875</v>
      </c>
      <c r="C140" s="5">
        <f>'FY25'!I140</f>
        <v>52250</v>
      </c>
      <c r="D140" s="10">
        <f>'FY26'!I140</f>
        <v>50160</v>
      </c>
      <c r="E140" s="10">
        <f>'FY27'!I140</f>
        <v>50160</v>
      </c>
      <c r="F140" s="10">
        <f>'FY28'!I140</f>
        <v>50160</v>
      </c>
      <c r="G140" s="10">
        <f>'FY29'!I140</f>
        <v>50160</v>
      </c>
      <c r="H140" s="10">
        <f>'FY30'!I140</f>
        <v>50160</v>
      </c>
    </row>
    <row r="141" spans="1:8" x14ac:dyDescent="0.35">
      <c r="A141" s="64" t="s">
        <v>109</v>
      </c>
      <c r="B141" s="65">
        <f>SUM(B133:B140)</f>
        <v>1368365.6</v>
      </c>
      <c r="C141" s="65">
        <f t="shared" ref="C141:G141" si="62">SUM(C133:C140)</f>
        <v>1421999.1180000002</v>
      </c>
      <c r="D141" s="65">
        <f t="shared" si="62"/>
        <v>1319485.65922</v>
      </c>
      <c r="E141" s="65">
        <f t="shared" si="62"/>
        <v>1352873.5308707999</v>
      </c>
      <c r="F141" s="65">
        <f t="shared" si="62"/>
        <v>1387258.403133862</v>
      </c>
      <c r="G141" s="65">
        <f t="shared" si="62"/>
        <v>1412298.9138727454</v>
      </c>
      <c r="H141" s="65">
        <f t="shared" ref="H141" si="63">SUM(H133:H140)</f>
        <v>1424883.5730049037</v>
      </c>
    </row>
    <row r="142" spans="1:8" x14ac:dyDescent="0.35">
      <c r="A142" s="62" t="s">
        <v>110</v>
      </c>
      <c r="B142" s="63">
        <f t="shared" ref="B142:G142" si="64">B132+B141</f>
        <v>3931485.6</v>
      </c>
      <c r="C142" s="63">
        <f t="shared" si="64"/>
        <v>4097292.7180000003</v>
      </c>
      <c r="D142" s="63">
        <f t="shared" si="64"/>
        <v>3753951.0782199996</v>
      </c>
      <c r="E142" s="63">
        <f t="shared" si="64"/>
        <v>3836907.8555307998</v>
      </c>
      <c r="F142" s="63">
        <f t="shared" si="64"/>
        <v>3919928.0526637621</v>
      </c>
      <c r="G142" s="63">
        <f t="shared" si="64"/>
        <v>3976844.644294444</v>
      </c>
      <c r="H142" s="63">
        <f t="shared" ref="H142" si="65">H132+H141</f>
        <v>4025789.9853533343</v>
      </c>
    </row>
    <row r="143" spans="1:8" x14ac:dyDescent="0.35">
      <c r="A143" s="66" t="s">
        <v>256</v>
      </c>
      <c r="B143" s="15" t="str">
        <f t="shared" ref="B143:G143" si="66">B1</f>
        <v>FY24 (23-24)</v>
      </c>
      <c r="C143" s="15" t="str">
        <f t="shared" si="66"/>
        <v>FY25 (24-25)</v>
      </c>
      <c r="D143" s="15" t="str">
        <f t="shared" si="66"/>
        <v>FY26 (25-26)</v>
      </c>
      <c r="E143" s="15" t="str">
        <f t="shared" si="66"/>
        <v>FY27 (26-27)</v>
      </c>
      <c r="F143" s="15" t="str">
        <f t="shared" si="66"/>
        <v>FY28 (27-28)</v>
      </c>
      <c r="G143" s="15" t="str">
        <f t="shared" si="66"/>
        <v>FY29 (28-29)</v>
      </c>
      <c r="H143" s="15" t="str">
        <f t="shared" ref="H143" si="67">H1</f>
        <v>FY30 (29-30)</v>
      </c>
    </row>
    <row r="144" spans="1:8" x14ac:dyDescent="0.35">
      <c r="A144" s="67" t="s">
        <v>111</v>
      </c>
      <c r="B144" s="10">
        <f>'FY24'!I144</f>
        <v>102090</v>
      </c>
      <c r="C144" s="5">
        <f>'FY25'!I144</f>
        <v>107070</v>
      </c>
      <c r="D144" s="10">
        <f>'FY26'!I144</f>
        <v>102300</v>
      </c>
      <c r="E144" s="10">
        <f>'FY27'!I144</f>
        <v>106950</v>
      </c>
      <c r="F144" s="10">
        <f>'FY28'!I144</f>
        <v>111600</v>
      </c>
      <c r="G144" s="10">
        <f>'FY29'!I144</f>
        <v>116250</v>
      </c>
      <c r="H144" s="10">
        <f>'FY30'!I144</f>
        <v>118575</v>
      </c>
    </row>
    <row r="145" spans="1:8" x14ac:dyDescent="0.35">
      <c r="A145" s="68" t="s">
        <v>112</v>
      </c>
      <c r="B145" s="10">
        <f>'FY24'!I145</f>
        <v>0</v>
      </c>
      <c r="C145" s="5">
        <f>'FY25'!I145</f>
        <v>0</v>
      </c>
      <c r="D145" s="10">
        <f>'FY26'!I145</f>
        <v>0</v>
      </c>
      <c r="E145" s="10">
        <f>'FY27'!I145</f>
        <v>0</v>
      </c>
      <c r="F145" s="10">
        <f>'FY28'!I145</f>
        <v>0</v>
      </c>
      <c r="G145" s="10">
        <f>'FY29'!I145</f>
        <v>0</v>
      </c>
      <c r="H145" s="10">
        <f>'FY30'!I145</f>
        <v>0</v>
      </c>
    </row>
    <row r="146" spans="1:8" x14ac:dyDescent="0.35">
      <c r="A146" s="26" t="s">
        <v>113</v>
      </c>
      <c r="B146" s="10">
        <f>'FY24'!I146</f>
        <v>160000</v>
      </c>
      <c r="C146" s="5">
        <f>'FY25'!I146</f>
        <v>0</v>
      </c>
      <c r="D146" s="10">
        <f>'FY26'!I146</f>
        <v>0</v>
      </c>
      <c r="E146" s="10">
        <f>'FY27'!I146</f>
        <v>0</v>
      </c>
      <c r="F146" s="10">
        <f>'FY28'!I146</f>
        <v>0</v>
      </c>
      <c r="G146" s="10">
        <f>'FY29'!I146</f>
        <v>0</v>
      </c>
      <c r="H146" s="10">
        <f>'FY30'!I146</f>
        <v>0</v>
      </c>
    </row>
    <row r="147" spans="1:8" x14ac:dyDescent="0.35">
      <c r="A147" s="26" t="s">
        <v>114</v>
      </c>
      <c r="B147" s="10">
        <f>'FY24'!I147</f>
        <v>18440</v>
      </c>
      <c r="C147" s="5">
        <f>'FY25'!I147</f>
        <v>18440</v>
      </c>
      <c r="D147" s="10">
        <f>'FY26'!I147</f>
        <v>17450</v>
      </c>
      <c r="E147" s="10">
        <f>'FY27'!I147</f>
        <v>19775</v>
      </c>
      <c r="F147" s="10">
        <f>'FY28'!I147</f>
        <v>19775</v>
      </c>
      <c r="G147" s="10">
        <f>'FY29'!I147</f>
        <v>20240</v>
      </c>
      <c r="H147" s="10">
        <f>'FY30'!I147</f>
        <v>20705</v>
      </c>
    </row>
    <row r="148" spans="1:8" x14ac:dyDescent="0.35">
      <c r="A148" s="26" t="s">
        <v>115</v>
      </c>
      <c r="B148" s="10">
        <f>'FY24'!I148</f>
        <v>24900</v>
      </c>
      <c r="C148" s="5">
        <f>'FY25'!I148</f>
        <v>24900</v>
      </c>
      <c r="D148" s="10">
        <f>'FY26'!I148</f>
        <v>23250</v>
      </c>
      <c r="E148" s="10">
        <f>'FY27'!I148</f>
        <v>25575</v>
      </c>
      <c r="F148" s="10">
        <f>'FY28'!I148</f>
        <v>26040</v>
      </c>
      <c r="G148" s="10">
        <f>'FY29'!I148</f>
        <v>26505</v>
      </c>
      <c r="H148" s="10">
        <f>'FY30'!I148</f>
        <v>26970</v>
      </c>
    </row>
    <row r="149" spans="1:8" x14ac:dyDescent="0.35">
      <c r="A149" s="26" t="s">
        <v>116</v>
      </c>
      <c r="B149" s="10">
        <f>'FY24'!I149</f>
        <v>12450</v>
      </c>
      <c r="C149" s="5">
        <f>'FY25'!I149</f>
        <v>12450</v>
      </c>
      <c r="D149" s="10">
        <f>'FY26'!I149</f>
        <v>11625</v>
      </c>
      <c r="E149" s="10">
        <f>'FY27'!I149</f>
        <v>12555</v>
      </c>
      <c r="F149" s="10">
        <f>'FY28'!I149</f>
        <v>12555</v>
      </c>
      <c r="G149" s="10">
        <f>'FY29'!I149</f>
        <v>13020</v>
      </c>
      <c r="H149" s="10">
        <f>'FY30'!I149</f>
        <v>13485</v>
      </c>
    </row>
    <row r="150" spans="1:8" x14ac:dyDescent="0.35">
      <c r="A150" s="26" t="s">
        <v>117</v>
      </c>
      <c r="B150" s="10">
        <f>'FY24'!I150</f>
        <v>4980</v>
      </c>
      <c r="C150" s="5">
        <f>'FY25'!I150</f>
        <v>4980</v>
      </c>
      <c r="D150" s="10">
        <f>'FY26'!I150</f>
        <v>4650</v>
      </c>
      <c r="E150" s="10">
        <f>'FY27'!I150</f>
        <v>4650</v>
      </c>
      <c r="F150" s="10">
        <f>'FY28'!I150</f>
        <v>4650</v>
      </c>
      <c r="G150" s="10">
        <f>'FY29'!I150</f>
        <v>5115</v>
      </c>
      <c r="H150" s="10">
        <f>'FY30'!I150</f>
        <v>5580</v>
      </c>
    </row>
    <row r="151" spans="1:8" x14ac:dyDescent="0.35">
      <c r="A151" s="26" t="s">
        <v>118</v>
      </c>
      <c r="B151" s="10">
        <f>'FY24'!I151</f>
        <v>11400</v>
      </c>
      <c r="C151" s="5">
        <f>'FY25'!I151</f>
        <v>11400</v>
      </c>
      <c r="D151" s="10">
        <f>'FY26'!I151</f>
        <v>11400</v>
      </c>
      <c r="E151" s="10">
        <f>'FY27'!I151</f>
        <v>8960</v>
      </c>
      <c r="F151" s="10">
        <f>'FY28'!I151</f>
        <v>8960</v>
      </c>
      <c r="G151" s="10">
        <f>'FY29'!I151</f>
        <v>9128</v>
      </c>
      <c r="H151" s="10">
        <f>'FY30'!I151</f>
        <v>9240</v>
      </c>
    </row>
    <row r="152" spans="1:8" x14ac:dyDescent="0.35">
      <c r="A152" s="26" t="s">
        <v>119</v>
      </c>
      <c r="B152" s="10">
        <f>'FY24'!I152</f>
        <v>0</v>
      </c>
      <c r="C152" s="5">
        <f>'FY25'!I152</f>
        <v>0</v>
      </c>
      <c r="D152" s="10">
        <f>'FY26'!I152</f>
        <v>0</v>
      </c>
      <c r="E152" s="10">
        <f>'FY27'!I152</f>
        <v>0</v>
      </c>
      <c r="F152" s="10">
        <f>'FY28'!I152</f>
        <v>0</v>
      </c>
      <c r="G152" s="10">
        <f>'FY29'!I152</f>
        <v>0</v>
      </c>
      <c r="H152" s="10">
        <f>'FY30'!I152</f>
        <v>0</v>
      </c>
    </row>
    <row r="153" spans="1:8" x14ac:dyDescent="0.35">
      <c r="A153" s="69" t="s">
        <v>161</v>
      </c>
      <c r="B153" s="10">
        <f>'FY24'!I153</f>
        <v>20916</v>
      </c>
      <c r="C153" s="5">
        <f>'FY25'!I153</f>
        <v>22410</v>
      </c>
      <c r="D153" s="10">
        <f>'FY26'!I153</f>
        <v>20925</v>
      </c>
      <c r="E153" s="10">
        <f>'FY27'!I153</f>
        <v>20925</v>
      </c>
      <c r="F153" s="10">
        <f>'FY28'!I153</f>
        <v>21390</v>
      </c>
      <c r="G153" s="10">
        <f>'FY29'!I153</f>
        <v>21855</v>
      </c>
      <c r="H153" s="10">
        <f>'FY30'!I153</f>
        <v>22320</v>
      </c>
    </row>
    <row r="154" spans="1:8" x14ac:dyDescent="0.35">
      <c r="A154" s="62" t="s">
        <v>257</v>
      </c>
      <c r="B154" s="63">
        <f>SUM(B144:B153)</f>
        <v>355176</v>
      </c>
      <c r="C154" s="63">
        <f t="shared" ref="C154:G154" si="68">SUM(C144:C153)</f>
        <v>201650</v>
      </c>
      <c r="D154" s="63">
        <f t="shared" si="68"/>
        <v>191600</v>
      </c>
      <c r="E154" s="63">
        <f t="shared" si="68"/>
        <v>199390</v>
      </c>
      <c r="F154" s="63">
        <f t="shared" si="68"/>
        <v>204970</v>
      </c>
      <c r="G154" s="63">
        <f t="shared" si="68"/>
        <v>212113</v>
      </c>
      <c r="H154" s="63">
        <f t="shared" ref="H154" si="69">SUM(H144:H153)</f>
        <v>216875</v>
      </c>
    </row>
    <row r="155" spans="1:8" x14ac:dyDescent="0.35">
      <c r="A155" s="66" t="s">
        <v>120</v>
      </c>
      <c r="B155" s="15" t="str">
        <f t="shared" ref="B155:G155" si="70">B1</f>
        <v>FY24 (23-24)</v>
      </c>
      <c r="C155" s="15" t="str">
        <f t="shared" si="70"/>
        <v>FY25 (24-25)</v>
      </c>
      <c r="D155" s="15" t="str">
        <f t="shared" si="70"/>
        <v>FY26 (25-26)</v>
      </c>
      <c r="E155" s="15" t="str">
        <f t="shared" si="70"/>
        <v>FY27 (26-27)</v>
      </c>
      <c r="F155" s="15" t="str">
        <f t="shared" si="70"/>
        <v>FY28 (27-28)</v>
      </c>
      <c r="G155" s="15" t="str">
        <f t="shared" si="70"/>
        <v>FY29 (28-29)</v>
      </c>
      <c r="H155" s="15" t="str">
        <f t="shared" ref="H155" si="71">H1</f>
        <v>FY30 (29-30)</v>
      </c>
    </row>
    <row r="156" spans="1:8" x14ac:dyDescent="0.35">
      <c r="A156" s="26" t="s">
        <v>457</v>
      </c>
      <c r="B156" s="10">
        <f>'FY24'!I156</f>
        <v>15600</v>
      </c>
      <c r="C156" s="5">
        <f>'FY25'!I156</f>
        <v>16068</v>
      </c>
      <c r="D156" s="10">
        <f>'FY26'!I156</f>
        <v>16228.68</v>
      </c>
      <c r="E156" s="10">
        <f>'FY27'!I156</f>
        <v>16881.040800000002</v>
      </c>
      <c r="F156" s="10">
        <f>'FY28'!I156</f>
        <v>17046.5412</v>
      </c>
      <c r="G156" s="10">
        <f>'FY29'!I156</f>
        <v>17212.0416</v>
      </c>
      <c r="H156" s="10">
        <f>'FY30'!I156</f>
        <v>17377.542000000001</v>
      </c>
    </row>
    <row r="157" spans="1:8" x14ac:dyDescent="0.35">
      <c r="A157" s="26" t="s">
        <v>121</v>
      </c>
      <c r="B157" s="10">
        <f>'FY24'!I157</f>
        <v>67230</v>
      </c>
      <c r="C157" s="5">
        <f>'FY25'!I157</f>
        <v>57270</v>
      </c>
      <c r="D157" s="10">
        <f>'FY26'!I157</f>
        <v>53475</v>
      </c>
      <c r="E157" s="10">
        <f>'FY27'!I157</f>
        <v>55800</v>
      </c>
      <c r="F157" s="10">
        <f>'FY28'!I157</f>
        <v>55800</v>
      </c>
      <c r="G157" s="10">
        <f>'FY29'!I157</f>
        <v>58125</v>
      </c>
      <c r="H157" s="10">
        <f>'FY30'!I157</f>
        <v>58125</v>
      </c>
    </row>
    <row r="158" spans="1:8" x14ac:dyDescent="0.35">
      <c r="A158" s="26" t="s">
        <v>285</v>
      </c>
      <c r="B158" s="10">
        <f>'FY24'!I158</f>
        <v>0</v>
      </c>
      <c r="C158" s="5">
        <f>'FY25'!I158</f>
        <v>0</v>
      </c>
      <c r="D158" s="10">
        <f>'FY26'!I158</f>
        <v>0</v>
      </c>
      <c r="E158" s="10">
        <f>'FY27'!I158</f>
        <v>0</v>
      </c>
      <c r="F158" s="10">
        <f>'FY28'!I158</f>
        <v>0</v>
      </c>
      <c r="G158" s="10">
        <f>'FY29'!I158</f>
        <v>0</v>
      </c>
      <c r="H158" s="10">
        <f>'FY30'!I158</f>
        <v>0</v>
      </c>
    </row>
    <row r="159" spans="1:8" x14ac:dyDescent="0.35">
      <c r="A159" s="26" t="s">
        <v>285</v>
      </c>
      <c r="B159" s="10">
        <f>'FY24'!I159</f>
        <v>0</v>
      </c>
      <c r="C159" s="5">
        <f>'FY25'!I159</f>
        <v>0</v>
      </c>
      <c r="D159" s="10">
        <f>'FY26'!I159</f>
        <v>0</v>
      </c>
      <c r="E159" s="10">
        <f>'FY27'!I159</f>
        <v>0</v>
      </c>
      <c r="F159" s="10">
        <f>'FY28'!I159</f>
        <v>0</v>
      </c>
      <c r="G159" s="10">
        <f>'FY29'!I159</f>
        <v>0</v>
      </c>
      <c r="H159" s="10">
        <f>'FY30'!I159</f>
        <v>0</v>
      </c>
    </row>
    <row r="160" spans="1:8" x14ac:dyDescent="0.35">
      <c r="A160" s="26" t="s">
        <v>122</v>
      </c>
      <c r="B160" s="10">
        <f>'FY24'!I160</f>
        <v>246510</v>
      </c>
      <c r="C160" s="5">
        <f>'FY25'!I160</f>
        <v>246510</v>
      </c>
      <c r="D160" s="10">
        <f>'FY26'!I160</f>
        <v>230175</v>
      </c>
      <c r="E160" s="10">
        <f>'FY27'!I160</f>
        <v>230175</v>
      </c>
      <c r="F160" s="10">
        <f>'FY28'!I160</f>
        <v>230175</v>
      </c>
      <c r="G160" s="10">
        <f>'FY29'!I160</f>
        <v>230175</v>
      </c>
      <c r="H160" s="10">
        <f>'FY30'!I160</f>
        <v>230175</v>
      </c>
    </row>
    <row r="161" spans="1:8" x14ac:dyDescent="0.35">
      <c r="A161" s="26" t="s">
        <v>123</v>
      </c>
      <c r="B161" s="10">
        <f>'FY24'!I161</f>
        <v>15405</v>
      </c>
      <c r="C161" s="5">
        <f>'FY25'!I161</f>
        <v>19530</v>
      </c>
      <c r="D161" s="10">
        <f>'FY26'!I161</f>
        <v>18655</v>
      </c>
      <c r="E161" s="10">
        <f>'FY27'!I161</f>
        <v>18655</v>
      </c>
      <c r="F161" s="10">
        <f>'FY28'!I161</f>
        <v>18655</v>
      </c>
      <c r="G161" s="10">
        <f>'FY29'!I161</f>
        <v>18910</v>
      </c>
      <c r="H161" s="10">
        <f>'FY30'!I161</f>
        <v>18910</v>
      </c>
    </row>
    <row r="162" spans="1:8" x14ac:dyDescent="0.35">
      <c r="A162" s="26" t="s">
        <v>124</v>
      </c>
      <c r="B162" s="10">
        <f>'FY24'!I162</f>
        <v>60000</v>
      </c>
      <c r="C162" s="5">
        <f>'FY25'!I162</f>
        <v>65000</v>
      </c>
      <c r="D162" s="10">
        <f>'FY26'!I162</f>
        <v>67500</v>
      </c>
      <c r="E162" s="10">
        <f>'FY27'!I162</f>
        <v>30000</v>
      </c>
      <c r="F162" s="10">
        <f>'FY28'!I162</f>
        <v>31500</v>
      </c>
      <c r="G162" s="10">
        <f>'FY29'!I162</f>
        <v>32500</v>
      </c>
      <c r="H162" s="10">
        <f>'FY30'!I162</f>
        <v>33500</v>
      </c>
    </row>
    <row r="163" spans="1:8" x14ac:dyDescent="0.35">
      <c r="A163" s="26" t="s">
        <v>125</v>
      </c>
      <c r="B163" s="10">
        <f>'FY24'!I163</f>
        <v>6500</v>
      </c>
      <c r="C163" s="5">
        <f>'FY25'!I163</f>
        <v>6500</v>
      </c>
      <c r="D163" s="10">
        <f>'FY26'!I163</f>
        <v>6500</v>
      </c>
      <c r="E163" s="10">
        <f>'FY27'!I163</f>
        <v>6500</v>
      </c>
      <c r="F163" s="10">
        <f>'FY28'!I163</f>
        <v>6500</v>
      </c>
      <c r="G163" s="10">
        <f>'FY29'!I163</f>
        <v>7000</v>
      </c>
      <c r="H163" s="10">
        <f>'FY30'!I163</f>
        <v>7500</v>
      </c>
    </row>
    <row r="164" spans="1:8" x14ac:dyDescent="0.35">
      <c r="A164" s="26" t="s">
        <v>126</v>
      </c>
      <c r="B164" s="10">
        <f>'FY24'!I164</f>
        <v>24624</v>
      </c>
      <c r="C164" s="5">
        <f>'FY25'!I164</f>
        <v>25620</v>
      </c>
      <c r="D164" s="10">
        <f>'FY26'!I164</f>
        <v>23970</v>
      </c>
      <c r="E164" s="10">
        <f>'FY27'!I164</f>
        <v>23970</v>
      </c>
      <c r="F164" s="10">
        <f>'FY28'!I164</f>
        <v>23970</v>
      </c>
      <c r="G164" s="10">
        <f>'FY29'!I164</f>
        <v>23970</v>
      </c>
      <c r="H164" s="10">
        <f>'FY30'!I164</f>
        <v>23970</v>
      </c>
    </row>
    <row r="165" spans="1:8" x14ac:dyDescent="0.35">
      <c r="A165" s="26" t="s">
        <v>127</v>
      </c>
      <c r="B165" s="10">
        <f>'FY24'!I165</f>
        <v>18000</v>
      </c>
      <c r="C165" s="5">
        <f>'FY25'!I165</f>
        <v>18000</v>
      </c>
      <c r="D165" s="10">
        <f>'FY26'!I165</f>
        <v>18000</v>
      </c>
      <c r="E165" s="10">
        <f>'FY27'!I165</f>
        <v>18000</v>
      </c>
      <c r="F165" s="10">
        <f>'FY28'!I165</f>
        <v>18000</v>
      </c>
      <c r="G165" s="10">
        <f>'FY29'!I165</f>
        <v>18000</v>
      </c>
      <c r="H165" s="10">
        <f>'FY30'!I165</f>
        <v>18000</v>
      </c>
    </row>
    <row r="166" spans="1:8" x14ac:dyDescent="0.35">
      <c r="A166" s="26" t="s">
        <v>128</v>
      </c>
      <c r="B166" s="10">
        <f>'FY24'!I166</f>
        <v>55813.350000000006</v>
      </c>
      <c r="C166" s="5">
        <f>'FY25'!I166</f>
        <v>58602.15</v>
      </c>
      <c r="D166" s="10">
        <f>'FY26'!I166</f>
        <v>55538.4375</v>
      </c>
      <c r="E166" s="10">
        <f>'FY27'!I166</f>
        <v>56352.1875</v>
      </c>
      <c r="F166" s="10">
        <f>'FY28'!I166</f>
        <v>57195</v>
      </c>
      <c r="G166" s="10">
        <f>'FY29'!I166</f>
        <v>58049.4375</v>
      </c>
      <c r="H166" s="10">
        <f>'FY30'!I166</f>
        <v>58915.5</v>
      </c>
    </row>
    <row r="167" spans="1:8" x14ac:dyDescent="0.35">
      <c r="A167" s="26" t="s">
        <v>129</v>
      </c>
      <c r="B167" s="10">
        <f>'FY24'!I167</f>
        <v>22325.34</v>
      </c>
      <c r="C167" s="5">
        <f>'FY25'!I167</f>
        <v>23440.86</v>
      </c>
      <c r="D167" s="10">
        <f>'FY26'!I167</f>
        <v>22215.375</v>
      </c>
      <c r="E167" s="10">
        <f>'FY27'!I167</f>
        <v>22540.875</v>
      </c>
      <c r="F167" s="10">
        <f>'FY28'!I167</f>
        <v>22878</v>
      </c>
      <c r="G167" s="10">
        <f>'FY29'!I167</f>
        <v>23219.775000000001</v>
      </c>
      <c r="H167" s="10">
        <f>'FY30'!I167</f>
        <v>23566.2</v>
      </c>
    </row>
    <row r="168" spans="1:8" x14ac:dyDescent="0.35">
      <c r="A168" s="26" t="s">
        <v>131</v>
      </c>
      <c r="B168" s="10">
        <f>'FY24'!I168</f>
        <v>22325.34</v>
      </c>
      <c r="C168" s="5">
        <f>'FY25'!I168</f>
        <v>23440.86</v>
      </c>
      <c r="D168" s="10">
        <f>'FY26'!I168</f>
        <v>22215.375</v>
      </c>
      <c r="E168" s="10">
        <f>'FY27'!I168</f>
        <v>22540.875</v>
      </c>
      <c r="F168" s="10">
        <f>'FY28'!I168</f>
        <v>22878</v>
      </c>
      <c r="G168" s="10">
        <f>'FY29'!I168</f>
        <v>23219.775000000001</v>
      </c>
      <c r="H168" s="10">
        <f>'FY30'!I168</f>
        <v>23566.2</v>
      </c>
    </row>
    <row r="169" spans="1:8" x14ac:dyDescent="0.35">
      <c r="A169" s="69" t="s">
        <v>132</v>
      </c>
      <c r="B169" s="10">
        <f>'FY24'!I169</f>
        <v>0</v>
      </c>
      <c r="C169" s="5">
        <f>'FY25'!I169</f>
        <v>0</v>
      </c>
      <c r="D169" s="10">
        <f>'FY26'!I169</f>
        <v>0</v>
      </c>
      <c r="E169" s="10">
        <f>'FY27'!I169</f>
        <v>0</v>
      </c>
      <c r="F169" s="10">
        <f>'FY28'!I169</f>
        <v>0</v>
      </c>
      <c r="G169" s="10">
        <f>'FY29'!I169</f>
        <v>0</v>
      </c>
      <c r="H169" s="10">
        <f>'FY30'!I169</f>
        <v>0</v>
      </c>
    </row>
    <row r="170" spans="1:8" x14ac:dyDescent="0.35">
      <c r="A170" s="62" t="s">
        <v>133</v>
      </c>
      <c r="B170" s="63">
        <f>SUM(B156:B169)</f>
        <v>554333.02999999991</v>
      </c>
      <c r="C170" s="63">
        <f t="shared" ref="C170:G170" si="72">SUM(C156:C169)</f>
        <v>559981.87</v>
      </c>
      <c r="D170" s="63">
        <f t="shared" si="72"/>
        <v>534472.86749999993</v>
      </c>
      <c r="E170" s="63">
        <f t="shared" si="72"/>
        <v>501414.97830000002</v>
      </c>
      <c r="F170" s="63">
        <f t="shared" si="72"/>
        <v>504597.54119999998</v>
      </c>
      <c r="G170" s="63">
        <f t="shared" si="72"/>
        <v>510381.02910000004</v>
      </c>
      <c r="H170" s="63">
        <f t="shared" ref="H170" si="73">SUM(H156:H169)</f>
        <v>513605.44200000004</v>
      </c>
    </row>
    <row r="171" spans="1:8" x14ac:dyDescent="0.35">
      <c r="A171" s="66" t="s">
        <v>134</v>
      </c>
      <c r="B171" s="15" t="str">
        <f t="shared" ref="B171:G171" si="74">B1</f>
        <v>FY24 (23-24)</v>
      </c>
      <c r="C171" s="15" t="str">
        <f t="shared" si="74"/>
        <v>FY25 (24-25)</v>
      </c>
      <c r="D171" s="15" t="str">
        <f t="shared" si="74"/>
        <v>FY26 (25-26)</v>
      </c>
      <c r="E171" s="15" t="str">
        <f t="shared" si="74"/>
        <v>FY27 (26-27)</v>
      </c>
      <c r="F171" s="15" t="str">
        <f t="shared" si="74"/>
        <v>FY28 (27-28)</v>
      </c>
      <c r="G171" s="15" t="str">
        <f t="shared" si="74"/>
        <v>FY29 (28-29)</v>
      </c>
      <c r="H171" s="15" t="str">
        <f t="shared" ref="H171" si="75">H1</f>
        <v>FY30 (29-30)</v>
      </c>
    </row>
    <row r="172" spans="1:8" x14ac:dyDescent="0.35">
      <c r="A172" s="71" t="s">
        <v>135</v>
      </c>
      <c r="B172" s="10">
        <f>'FY24'!I172</f>
        <v>2400</v>
      </c>
      <c r="C172" s="5">
        <f>'FY25'!I172</f>
        <v>2472</v>
      </c>
      <c r="D172" s="10">
        <f>'FY26'!I172</f>
        <v>2496.7199999999998</v>
      </c>
      <c r="E172" s="10">
        <f>'FY27'!I172</f>
        <v>2521.44</v>
      </c>
      <c r="F172" s="10">
        <f>'FY28'!I172</f>
        <v>2546.16</v>
      </c>
      <c r="G172" s="10">
        <f>'FY29'!I172</f>
        <v>2570.88</v>
      </c>
      <c r="H172" s="10">
        <f>'FY30'!I172</f>
        <v>2620.3200000000002</v>
      </c>
    </row>
    <row r="173" spans="1:8" x14ac:dyDescent="0.35">
      <c r="A173" s="26" t="s">
        <v>136</v>
      </c>
      <c r="B173" s="10">
        <f>'FY24'!I173</f>
        <v>16800</v>
      </c>
      <c r="C173" s="5">
        <f>'FY25'!I173</f>
        <v>17304</v>
      </c>
      <c r="D173" s="10">
        <f>'FY26'!I173</f>
        <v>17477.04</v>
      </c>
      <c r="E173" s="10">
        <f>'FY27'!I173</f>
        <v>17650.080000000002</v>
      </c>
      <c r="F173" s="10">
        <f>'FY28'!I173</f>
        <v>17823.12</v>
      </c>
      <c r="G173" s="10">
        <f>'FY29'!I173</f>
        <v>17996.16</v>
      </c>
      <c r="H173" s="10">
        <f>'FY30'!I173</f>
        <v>18342.240000000002</v>
      </c>
    </row>
    <row r="174" spans="1:8" x14ac:dyDescent="0.35">
      <c r="A174" s="26" t="s">
        <v>137</v>
      </c>
      <c r="B174" s="10">
        <f>'FY24'!I174</f>
        <v>0</v>
      </c>
      <c r="C174" s="5">
        <f>'FY25'!I174</f>
        <v>0</v>
      </c>
      <c r="D174" s="10">
        <f>'FY26'!I174</f>
        <v>0</v>
      </c>
      <c r="E174" s="10">
        <f>'FY27'!I174</f>
        <v>0</v>
      </c>
      <c r="F174" s="10">
        <f>'FY28'!I174</f>
        <v>0</v>
      </c>
      <c r="G174" s="10">
        <f>'FY29'!I174</f>
        <v>0</v>
      </c>
      <c r="H174" s="10">
        <f>'FY30'!I174</f>
        <v>0</v>
      </c>
    </row>
    <row r="175" spans="1:8" x14ac:dyDescent="0.35">
      <c r="A175" s="26" t="s">
        <v>138</v>
      </c>
      <c r="B175" s="10">
        <f>'FY24'!I175</f>
        <v>1000</v>
      </c>
      <c r="C175" s="5">
        <f>'FY25'!I175</f>
        <v>1100</v>
      </c>
      <c r="D175" s="10">
        <f>'FY26'!I175</f>
        <v>1200</v>
      </c>
      <c r="E175" s="10">
        <f>'FY27'!I175</f>
        <v>1300</v>
      </c>
      <c r="F175" s="10">
        <f>'FY28'!I175</f>
        <v>1400</v>
      </c>
      <c r="G175" s="10">
        <f>'FY29'!I175</f>
        <v>1500</v>
      </c>
      <c r="H175" s="10">
        <f>'FY30'!I175</f>
        <v>1600</v>
      </c>
    </row>
    <row r="176" spans="1:8" x14ac:dyDescent="0.35">
      <c r="A176" s="26" t="s">
        <v>139</v>
      </c>
      <c r="B176" s="10">
        <f>'FY24'!I176</f>
        <v>5500</v>
      </c>
      <c r="C176" s="5">
        <f>'FY25'!I176</f>
        <v>5665</v>
      </c>
      <c r="D176" s="10">
        <f>'FY26'!I176</f>
        <v>5778.3</v>
      </c>
      <c r="E176" s="10">
        <f>'FY27'!I176</f>
        <v>5834.95</v>
      </c>
      <c r="F176" s="10">
        <f>'FY28'!I176</f>
        <v>5891.6</v>
      </c>
      <c r="G176" s="10">
        <f>'FY29'!I176</f>
        <v>5948.25</v>
      </c>
      <c r="H176" s="10">
        <f>'FY30'!I176</f>
        <v>6004.9000000000005</v>
      </c>
    </row>
    <row r="177" spans="1:8" x14ac:dyDescent="0.35">
      <c r="A177" s="26" t="s">
        <v>140</v>
      </c>
      <c r="B177" s="10">
        <f>'FY24'!I177</f>
        <v>30000</v>
      </c>
      <c r="C177" s="5">
        <f>'FY25'!I177</f>
        <v>30900</v>
      </c>
      <c r="D177" s="10">
        <f>'FY26'!I177</f>
        <v>31518</v>
      </c>
      <c r="E177" s="10">
        <f>'FY27'!I177</f>
        <v>31827</v>
      </c>
      <c r="F177" s="10">
        <f>'FY28'!I177</f>
        <v>32136</v>
      </c>
      <c r="G177" s="10">
        <f>'FY29'!I177</f>
        <v>32445</v>
      </c>
      <c r="H177" s="10">
        <f>'FY30'!I177</f>
        <v>32754</v>
      </c>
    </row>
    <row r="178" spans="1:8" x14ac:dyDescent="0.35">
      <c r="A178" s="26" t="s">
        <v>141</v>
      </c>
      <c r="B178" s="10">
        <f>'FY24'!I178</f>
        <v>9745</v>
      </c>
      <c r="C178" s="5">
        <f>'FY25'!I178</f>
        <v>5604.9000000000005</v>
      </c>
      <c r="D178" s="10">
        <f>'FY26'!I178</f>
        <v>5631.165</v>
      </c>
      <c r="E178" s="10">
        <f>'FY27'!I178</f>
        <v>5686.3725000000004</v>
      </c>
      <c r="F178" s="10">
        <f>'FY28'!I178</f>
        <v>5741.58</v>
      </c>
      <c r="G178" s="10">
        <f>'FY29'!I178</f>
        <v>5796.7875000000004</v>
      </c>
      <c r="H178" s="10">
        <f>'FY30'!I178</f>
        <v>5851.9949999999999</v>
      </c>
    </row>
    <row r="179" spans="1:8" x14ac:dyDescent="0.35">
      <c r="A179" s="26" t="s">
        <v>142</v>
      </c>
      <c r="B179" s="10">
        <f>'FY24'!I179</f>
        <v>0</v>
      </c>
      <c r="C179" s="5">
        <f>'FY25'!I179</f>
        <v>0</v>
      </c>
      <c r="D179" s="10">
        <f>'FY26'!I179</f>
        <v>0</v>
      </c>
      <c r="E179" s="10">
        <f>'FY27'!I179</f>
        <v>0</v>
      </c>
      <c r="F179" s="10">
        <f>'FY28'!I179</f>
        <v>0</v>
      </c>
      <c r="G179" s="10">
        <f>'FY29'!I179</f>
        <v>0</v>
      </c>
      <c r="H179" s="10">
        <f>'FY30'!I179</f>
        <v>0</v>
      </c>
    </row>
    <row r="180" spans="1:8" x14ac:dyDescent="0.35">
      <c r="A180" s="26" t="s">
        <v>144</v>
      </c>
      <c r="B180" s="10">
        <f>'FY24'!I180</f>
        <v>0</v>
      </c>
      <c r="C180" s="5">
        <f>'FY25'!I180</f>
        <v>0</v>
      </c>
      <c r="D180" s="10">
        <f>'FY26'!I180</f>
        <v>0</v>
      </c>
      <c r="E180" s="10">
        <f>'FY27'!I180</f>
        <v>0</v>
      </c>
      <c r="F180" s="10">
        <f>'FY28'!I180</f>
        <v>0</v>
      </c>
      <c r="G180" s="10">
        <f>'FY29'!I180</f>
        <v>0</v>
      </c>
      <c r="H180" s="10">
        <f>'FY30'!I180</f>
        <v>0</v>
      </c>
    </row>
    <row r="181" spans="1:8" x14ac:dyDescent="0.35">
      <c r="A181" s="26" t="s">
        <v>145</v>
      </c>
      <c r="B181" s="10">
        <f>'FY24'!I181</f>
        <v>26750</v>
      </c>
      <c r="C181" s="5">
        <f>'FY25'!I181</f>
        <v>29425.000000000004</v>
      </c>
      <c r="D181" s="10">
        <f>'FY26'!I181</f>
        <v>32367.500000000007</v>
      </c>
      <c r="E181" s="10">
        <f>'FY27'!I181</f>
        <v>35604.250000000007</v>
      </c>
      <c r="F181" s="10">
        <f>'FY28'!I181</f>
        <v>39164.67500000001</v>
      </c>
      <c r="G181" s="10">
        <f>'FY29'!I181</f>
        <v>43081.142500000016</v>
      </c>
      <c r="H181" s="10">
        <f>'FY30'!I181</f>
        <v>47389.256750000022</v>
      </c>
    </row>
    <row r="182" spans="1:8" x14ac:dyDescent="0.35">
      <c r="A182" s="26" t="s">
        <v>146</v>
      </c>
      <c r="B182" s="10">
        <f>'FY24'!I182</f>
        <v>165385.79999999999</v>
      </c>
      <c r="C182" s="5">
        <f>'FY25'!I182</f>
        <v>183089.69999999998</v>
      </c>
      <c r="D182" s="10">
        <f>'FY26'!I182</f>
        <v>174933</v>
      </c>
      <c r="E182" s="10">
        <f>'FY27'!I182</f>
        <v>178908.75</v>
      </c>
      <c r="F182" s="10">
        <f>'FY28'!I182</f>
        <v>182884.5</v>
      </c>
      <c r="G182" s="10">
        <f>'FY29'!I182</f>
        <v>186860.25</v>
      </c>
      <c r="H182" s="10">
        <f>'FY30'!I182</f>
        <v>190836</v>
      </c>
    </row>
    <row r="183" spans="1:8" x14ac:dyDescent="0.35">
      <c r="A183" s="26" t="s">
        <v>147</v>
      </c>
      <c r="B183" s="10">
        <f>'FY24'!I183</f>
        <v>266230.8</v>
      </c>
      <c r="C183" s="5">
        <f>'FY25'!I183</f>
        <v>285279.3</v>
      </c>
      <c r="D183" s="10">
        <f>'FY26'!I183</f>
        <v>270351</v>
      </c>
      <c r="E183" s="10">
        <f>'FY27'!I183</f>
        <v>274326.75</v>
      </c>
      <c r="F183" s="10">
        <f>'FY28'!I183</f>
        <v>278302.5</v>
      </c>
      <c r="G183" s="10">
        <f>'FY29'!I183</f>
        <v>282278.25</v>
      </c>
      <c r="H183" s="10">
        <f>'FY30'!I183</f>
        <v>286254</v>
      </c>
    </row>
    <row r="184" spans="1:8" x14ac:dyDescent="0.35">
      <c r="A184" s="26" t="s">
        <v>148</v>
      </c>
      <c r="B184" s="10">
        <f>'FY24'!I184</f>
        <v>6500</v>
      </c>
      <c r="C184" s="5">
        <f>'FY25'!I184</f>
        <v>6000</v>
      </c>
      <c r="D184" s="10">
        <f>'FY26'!I184</f>
        <v>6000</v>
      </c>
      <c r="E184" s="10">
        <f>'FY27'!I184</f>
        <v>6100</v>
      </c>
      <c r="F184" s="10">
        <f>'FY28'!I184</f>
        <v>6100</v>
      </c>
      <c r="G184" s="10">
        <f>'FY29'!I184</f>
        <v>6200</v>
      </c>
      <c r="H184" s="10">
        <f>'FY30'!I184</f>
        <v>6200</v>
      </c>
    </row>
    <row r="185" spans="1:8" x14ac:dyDescent="0.35">
      <c r="A185" s="26" t="s">
        <v>149</v>
      </c>
      <c r="B185" s="10">
        <f>'FY24'!I185</f>
        <v>1500</v>
      </c>
      <c r="C185" s="5">
        <f>'FY25'!I185</f>
        <v>1550</v>
      </c>
      <c r="D185" s="10">
        <f>'FY26'!I185</f>
        <v>1600</v>
      </c>
      <c r="E185" s="10">
        <f>'FY27'!I185</f>
        <v>1700</v>
      </c>
      <c r="F185" s="10">
        <f>'FY28'!I185</f>
        <v>1800</v>
      </c>
      <c r="G185" s="10">
        <f>'FY29'!I185</f>
        <v>1850</v>
      </c>
      <c r="H185" s="10">
        <f>'FY30'!I185</f>
        <v>1900</v>
      </c>
    </row>
    <row r="186" spans="1:8" x14ac:dyDescent="0.35">
      <c r="A186" s="26" t="s">
        <v>150</v>
      </c>
      <c r="B186" s="10">
        <f>'FY24'!I186</f>
        <v>1500</v>
      </c>
      <c r="C186" s="5">
        <f>'FY25'!I186</f>
        <v>1550</v>
      </c>
      <c r="D186" s="10">
        <f>'FY26'!I186</f>
        <v>1600</v>
      </c>
      <c r="E186" s="10">
        <f>'FY27'!I186</f>
        <v>1700</v>
      </c>
      <c r="F186" s="10">
        <f>'FY28'!I186</f>
        <v>1800</v>
      </c>
      <c r="G186" s="10">
        <f>'FY29'!I186</f>
        <v>1850</v>
      </c>
      <c r="H186" s="10">
        <f>'FY30'!I186</f>
        <v>1900</v>
      </c>
    </row>
    <row r="187" spans="1:8" x14ac:dyDescent="0.35">
      <c r="A187" s="26" t="s">
        <v>151</v>
      </c>
      <c r="B187" s="10">
        <f>'FY24'!I187</f>
        <v>5040</v>
      </c>
      <c r="C187" s="5">
        <f>'FY25'!I187</f>
        <v>5540</v>
      </c>
      <c r="D187" s="10">
        <f>'FY26'!I187</f>
        <v>5428.75</v>
      </c>
      <c r="E187" s="10">
        <f>'FY27'!I187</f>
        <v>5788.5</v>
      </c>
      <c r="F187" s="10">
        <f>'FY28'!I187</f>
        <v>5954</v>
      </c>
      <c r="G187" s="10">
        <f>'FY29'!I187</f>
        <v>6116.25</v>
      </c>
      <c r="H187" s="10">
        <f>'FY30'!I187</f>
        <v>6280.5</v>
      </c>
    </row>
    <row r="188" spans="1:8" x14ac:dyDescent="0.35">
      <c r="A188" s="26" t="s">
        <v>152</v>
      </c>
      <c r="B188" s="10">
        <f>'FY24'!I188</f>
        <v>0</v>
      </c>
      <c r="C188" s="5">
        <f>'FY25'!I188</f>
        <v>0</v>
      </c>
      <c r="D188" s="10">
        <f>'FY26'!I188</f>
        <v>0</v>
      </c>
      <c r="E188" s="10">
        <f>'FY27'!I188</f>
        <v>0</v>
      </c>
      <c r="F188" s="10">
        <f>'FY28'!I188</f>
        <v>0</v>
      </c>
      <c r="G188" s="10">
        <f>'FY29'!I188</f>
        <v>0</v>
      </c>
      <c r="H188" s="10">
        <f>'FY30'!I188</f>
        <v>0</v>
      </c>
    </row>
    <row r="189" spans="1:8" x14ac:dyDescent="0.35">
      <c r="A189" s="26" t="s">
        <v>181</v>
      </c>
      <c r="B189" s="10">
        <f>'FY24'!I189</f>
        <v>0</v>
      </c>
      <c r="C189" s="5">
        <f>'FY25'!I189</f>
        <v>0</v>
      </c>
      <c r="D189" s="10">
        <f>'FY26'!I189</f>
        <v>0</v>
      </c>
      <c r="E189" s="10">
        <f>'FY27'!I189</f>
        <v>0</v>
      </c>
      <c r="F189" s="10">
        <f>'FY28'!I189</f>
        <v>0</v>
      </c>
      <c r="G189" s="10">
        <f>'FY29'!I189</f>
        <v>0</v>
      </c>
      <c r="H189" s="10">
        <f>'FY30'!I189</f>
        <v>0</v>
      </c>
    </row>
    <row r="190" spans="1:8" x14ac:dyDescent="0.35">
      <c r="A190" s="26" t="s">
        <v>153</v>
      </c>
      <c r="B190" s="10">
        <f>'FY24'!I190</f>
        <v>0</v>
      </c>
      <c r="C190" s="5">
        <f>'FY25'!I190</f>
        <v>0</v>
      </c>
      <c r="D190" s="10">
        <f>'FY26'!I190</f>
        <v>0</v>
      </c>
      <c r="E190" s="10">
        <f>'FY27'!I190</f>
        <v>0</v>
      </c>
      <c r="F190" s="10">
        <f>'FY28'!I190</f>
        <v>0</v>
      </c>
      <c r="G190" s="10">
        <f>'FY29'!I190</f>
        <v>0</v>
      </c>
      <c r="H190" s="10">
        <f>'FY30'!I190</f>
        <v>0</v>
      </c>
    </row>
    <row r="191" spans="1:8" x14ac:dyDescent="0.35">
      <c r="A191" s="26" t="s">
        <v>253</v>
      </c>
      <c r="B191" s="10">
        <f>'FY24'!I191</f>
        <v>0</v>
      </c>
      <c r="C191" s="5">
        <f>'FY25'!I191</f>
        <v>0</v>
      </c>
      <c r="D191" s="10">
        <f>'FY26'!I191</f>
        <v>0</v>
      </c>
      <c r="E191" s="10">
        <f>'FY27'!I191</f>
        <v>0</v>
      </c>
      <c r="F191" s="10">
        <f>'FY28'!I191</f>
        <v>0</v>
      </c>
      <c r="G191" s="10">
        <f>'FY29'!I191</f>
        <v>0</v>
      </c>
      <c r="H191" s="10">
        <f>'FY30'!I191</f>
        <v>0</v>
      </c>
    </row>
    <row r="192" spans="1:8" x14ac:dyDescent="0.35">
      <c r="A192" s="26" t="s">
        <v>254</v>
      </c>
      <c r="B192" s="10">
        <f>'FY24'!I192</f>
        <v>27060</v>
      </c>
      <c r="C192" s="5">
        <f>'FY25'!I192</f>
        <v>0</v>
      </c>
      <c r="D192" s="10">
        <f>'FY26'!I192</f>
        <v>0</v>
      </c>
      <c r="E192" s="10">
        <f>'FY27'!I192</f>
        <v>0</v>
      </c>
      <c r="F192" s="10">
        <f>'FY28'!I192</f>
        <v>0</v>
      </c>
      <c r="G192" s="10">
        <f>'FY29'!I192</f>
        <v>0</v>
      </c>
      <c r="H192" s="10">
        <f>'FY30'!I192</f>
        <v>0</v>
      </c>
    </row>
    <row r="193" spans="1:14" x14ac:dyDescent="0.35">
      <c r="A193" s="26" t="s">
        <v>255</v>
      </c>
      <c r="B193" s="10">
        <f>'FY24'!I193</f>
        <v>6665</v>
      </c>
      <c r="C193" s="5">
        <f>'FY25'!I193</f>
        <v>0</v>
      </c>
      <c r="D193" s="10">
        <f>'FY26'!I193</f>
        <v>0</v>
      </c>
      <c r="E193" s="10">
        <f>'FY27'!I193</f>
        <v>0</v>
      </c>
      <c r="F193" s="10">
        <f>'FY28'!I193</f>
        <v>0</v>
      </c>
      <c r="G193" s="10">
        <f>'FY29'!I193</f>
        <v>0</v>
      </c>
      <c r="H193" s="10">
        <f>'FY30'!I193</f>
        <v>0</v>
      </c>
    </row>
    <row r="194" spans="1:14" x14ac:dyDescent="0.35">
      <c r="A194" s="26" t="s">
        <v>275</v>
      </c>
      <c r="B194" s="10">
        <f>'FY24'!I194</f>
        <v>7500</v>
      </c>
      <c r="C194" s="5">
        <f>'FY25'!I194</f>
        <v>10500</v>
      </c>
      <c r="D194" s="10">
        <f>'FY26'!I194</f>
        <v>10500</v>
      </c>
      <c r="E194" s="10">
        <f>'FY27'!I194</f>
        <v>10500</v>
      </c>
      <c r="F194" s="10">
        <f>'FY28'!I194</f>
        <v>10500</v>
      </c>
      <c r="G194" s="10">
        <f>'FY29'!I194</f>
        <v>10500</v>
      </c>
      <c r="H194" s="10">
        <f>'FY30'!I194</f>
        <v>10500</v>
      </c>
    </row>
    <row r="195" spans="1:14" x14ac:dyDescent="0.35">
      <c r="A195" s="69" t="s">
        <v>458</v>
      </c>
      <c r="B195" s="10">
        <f>'FY24'!I195</f>
        <v>89301.36</v>
      </c>
      <c r="C195" s="5">
        <f>'FY25'!I195</f>
        <v>210967.74</v>
      </c>
      <c r="D195" s="10">
        <f>'FY26'!I195</f>
        <v>177723</v>
      </c>
      <c r="E195" s="10">
        <f>'FY27'!I195</f>
        <v>157786.12500000003</v>
      </c>
      <c r="F195" s="10">
        <f>'FY28'!I195</f>
        <v>160146.00000000003</v>
      </c>
      <c r="G195" s="10">
        <f>'FY29'!I195</f>
        <v>92879.1</v>
      </c>
      <c r="H195" s="10">
        <f>'FY30'!I195</f>
        <v>94264.8</v>
      </c>
      <c r="J195" s="153">
        <f>B195/B74</f>
        <v>0.02</v>
      </c>
      <c r="K195" s="153">
        <f>C195/C74</f>
        <v>4.4999999999999998E-2</v>
      </c>
      <c r="L195" s="153">
        <f>D195/D74</f>
        <v>0.04</v>
      </c>
      <c r="M195" s="153">
        <f>E195/E74</f>
        <v>3.5000000000000003E-2</v>
      </c>
      <c r="N195" s="153">
        <f>F195/F74</f>
        <v>3.5000000000000003E-2</v>
      </c>
    </row>
    <row r="196" spans="1:14" x14ac:dyDescent="0.35">
      <c r="A196" s="62" t="s">
        <v>182</v>
      </c>
      <c r="B196" s="63">
        <f>SUM(B172:B195)</f>
        <v>668877.96</v>
      </c>
      <c r="C196" s="63">
        <f t="shared" ref="C196:G196" si="76">SUM(C172:C195)</f>
        <v>796947.6399999999</v>
      </c>
      <c r="D196" s="63">
        <f t="shared" si="76"/>
        <v>744604.47499999998</v>
      </c>
      <c r="E196" s="63">
        <f t="shared" si="76"/>
        <v>737234.21750000003</v>
      </c>
      <c r="F196" s="63">
        <f t="shared" si="76"/>
        <v>752190.13500000001</v>
      </c>
      <c r="G196" s="63">
        <f t="shared" si="76"/>
        <v>697872.07</v>
      </c>
      <c r="H196" s="63">
        <f t="shared" ref="H196" si="77">SUM(H172:H195)</f>
        <v>712698.01175000006</v>
      </c>
    </row>
    <row r="197" spans="1:14" x14ac:dyDescent="0.35">
      <c r="A197" s="66" t="s">
        <v>154</v>
      </c>
      <c r="B197" s="15" t="str">
        <f t="shared" ref="B197:G197" si="78">B1</f>
        <v>FY24 (23-24)</v>
      </c>
      <c r="C197" s="15" t="str">
        <f t="shared" si="78"/>
        <v>FY25 (24-25)</v>
      </c>
      <c r="D197" s="15" t="str">
        <f t="shared" si="78"/>
        <v>FY26 (25-26)</v>
      </c>
      <c r="E197" s="15" t="str">
        <f t="shared" si="78"/>
        <v>FY27 (26-27)</v>
      </c>
      <c r="F197" s="15" t="str">
        <f t="shared" si="78"/>
        <v>FY28 (27-28)</v>
      </c>
      <c r="G197" s="15" t="str">
        <f t="shared" si="78"/>
        <v>FY29 (28-29)</v>
      </c>
      <c r="H197" s="15" t="str">
        <f t="shared" ref="H197" si="79">H1</f>
        <v>FY30 (29-30)</v>
      </c>
    </row>
    <row r="198" spans="1:14" x14ac:dyDescent="0.35">
      <c r="A198" s="71" t="s">
        <v>155</v>
      </c>
      <c r="B198" s="10">
        <f>'FY24'!I198</f>
        <v>30000</v>
      </c>
      <c r="C198" s="5">
        <f>'FY25'!I198</f>
        <v>31500</v>
      </c>
      <c r="D198" s="10">
        <f>'FY26'!I198</f>
        <v>32130</v>
      </c>
      <c r="E198" s="10">
        <f>'FY27'!I198</f>
        <v>32772.6</v>
      </c>
      <c r="F198" s="10">
        <f>'FY28'!I198</f>
        <v>33428.051999999996</v>
      </c>
      <c r="G198" s="10">
        <f>'FY29'!I198</f>
        <v>34096.613039999997</v>
      </c>
      <c r="H198" s="10">
        <f>'FY30'!I198</f>
        <v>34778.545300799997</v>
      </c>
    </row>
    <row r="199" spans="1:14" x14ac:dyDescent="0.35">
      <c r="A199" s="26" t="s">
        <v>156</v>
      </c>
      <c r="B199" s="10">
        <f>'FY24'!I199</f>
        <v>0</v>
      </c>
      <c r="C199" s="5">
        <f>'FY25'!I199</f>
        <v>0</v>
      </c>
      <c r="D199" s="10">
        <f>'FY26'!I199</f>
        <v>0</v>
      </c>
      <c r="E199" s="10">
        <f>'FY27'!I199</f>
        <v>0</v>
      </c>
      <c r="F199" s="10">
        <f>'FY28'!I199</f>
        <v>0</v>
      </c>
      <c r="G199" s="10">
        <f>'FY29'!I199</f>
        <v>0</v>
      </c>
      <c r="H199" s="10">
        <f>'FY30'!I199</f>
        <v>0</v>
      </c>
    </row>
    <row r="200" spans="1:14" x14ac:dyDescent="0.35">
      <c r="A200" s="26" t="s">
        <v>157</v>
      </c>
      <c r="B200" s="10">
        <f>'FY24'!I200</f>
        <v>0</v>
      </c>
      <c r="C200" s="5">
        <f>'FY25'!I200</f>
        <v>0</v>
      </c>
      <c r="D200" s="10">
        <f>'FY26'!I200</f>
        <v>0</v>
      </c>
      <c r="E200" s="10">
        <f>'FY27'!I200</f>
        <v>0</v>
      </c>
      <c r="F200" s="10">
        <f>'FY28'!I200</f>
        <v>0</v>
      </c>
      <c r="G200" s="10">
        <f>'FY29'!I200</f>
        <v>0</v>
      </c>
      <c r="H200" s="10">
        <f>'FY30'!I200</f>
        <v>0</v>
      </c>
    </row>
    <row r="201" spans="1:14" x14ac:dyDescent="0.35">
      <c r="A201" s="26" t="s">
        <v>158</v>
      </c>
      <c r="B201" s="10">
        <f>'FY24'!I201</f>
        <v>0</v>
      </c>
      <c r="C201" s="5">
        <f>'FY25'!I201</f>
        <v>0</v>
      </c>
      <c r="D201" s="10">
        <f>'FY26'!I201</f>
        <v>0</v>
      </c>
      <c r="E201" s="10">
        <f>'FY27'!I201</f>
        <v>0</v>
      </c>
      <c r="F201" s="10">
        <f>'FY28'!I201</f>
        <v>0</v>
      </c>
      <c r="G201" s="10">
        <f>'FY29'!I201</f>
        <v>0</v>
      </c>
      <c r="H201" s="10">
        <f>'FY30'!I201</f>
        <v>0</v>
      </c>
    </row>
    <row r="202" spans="1:14" x14ac:dyDescent="0.35">
      <c r="A202" s="26" t="s">
        <v>159</v>
      </c>
      <c r="B202" s="10">
        <f>'FY24'!I202</f>
        <v>5000</v>
      </c>
      <c r="C202" s="5">
        <f>'FY25'!I202</f>
        <v>5500</v>
      </c>
      <c r="D202" s="10">
        <f>'FY26'!I202</f>
        <v>6000</v>
      </c>
      <c r="E202" s="10">
        <f>'FY27'!I202</f>
        <v>6000</v>
      </c>
      <c r="F202" s="10">
        <f>'FY28'!I202</f>
        <v>6100</v>
      </c>
      <c r="G202" s="10">
        <f>'FY29'!I202</f>
        <v>6200</v>
      </c>
      <c r="H202" s="10">
        <f>'FY30'!I202</f>
        <v>6300</v>
      </c>
    </row>
    <row r="203" spans="1:14" x14ac:dyDescent="0.35">
      <c r="A203" s="26" t="s">
        <v>160</v>
      </c>
      <c r="B203" s="10">
        <f>'FY24'!I203</f>
        <v>37895</v>
      </c>
      <c r="C203" s="5">
        <f>'FY25'!I203</f>
        <v>39789.75</v>
      </c>
      <c r="D203" s="10">
        <f>'FY26'!I203</f>
        <v>40983.442500000005</v>
      </c>
      <c r="E203" s="10">
        <f>'FY27'!I203</f>
        <v>42622.780200000008</v>
      </c>
      <c r="F203" s="10">
        <f>'FY28'!I203</f>
        <v>43901.463606000012</v>
      </c>
      <c r="G203" s="10">
        <f>'FY29'!I203</f>
        <v>45218.507514180012</v>
      </c>
      <c r="H203" s="10">
        <f>'FY30'!I203</f>
        <v>46575.062739605411</v>
      </c>
    </row>
    <row r="204" spans="1:14" x14ac:dyDescent="0.35">
      <c r="A204" s="26" t="s">
        <v>162</v>
      </c>
      <c r="B204" s="10">
        <f>'FY24'!I204</f>
        <v>50000</v>
      </c>
      <c r="C204" s="5">
        <f>'FY25'!I204</f>
        <v>51000</v>
      </c>
      <c r="D204" s="10">
        <f>'FY26'!I204</f>
        <v>52000</v>
      </c>
      <c r="E204" s="10">
        <f>'FY27'!I204</f>
        <v>53000</v>
      </c>
      <c r="F204" s="10">
        <f>'FY28'!I204</f>
        <v>54000</v>
      </c>
      <c r="G204" s="10">
        <f>'FY29'!I204</f>
        <v>55000</v>
      </c>
      <c r="H204" s="10">
        <f>'FY30'!I204</f>
        <v>56000</v>
      </c>
    </row>
    <row r="205" spans="1:14" x14ac:dyDescent="0.35">
      <c r="A205" s="26" t="s">
        <v>163</v>
      </c>
      <c r="B205" s="10">
        <f>'FY24'!I205</f>
        <v>0</v>
      </c>
      <c r="C205" s="5">
        <f>'FY25'!I205</f>
        <v>0</v>
      </c>
      <c r="D205" s="10">
        <f>'FY26'!I205</f>
        <v>0</v>
      </c>
      <c r="E205" s="10">
        <f>'FY27'!I205</f>
        <v>0</v>
      </c>
      <c r="F205" s="10">
        <f>'FY28'!I205</f>
        <v>0</v>
      </c>
      <c r="G205" s="10">
        <f>'FY29'!I205</f>
        <v>0</v>
      </c>
      <c r="H205" s="10">
        <f>'FY30'!I205</f>
        <v>0</v>
      </c>
    </row>
    <row r="206" spans="1:14" x14ac:dyDescent="0.35">
      <c r="A206" s="26" t="s">
        <v>164</v>
      </c>
      <c r="B206" s="10">
        <f>'FY24'!I206</f>
        <v>0</v>
      </c>
      <c r="C206" s="5">
        <f>'FY25'!I206</f>
        <v>0</v>
      </c>
      <c r="D206" s="10">
        <f>'FY26'!I206</f>
        <v>0</v>
      </c>
      <c r="E206" s="10">
        <f>'FY27'!I206</f>
        <v>0</v>
      </c>
      <c r="F206" s="10">
        <f>'FY28'!I206</f>
        <v>0</v>
      </c>
      <c r="G206" s="10">
        <f>'FY29'!I206</f>
        <v>0</v>
      </c>
      <c r="H206" s="10">
        <f>'FY30'!I206</f>
        <v>0</v>
      </c>
    </row>
    <row r="207" spans="1:14" x14ac:dyDescent="0.35">
      <c r="A207" s="69" t="s">
        <v>165</v>
      </c>
      <c r="B207" s="10">
        <f>'FY24'!I207</f>
        <v>0</v>
      </c>
      <c r="C207" s="5">
        <f>'FY25'!I207</f>
        <v>0</v>
      </c>
      <c r="D207" s="10">
        <f>'FY26'!I207</f>
        <v>0</v>
      </c>
      <c r="E207" s="10">
        <f>'FY27'!I207</f>
        <v>0</v>
      </c>
      <c r="F207" s="10">
        <f>'FY28'!I207</f>
        <v>0</v>
      </c>
      <c r="G207" s="10">
        <f>'FY29'!I207</f>
        <v>0</v>
      </c>
      <c r="H207" s="10">
        <f>'FY30'!I207</f>
        <v>0</v>
      </c>
    </row>
    <row r="208" spans="1:14" x14ac:dyDescent="0.35">
      <c r="A208" s="62" t="s">
        <v>183</v>
      </c>
      <c r="B208" s="63">
        <f t="shared" ref="B208:G208" si="80">SUM(B198:B207)</f>
        <v>122895</v>
      </c>
      <c r="C208" s="63">
        <f t="shared" si="80"/>
        <v>127789.75</v>
      </c>
      <c r="D208" s="63">
        <f t="shared" si="80"/>
        <v>131113.4425</v>
      </c>
      <c r="E208" s="63">
        <f t="shared" si="80"/>
        <v>134395.38020000001</v>
      </c>
      <c r="F208" s="63">
        <f t="shared" si="80"/>
        <v>137429.515606</v>
      </c>
      <c r="G208" s="63">
        <f t="shared" si="80"/>
        <v>140515.12055418</v>
      </c>
      <c r="H208" s="63">
        <f t="shared" ref="H208" si="81">SUM(H198:H207)</f>
        <v>143653.60804040541</v>
      </c>
    </row>
    <row r="209" spans="1:8" x14ac:dyDescent="0.35">
      <c r="A209" s="74"/>
      <c r="B209" s="5"/>
      <c r="C209" s="5"/>
      <c r="D209" s="5"/>
      <c r="E209" s="5"/>
      <c r="F209" s="5"/>
      <c r="G209" s="5"/>
      <c r="H209" s="5"/>
    </row>
    <row r="210" spans="1:8" x14ac:dyDescent="0.35">
      <c r="A210" s="62" t="s">
        <v>166</v>
      </c>
      <c r="B210" s="63">
        <f>B142+B154+B170+B196+B208</f>
        <v>5632767.5899999999</v>
      </c>
      <c r="C210" s="63">
        <f t="shared" ref="C210:G210" si="82">C142+C154+C170+C196+C208</f>
        <v>5783661.9780000001</v>
      </c>
      <c r="D210" s="63">
        <f t="shared" si="82"/>
        <v>5355741.8632199988</v>
      </c>
      <c r="E210" s="63">
        <f t="shared" si="82"/>
        <v>5409342.4315307997</v>
      </c>
      <c r="F210" s="63">
        <f t="shared" si="82"/>
        <v>5519115.2444697618</v>
      </c>
      <c r="G210" s="63">
        <f t="shared" si="82"/>
        <v>5537725.8639486246</v>
      </c>
      <c r="H210" s="63">
        <f t="shared" ref="H210" si="83">H142+H154+H170+H196+H208</f>
        <v>5612622.0471437387</v>
      </c>
    </row>
    <row r="211" spans="1:8" x14ac:dyDescent="0.35">
      <c r="A211" s="75"/>
      <c r="B211" s="47"/>
      <c r="C211" s="47"/>
      <c r="D211" s="47"/>
      <c r="E211" s="47"/>
      <c r="F211" s="47"/>
      <c r="G211" s="47"/>
      <c r="H211" s="47"/>
    </row>
    <row r="212" spans="1:8" x14ac:dyDescent="0.35">
      <c r="A212" s="38" t="s">
        <v>167</v>
      </c>
      <c r="B212" s="222">
        <f>'FY24'!I212</f>
        <v>560503.98</v>
      </c>
      <c r="C212" s="9">
        <f>'FY25'!I212</f>
        <v>577680</v>
      </c>
      <c r="D212" s="222">
        <f>'FY26'!I212</f>
        <v>555675</v>
      </c>
      <c r="E212" s="222">
        <f>'FY27'!I212</f>
        <v>571950</v>
      </c>
      <c r="F212" s="222">
        <f>'FY28'!I212</f>
        <v>589155</v>
      </c>
      <c r="G212" s="222">
        <f>'FY29'!I212</f>
        <v>606825</v>
      </c>
      <c r="H212" s="222">
        <f>'FY30'!I212</f>
        <v>624960</v>
      </c>
    </row>
    <row r="213" spans="1:8" x14ac:dyDescent="0.35">
      <c r="A213" s="38" t="s">
        <v>184</v>
      </c>
      <c r="B213" s="222">
        <f>'FY24'!I213</f>
        <v>0</v>
      </c>
      <c r="C213" s="9">
        <f>'FY25'!I213</f>
        <v>0</v>
      </c>
      <c r="D213" s="222">
        <f>'FY26'!I213</f>
        <v>0</v>
      </c>
      <c r="E213" s="222">
        <f>'FY27'!I213</f>
        <v>0</v>
      </c>
      <c r="F213" s="222">
        <f>'FY28'!I213</f>
        <v>0</v>
      </c>
      <c r="G213" s="222">
        <f>'FY29'!I213</f>
        <v>0</v>
      </c>
      <c r="H213" s="222">
        <f>'FY30'!I213</f>
        <v>0</v>
      </c>
    </row>
    <row r="214" spans="1:8" x14ac:dyDescent="0.35">
      <c r="A214" s="38" t="s">
        <v>185</v>
      </c>
      <c r="B214" s="222">
        <f>'FY24'!I214</f>
        <v>0</v>
      </c>
      <c r="C214" s="9">
        <f>'FY25'!I214</f>
        <v>0</v>
      </c>
      <c r="D214" s="222">
        <f>'FY26'!I214</f>
        <v>0</v>
      </c>
      <c r="E214" s="222">
        <f>'FY27'!I214</f>
        <v>0</v>
      </c>
      <c r="F214" s="222">
        <f>'FY28'!I214</f>
        <v>0</v>
      </c>
      <c r="G214" s="222">
        <f>'FY29'!I214</f>
        <v>0</v>
      </c>
      <c r="H214" s="222">
        <f>'FY30'!I214</f>
        <v>0</v>
      </c>
    </row>
    <row r="215" spans="1:8" x14ac:dyDescent="0.35">
      <c r="A215" s="38" t="s">
        <v>186</v>
      </c>
      <c r="B215" s="222">
        <f>'FY24'!I215</f>
        <v>0</v>
      </c>
      <c r="C215" s="9">
        <f>'FY25'!I215</f>
        <v>0</v>
      </c>
      <c r="D215" s="222">
        <f>'FY26'!I215</f>
        <v>0</v>
      </c>
      <c r="E215" s="222">
        <f>'FY27'!I215</f>
        <v>0</v>
      </c>
      <c r="F215" s="222">
        <f>'FY28'!I215</f>
        <v>0</v>
      </c>
      <c r="G215" s="222">
        <f>'FY29'!I215</f>
        <v>0</v>
      </c>
      <c r="H215" s="222">
        <f>'FY30'!I215</f>
        <v>0</v>
      </c>
    </row>
    <row r="216" spans="1:8" x14ac:dyDescent="0.35"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222">
        <f>'FY30'!I216</f>
        <v>0</v>
      </c>
    </row>
    <row r="217" spans="1:8" ht="15" thickBot="1" x14ac:dyDescent="0.4">
      <c r="A217" s="38"/>
      <c r="B217" s="5">
        <v>0</v>
      </c>
      <c r="C217" s="30"/>
      <c r="D217" s="5">
        <v>0</v>
      </c>
      <c r="E217" s="5">
        <v>0</v>
      </c>
      <c r="F217" s="5">
        <v>0</v>
      </c>
      <c r="G217" s="5">
        <v>0</v>
      </c>
      <c r="H217" s="5">
        <v>0</v>
      </c>
    </row>
    <row r="218" spans="1:8" ht="15" thickBot="1" x14ac:dyDescent="0.4">
      <c r="A218" s="76" t="s">
        <v>168</v>
      </c>
      <c r="B218" s="77">
        <f>(B97+B103)-B210-B212-B213-B215-B214</f>
        <v>25225.229999999981</v>
      </c>
      <c r="C218" s="77">
        <f t="shared" ref="C218:H218" si="84">(C97+C103)-C210-C212-C213-C215-C214</f>
        <v>5064.9819999998435</v>
      </c>
      <c r="D218" s="77">
        <f t="shared" si="84"/>
        <v>212930.93678000104</v>
      </c>
      <c r="E218" s="77">
        <f t="shared" si="84"/>
        <v>58167.118469200097</v>
      </c>
      <c r="F218" s="77">
        <f t="shared" si="84"/>
        <v>18298.055530237965</v>
      </c>
      <c r="G218" s="77">
        <f t="shared" si="84"/>
        <v>25305.036051375791</v>
      </c>
      <c r="H218" s="77">
        <f t="shared" si="84"/>
        <v>62127.202856261283</v>
      </c>
    </row>
    <row r="219" spans="1:8" x14ac:dyDescent="0.35">
      <c r="A219" s="78"/>
      <c r="B219" s="79">
        <f t="shared" ref="B219:C219" si="85">B218/(B97)</f>
        <v>4.1636120035583712E-3</v>
      </c>
      <c r="C219" s="79">
        <f t="shared" si="85"/>
        <v>7.9557936396825054E-4</v>
      </c>
      <c r="D219" s="79">
        <v>2.8460980558965995E-2</v>
      </c>
      <c r="E219" s="79">
        <v>1.7115991040953241E-2</v>
      </c>
      <c r="F219" s="79">
        <v>8.7428134123199684E-3</v>
      </c>
      <c r="G219" s="79">
        <v>7.8899752311926887E-3</v>
      </c>
      <c r="H219" s="79">
        <v>7.8899752311926887E-3</v>
      </c>
    </row>
    <row r="220" spans="1:8" x14ac:dyDescent="0.35">
      <c r="B220" s="80"/>
      <c r="C220" s="80"/>
      <c r="D220" s="80"/>
      <c r="E220" s="80"/>
      <c r="F220" s="80"/>
      <c r="G220" s="80"/>
      <c r="H220" s="80"/>
    </row>
    <row r="221" spans="1:8" x14ac:dyDescent="0.35">
      <c r="A221" s="1" t="str">
        <f t="shared" ref="A221:G221" si="86">A1</f>
        <v>(MANN) - B&amp;G Campus</v>
      </c>
      <c r="B221" s="1" t="str">
        <f t="shared" si="86"/>
        <v>FY24 (23-24)</v>
      </c>
      <c r="C221" s="1" t="str">
        <f t="shared" si="86"/>
        <v>FY25 (24-25)</v>
      </c>
      <c r="D221" s="1" t="str">
        <f t="shared" si="86"/>
        <v>FY26 (25-26)</v>
      </c>
      <c r="E221" s="1" t="str">
        <f t="shared" si="86"/>
        <v>FY27 (26-27)</v>
      </c>
      <c r="F221" s="1" t="str">
        <f t="shared" si="86"/>
        <v>FY28 (27-28)</v>
      </c>
      <c r="G221" s="1" t="str">
        <f t="shared" si="86"/>
        <v>FY29 (28-29)</v>
      </c>
      <c r="H221" s="1" t="str">
        <f t="shared" ref="H221" si="87">H1</f>
        <v>FY30 (29-30)</v>
      </c>
    </row>
    <row r="223" spans="1:8" x14ac:dyDescent="0.35">
      <c r="B223" s="81" t="b">
        <f>B218='FY24'!I218</f>
        <v>1</v>
      </c>
      <c r="C223" s="81" t="b">
        <f>C218='FY25'!I218</f>
        <v>1</v>
      </c>
      <c r="D223" s="81" t="b">
        <f>D218='FY26'!I218</f>
        <v>1</v>
      </c>
      <c r="E223" s="81" t="b">
        <f>E218='FY27'!I218</f>
        <v>1</v>
      </c>
      <c r="F223" s="81" t="b">
        <f>F218='FY28'!I218</f>
        <v>1</v>
      </c>
      <c r="G223" s="81" t="b">
        <f>G218='FY29'!I218</f>
        <v>1</v>
      </c>
      <c r="H223" s="81" t="b">
        <f>H218='FY30'!I218</f>
        <v>1</v>
      </c>
    </row>
    <row r="224" spans="1:8" x14ac:dyDescent="0.35">
      <c r="A224" s="82" t="s">
        <v>169</v>
      </c>
      <c r="B224" s="83">
        <f>B97-B210</f>
        <v>425729.20999999996</v>
      </c>
      <c r="C224" s="83">
        <f>C97-C210</f>
        <v>582744.98199999984</v>
      </c>
      <c r="D224" s="83">
        <f t="shared" ref="D224:G224" si="88">D97-D210</f>
        <v>768605.93678000104</v>
      </c>
      <c r="E224" s="83">
        <f t="shared" si="88"/>
        <v>630117.1184692001</v>
      </c>
      <c r="F224" s="83">
        <f t="shared" si="88"/>
        <v>607453.05553023797</v>
      </c>
      <c r="G224" s="83">
        <f t="shared" si="88"/>
        <v>632130.03605137579</v>
      </c>
      <c r="H224" s="83">
        <f t="shared" ref="H224" si="89">H97-H210</f>
        <v>687087.20285626128</v>
      </c>
    </row>
    <row r="225" spans="1:10" x14ac:dyDescent="0.35">
      <c r="A225"/>
      <c r="B225" s="7"/>
      <c r="C225" s="7"/>
      <c r="D225" s="7"/>
      <c r="E225" s="7"/>
      <c r="F225" s="7"/>
      <c r="G225" s="7"/>
      <c r="H225" s="7"/>
    </row>
    <row r="226" spans="1:10" x14ac:dyDescent="0.35">
      <c r="A226" s="84" t="str">
        <f t="shared" ref="A226:C228" si="90">A212</f>
        <v>Scheduled Lease Payment</v>
      </c>
      <c r="B226" s="85">
        <f t="shared" si="90"/>
        <v>560503.98</v>
      </c>
      <c r="C226" s="85">
        <f t="shared" si="90"/>
        <v>577680</v>
      </c>
      <c r="D226" s="85">
        <f t="shared" ref="D226:G228" si="91">D212</f>
        <v>555675</v>
      </c>
      <c r="E226" s="85">
        <f t="shared" si="91"/>
        <v>571950</v>
      </c>
      <c r="F226" s="85">
        <f t="shared" si="91"/>
        <v>589155</v>
      </c>
      <c r="G226" s="85">
        <f t="shared" si="91"/>
        <v>606825</v>
      </c>
      <c r="H226" s="85">
        <f t="shared" ref="H226" si="92">H212</f>
        <v>624960</v>
      </c>
    </row>
    <row r="227" spans="1:10" x14ac:dyDescent="0.35">
      <c r="A227" s="84" t="str">
        <f t="shared" si="90"/>
        <v>Scheduled Bond Payment - Principal</v>
      </c>
      <c r="B227" s="85">
        <f t="shared" si="90"/>
        <v>0</v>
      </c>
      <c r="C227" s="85">
        <f t="shared" si="90"/>
        <v>0</v>
      </c>
      <c r="D227" s="85">
        <f t="shared" si="91"/>
        <v>0</v>
      </c>
      <c r="E227" s="85">
        <f t="shared" si="91"/>
        <v>0</v>
      </c>
      <c r="F227" s="85">
        <f t="shared" si="91"/>
        <v>0</v>
      </c>
      <c r="G227" s="85">
        <f t="shared" si="91"/>
        <v>0</v>
      </c>
      <c r="H227" s="85">
        <f t="shared" ref="H227" si="93">H213</f>
        <v>0</v>
      </c>
    </row>
    <row r="228" spans="1:10" x14ac:dyDescent="0.35">
      <c r="A228" s="84" t="str">
        <f t="shared" si="90"/>
        <v>Scheduled Bond Payment - Interest</v>
      </c>
      <c r="B228" s="85">
        <f t="shared" si="90"/>
        <v>0</v>
      </c>
      <c r="C228" s="85">
        <f t="shared" si="90"/>
        <v>0</v>
      </c>
      <c r="D228" s="85">
        <f t="shared" si="91"/>
        <v>0</v>
      </c>
      <c r="E228" s="85">
        <f t="shared" si="91"/>
        <v>0</v>
      </c>
      <c r="F228" s="85">
        <f t="shared" si="91"/>
        <v>0</v>
      </c>
      <c r="G228" s="85">
        <f t="shared" si="91"/>
        <v>0</v>
      </c>
      <c r="H228" s="85">
        <f t="shared" ref="H228" si="94">H214</f>
        <v>0</v>
      </c>
    </row>
    <row r="229" spans="1:10" x14ac:dyDescent="0.35">
      <c r="A229"/>
      <c r="B229" s="85"/>
      <c r="C229" s="85"/>
      <c r="D229" s="85"/>
      <c r="E229" s="85"/>
      <c r="F229" s="85"/>
      <c r="G229" s="85"/>
      <c r="H229" s="85"/>
    </row>
    <row r="230" spans="1:10" x14ac:dyDescent="0.35">
      <c r="A230" s="82" t="s">
        <v>170</v>
      </c>
      <c r="B230" s="86">
        <f>SUM(B226:B228)</f>
        <v>560503.98</v>
      </c>
      <c r="C230" s="86">
        <f>SUM(C226:C228)</f>
        <v>577680</v>
      </c>
      <c r="D230" s="86">
        <f t="shared" ref="D230:G230" si="95">SUM(D226:D228)</f>
        <v>555675</v>
      </c>
      <c r="E230" s="86">
        <f t="shared" si="95"/>
        <v>571950</v>
      </c>
      <c r="F230" s="86">
        <f t="shared" si="95"/>
        <v>589155</v>
      </c>
      <c r="G230" s="86">
        <f t="shared" si="95"/>
        <v>606825</v>
      </c>
      <c r="H230" s="86">
        <f t="shared" ref="H230" si="96">SUM(H226:H228)</f>
        <v>624960</v>
      </c>
    </row>
    <row r="231" spans="1:10" x14ac:dyDescent="0.35">
      <c r="A231" s="87" t="s">
        <v>171</v>
      </c>
      <c r="B231" s="88">
        <f>B224/B230</f>
        <v>0.75954716681940415</v>
      </c>
      <c r="C231" s="88">
        <f>C224/C230</f>
        <v>1.0087677987813319</v>
      </c>
      <c r="D231" s="88">
        <f t="shared" ref="D231:G231" si="97">D224/D230</f>
        <v>1.3831932996445784</v>
      </c>
      <c r="E231" s="88">
        <f t="shared" si="97"/>
        <v>1.1016996563846493</v>
      </c>
      <c r="F231" s="88">
        <f t="shared" si="97"/>
        <v>1.0310581350073207</v>
      </c>
      <c r="G231" s="88">
        <f t="shared" si="97"/>
        <v>1.041700714458659</v>
      </c>
      <c r="H231" s="88">
        <f t="shared" ref="H231" si="98">H224/H230</f>
        <v>1.0994098868027735</v>
      </c>
    </row>
    <row r="232" spans="1:10" x14ac:dyDescent="0.35">
      <c r="A232"/>
      <c r="B232" s="7"/>
      <c r="C232" s="7"/>
      <c r="D232" s="7"/>
      <c r="E232" s="7"/>
      <c r="F232" s="7"/>
      <c r="G232" s="7"/>
      <c r="H232" s="7"/>
    </row>
    <row r="233" spans="1:10" x14ac:dyDescent="0.35">
      <c r="A233" s="90" t="s">
        <v>172</v>
      </c>
      <c r="B233" s="91"/>
      <c r="C233" s="91"/>
      <c r="D233" s="91"/>
      <c r="E233" s="91"/>
      <c r="F233" s="91"/>
      <c r="G233" s="91"/>
      <c r="H233" s="91"/>
    </row>
    <row r="234" spans="1:10" x14ac:dyDescent="0.35">
      <c r="A234" t="s">
        <v>173</v>
      </c>
      <c r="B234" s="93"/>
      <c r="C234" s="93"/>
      <c r="D234" s="93"/>
      <c r="E234" s="93"/>
      <c r="F234" s="93"/>
      <c r="G234" s="93"/>
      <c r="H234" s="93"/>
    </row>
    <row r="235" spans="1:10" x14ac:dyDescent="0.35">
      <c r="A235" s="7" t="s">
        <v>174</v>
      </c>
      <c r="B235" s="92"/>
      <c r="C235" s="92"/>
      <c r="D235" s="92"/>
      <c r="E235" s="92"/>
      <c r="F235" s="92"/>
      <c r="G235" s="92"/>
      <c r="H235" s="92"/>
    </row>
    <row r="236" spans="1:10" x14ac:dyDescent="0.35">
      <c r="A236" s="7" t="s">
        <v>175</v>
      </c>
      <c r="B236" s="92"/>
      <c r="C236" s="92"/>
      <c r="D236" s="92"/>
      <c r="E236" s="92"/>
      <c r="F236" s="92"/>
      <c r="G236" s="92"/>
      <c r="H236" s="92"/>
    </row>
    <row r="237" spans="1:10" x14ac:dyDescent="0.35">
      <c r="A237" s="94" t="s">
        <v>176</v>
      </c>
      <c r="B237" s="95">
        <f>SUM(B234:B236)</f>
        <v>0</v>
      </c>
      <c r="C237" s="95">
        <f>SUM(C234:C236)</f>
        <v>0</v>
      </c>
      <c r="D237" s="95">
        <f t="shared" ref="D237:G237" si="99">SUM(D234:D236)</f>
        <v>0</v>
      </c>
      <c r="E237" s="95">
        <f t="shared" si="99"/>
        <v>0</v>
      </c>
      <c r="F237" s="95">
        <f t="shared" si="99"/>
        <v>0</v>
      </c>
      <c r="G237" s="95">
        <f t="shared" si="99"/>
        <v>0</v>
      </c>
      <c r="H237" s="95">
        <f t="shared" ref="H237" si="100">SUM(H234:H236)</f>
        <v>0</v>
      </c>
    </row>
    <row r="238" spans="1:10" x14ac:dyDescent="0.35">
      <c r="A238" s="96" t="s">
        <v>177</v>
      </c>
      <c r="B238" s="97">
        <f>B237/((SUM(B210:B216))/365)</f>
        <v>0</v>
      </c>
      <c r="C238" s="97">
        <f>C237/((SUM(C210:C216))/365)</f>
        <v>0</v>
      </c>
      <c r="D238" s="97">
        <f t="shared" ref="D238:G238" si="101">D237/((SUM(D210:D216))/365)</f>
        <v>0</v>
      </c>
      <c r="E238" s="97">
        <f t="shared" si="101"/>
        <v>0</v>
      </c>
      <c r="F238" s="97">
        <f t="shared" si="101"/>
        <v>0</v>
      </c>
      <c r="G238" s="97">
        <f t="shared" si="101"/>
        <v>0</v>
      </c>
      <c r="H238" s="97">
        <f t="shared" ref="H238" si="102">H237/((SUM(H210:H216))/365)</f>
        <v>0</v>
      </c>
    </row>
    <row r="239" spans="1:10" x14ac:dyDescent="0.35">
      <c r="A239"/>
    </row>
    <row r="240" spans="1:10" x14ac:dyDescent="0.35">
      <c r="I240" s="7"/>
      <c r="J240" s="219" t="s">
        <v>368</v>
      </c>
    </row>
    <row r="241" spans="1:10" x14ac:dyDescent="0.35">
      <c r="A241" s="142" t="s">
        <v>369</v>
      </c>
      <c r="B241" s="153">
        <f>B132/SUM(B210:B215)</f>
        <v>0.41385558037139325</v>
      </c>
      <c r="C241" s="153">
        <f t="shared" ref="C241:G241" si="103">C132/SUM(C210:C215)</f>
        <v>0.42055490952258312</v>
      </c>
      <c r="D241" s="153">
        <f t="shared" si="103"/>
        <v>0.41182435198351514</v>
      </c>
      <c r="E241" s="153">
        <f t="shared" si="103"/>
        <v>0.41530059817260229</v>
      </c>
      <c r="F241" s="153">
        <f t="shared" si="103"/>
        <v>0.41462960022485912</v>
      </c>
      <c r="G241" s="153">
        <f t="shared" si="103"/>
        <v>0.41736911081140676</v>
      </c>
      <c r="H241" s="153">
        <f t="shared" ref="H241" si="104">H132/SUM(H210:H215)</f>
        <v>0.41697349913648285</v>
      </c>
      <c r="I241" s="7"/>
      <c r="J241" s="220">
        <f>AVERAGE(B241:G241)</f>
        <v>0.41558902518105995</v>
      </c>
    </row>
    <row r="242" spans="1:10" x14ac:dyDescent="0.35">
      <c r="A242" s="142" t="s">
        <v>370</v>
      </c>
      <c r="B242" s="153">
        <f>(B141-B140)/SUM(B210:B215)</f>
        <v>0.21272934427449949</v>
      </c>
      <c r="C242" s="153">
        <f t="shared" ref="C242:G242" si="105">(C141-C140)/SUM(C210:C215)</f>
        <v>0.21532392421868318</v>
      </c>
      <c r="D242" s="153">
        <f t="shared" si="105"/>
        <v>0.21472443723560847</v>
      </c>
      <c r="E242" s="153">
        <f t="shared" si="105"/>
        <v>0.21779800031234969</v>
      </c>
      <c r="F242" s="153">
        <f t="shared" si="105"/>
        <v>0.21889968020724515</v>
      </c>
      <c r="G242" s="153">
        <f t="shared" si="105"/>
        <v>0.22168242138977179</v>
      </c>
      <c r="H242" s="153">
        <f t="shared" ref="H242" si="106">(H141-H140)/SUM(H210:H215)</f>
        <v>0.22039366578503053</v>
      </c>
      <c r="I242" s="7"/>
      <c r="J242" s="220">
        <f t="shared" ref="J242:J254" si="107">AVERAGE(B242:G242)</f>
        <v>0.2168596346063596</v>
      </c>
    </row>
    <row r="243" spans="1:10" x14ac:dyDescent="0.35">
      <c r="A243" s="142" t="s">
        <v>123</v>
      </c>
      <c r="B243" s="153">
        <f>B161/SUM(B210:B215)</f>
        <v>2.4873767968808767E-3</v>
      </c>
      <c r="C243" s="153">
        <f t="shared" ref="C243:G243" si="108">C161/SUM(C210:C215)</f>
        <v>3.0701069157329304E-3</v>
      </c>
      <c r="D243" s="153">
        <f t="shared" si="108"/>
        <v>3.1557578211187875E-3</v>
      </c>
      <c r="E243" s="153">
        <f t="shared" si="108"/>
        <v>3.1188911449403257E-3</v>
      </c>
      <c r="F243" s="153">
        <f t="shared" si="108"/>
        <v>3.0540560999064601E-3</v>
      </c>
      <c r="G243" s="153">
        <f t="shared" si="108"/>
        <v>3.0775235519570612E-3</v>
      </c>
      <c r="H243" s="153">
        <f t="shared" ref="H243" si="109">H161/SUM(H210:H215)</f>
        <v>3.0316234491310793E-3</v>
      </c>
      <c r="I243" s="153"/>
      <c r="J243" s="220">
        <f t="shared" si="107"/>
        <v>2.9939520550894068E-3</v>
      </c>
    </row>
    <row r="244" spans="1:10" x14ac:dyDescent="0.35">
      <c r="A244" s="142" t="s">
        <v>371</v>
      </c>
      <c r="B244" s="153">
        <f>(B160+B167+B168)/SUM(B210:B215)</f>
        <v>4.7012419318147231E-2</v>
      </c>
      <c r="C244" s="153">
        <f t="shared" ref="C244:G244" si="110">(C160+C167+C168)/SUM(C210:C215)</f>
        <v>4.6121041914530439E-2</v>
      </c>
      <c r="D244" s="153">
        <f t="shared" si="110"/>
        <v>4.6453457158225166E-2</v>
      </c>
      <c r="E244" s="153">
        <f t="shared" si="110"/>
        <v>4.6019610836775825E-2</v>
      </c>
      <c r="F244" s="153">
        <f t="shared" si="110"/>
        <v>4.5173345146249766E-2</v>
      </c>
      <c r="G244" s="153">
        <f t="shared" si="110"/>
        <v>4.5017863164410581E-2</v>
      </c>
      <c r="H244" s="153">
        <f t="shared" ref="H244" si="111">(H160+H167+H168)/SUM(H210:H215)</f>
        <v>4.4457515412880587E-2</v>
      </c>
      <c r="I244" s="7"/>
      <c r="J244" s="220">
        <f t="shared" si="107"/>
        <v>4.5966289589723174E-2</v>
      </c>
    </row>
    <row r="245" spans="1:10" x14ac:dyDescent="0.35">
      <c r="A245" s="142" t="s">
        <v>372</v>
      </c>
      <c r="B245" s="153">
        <f>(B140+B157+B156)/SUM(B210:B215)</f>
        <v>2.1588751355206597E-2</v>
      </c>
      <c r="C245" s="153">
        <f t="shared" ref="C245:G245" si="112">(C140+C157+C156)/SUM(C210:C215)</f>
        <v>1.9742375183464788E-2</v>
      </c>
      <c r="D245" s="153">
        <f t="shared" si="112"/>
        <v>2.0276641416675397E-2</v>
      </c>
      <c r="E245" s="153">
        <f t="shared" si="112"/>
        <v>2.0537541376916282E-2</v>
      </c>
      <c r="F245" s="153">
        <f t="shared" si="112"/>
        <v>2.0137704501755848E-2</v>
      </c>
      <c r="G245" s="153">
        <f t="shared" si="112"/>
        <v>2.0424119578262033E-2</v>
      </c>
      <c r="H245" s="153">
        <f t="shared" ref="H245" si="113">(H140+H157+H156)/SUM(H210:H215)</f>
        <v>2.0146034320709633E-2</v>
      </c>
      <c r="I245" s="7"/>
      <c r="J245" s="220">
        <f t="shared" si="107"/>
        <v>2.0451188902046825E-2</v>
      </c>
    </row>
    <row r="246" spans="1:10" x14ac:dyDescent="0.35">
      <c r="A246" s="142" t="s">
        <v>373</v>
      </c>
      <c r="B246" s="153">
        <f>(B191+B192+B193+B146+B177)/SUM(B210:B215)</f>
        <v>3.6123880161127823E-2</v>
      </c>
      <c r="C246" s="153">
        <f t="shared" ref="C246:G246" si="114">(C191+C192+C193+C146+C177)/SUM(C210:C215)</f>
        <v>4.8574656270428855E-3</v>
      </c>
      <c r="D246" s="153">
        <f t="shared" si="114"/>
        <v>5.3317166982590159E-3</v>
      </c>
      <c r="E246" s="153">
        <f t="shared" si="114"/>
        <v>5.3210907783444519E-3</v>
      </c>
      <c r="F246" s="153">
        <f t="shared" si="114"/>
        <v>5.2610638877831142E-3</v>
      </c>
      <c r="G246" s="153">
        <f t="shared" si="114"/>
        <v>5.2802882941960262E-3</v>
      </c>
      <c r="H246" s="153">
        <f t="shared" ref="H246" si="115">(H191+H192+H193+H146+H177)/SUM(H210:H215)</f>
        <v>5.251073212736085E-3</v>
      </c>
      <c r="I246" s="7"/>
      <c r="J246" s="220">
        <f t="shared" si="107"/>
        <v>1.0362584241125553E-2</v>
      </c>
    </row>
    <row r="247" spans="1:10" x14ac:dyDescent="0.35">
      <c r="A247" s="142" t="s">
        <v>374</v>
      </c>
      <c r="B247" s="153">
        <f>(B144+B147+B148+B149+B150+B151+B152+B153)/SUM(B210:B215)</f>
        <v>3.1514200175788515E-2</v>
      </c>
      <c r="C247" s="153">
        <f t="shared" ref="C247:G247" si="116">(C144+C147+C148+C149+C150+C151+C152+C153)/SUM(C210:C215)</f>
        <v>3.1699286203663364E-2</v>
      </c>
      <c r="D247" s="153">
        <f t="shared" si="116"/>
        <v>3.2411857331887409E-2</v>
      </c>
      <c r="E247" s="153">
        <f t="shared" si="116"/>
        <v>3.3335604684516296E-2</v>
      </c>
      <c r="F247" s="153">
        <f t="shared" si="116"/>
        <v>3.3556144668873071E-2</v>
      </c>
      <c r="G247" s="153">
        <f t="shared" si="116"/>
        <v>3.4520505191764576E-2</v>
      </c>
      <c r="H247" s="153">
        <f t="shared" ref="H247" si="117">(H144+H147+H148+H149+H150+H151+H152+H153)/SUM(H210:H215)</f>
        <v>3.4769081730846266E-2</v>
      </c>
      <c r="I247" s="7"/>
      <c r="J247" s="220">
        <f t="shared" si="107"/>
        <v>3.2839599709415544E-2</v>
      </c>
    </row>
    <row r="248" spans="1:10" x14ac:dyDescent="0.35">
      <c r="A248" s="142" t="s">
        <v>2</v>
      </c>
      <c r="B248" s="153">
        <f>(B182+B183)/SUM(B210:B215)</f>
        <v>6.9691211683778939E-2</v>
      </c>
      <c r="C248" s="153">
        <f t="shared" ref="C248:G248" si="118">(C182+C183)/SUM(C210:C215)</f>
        <v>7.3627388940855965E-2</v>
      </c>
      <c r="D248" s="153">
        <f t="shared" si="118"/>
        <v>7.5326103758727322E-2</v>
      </c>
      <c r="E248" s="153">
        <f t="shared" si="118"/>
        <v>7.5775512598370467E-2</v>
      </c>
      <c r="F248" s="153">
        <f t="shared" si="118"/>
        <v>7.5502062211072668E-2</v>
      </c>
      <c r="G248" s="153">
        <f t="shared" si="118"/>
        <v>7.6350332251708494E-2</v>
      </c>
      <c r="H248" s="153">
        <f t="shared" ref="H248" si="119">(H182+H183)/SUM(H210:H215)</f>
        <v>7.6486368659225104E-2</v>
      </c>
      <c r="I248" s="7"/>
      <c r="J248" s="220">
        <f t="shared" si="107"/>
        <v>7.4378768574085652E-2</v>
      </c>
    </row>
    <row r="249" spans="1:10" x14ac:dyDescent="0.35">
      <c r="A249" s="142" t="s">
        <v>375</v>
      </c>
      <c r="B249" s="153">
        <f>(B208+B212)/SUM(B210:B215)</f>
        <v>0.11034539213658283</v>
      </c>
      <c r="C249" s="153">
        <f t="shared" ref="C249:G249" si="120">(C208+C212)/SUM(C210:C215)</f>
        <v>0.11089951655480704</v>
      </c>
      <c r="D249" s="153">
        <f t="shared" si="120"/>
        <v>0.1161800053001</v>
      </c>
      <c r="E249" s="153">
        <f t="shared" si="120"/>
        <v>0.11809243374834026</v>
      </c>
      <c r="F249" s="153">
        <f t="shared" si="120"/>
        <v>0.11895094462525246</v>
      </c>
      <c r="G249" s="153">
        <f t="shared" si="120"/>
        <v>0.12162648452289362</v>
      </c>
      <c r="H249" s="153">
        <f t="shared" ref="H249" si="121">(H208+H212)/SUM(H210:H215)</f>
        <v>0.12322300568252445</v>
      </c>
      <c r="I249" s="7"/>
      <c r="J249" s="220">
        <f t="shared" si="107"/>
        <v>0.11601579614799602</v>
      </c>
    </row>
    <row r="250" spans="1:10" x14ac:dyDescent="0.35">
      <c r="A250" s="142" t="s">
        <v>376</v>
      </c>
      <c r="B250" s="153">
        <f>(B179+B180+B181)/SUM(B210:B215)</f>
        <v>4.3192034609908121E-3</v>
      </c>
      <c r="C250" s="153">
        <f t="shared" ref="C250:G250" si="122">(C179+C180+C181)/SUM(C210:C215)</f>
        <v>4.6255963131306447E-3</v>
      </c>
      <c r="D250" s="153">
        <f t="shared" si="122"/>
        <v>5.475421671137088E-3</v>
      </c>
      <c r="E250" s="153">
        <f t="shared" si="122"/>
        <v>5.9526014498655381E-3</v>
      </c>
      <c r="F250" s="153">
        <f t="shared" si="122"/>
        <v>6.4117456223320322E-3</v>
      </c>
      <c r="G250" s="153">
        <f t="shared" si="122"/>
        <v>7.0112760808550166E-3</v>
      </c>
      <c r="H250" s="153">
        <f t="shared" ref="H250" si="123">(H179+H180+H181)/SUM(H210:H215)</f>
        <v>7.5973760973132394E-3</v>
      </c>
      <c r="I250" s="7"/>
      <c r="J250" s="220">
        <f t="shared" si="107"/>
        <v>5.6326407663851892E-3</v>
      </c>
    </row>
    <row r="251" spans="1:10" x14ac:dyDescent="0.35">
      <c r="A251" s="142" t="s">
        <v>377</v>
      </c>
      <c r="B251" s="153">
        <f>B185/SUM(B210:B215)</f>
        <v>2.4219832491537263E-4</v>
      </c>
      <c r="C251" s="153">
        <f t="shared" ref="C251:G251" si="124">C185/SUM(C210:C215)</f>
        <v>2.4365927902642305E-4</v>
      </c>
      <c r="D251" s="153">
        <f t="shared" si="124"/>
        <v>2.7066269170678421E-4</v>
      </c>
      <c r="E251" s="153">
        <f t="shared" si="124"/>
        <v>2.8421950932182007E-4</v>
      </c>
      <c r="F251" s="153">
        <f t="shared" si="124"/>
        <v>2.946824433037592E-4</v>
      </c>
      <c r="G251" s="153">
        <f t="shared" si="124"/>
        <v>3.0107977636808901E-4</v>
      </c>
      <c r="H251" s="153">
        <f t="shared" ref="H251" si="125">H185/SUM(H210:H215)</f>
        <v>3.0460521170539665E-4</v>
      </c>
      <c r="I251" s="7"/>
      <c r="J251" s="220">
        <f t="shared" si="107"/>
        <v>2.7275033744037473E-4</v>
      </c>
    </row>
    <row r="252" spans="1:10" x14ac:dyDescent="0.35">
      <c r="A252" s="142" t="s">
        <v>378</v>
      </c>
      <c r="B252" s="153">
        <f>(B162+B163)/SUM(B210:B215)</f>
        <v>1.0737459071248186E-2</v>
      </c>
      <c r="C252" s="153">
        <f t="shared" ref="C252:G252" si="126">(C162+C163)/SUM(C210:C215)</f>
        <v>1.1239766742186613E-2</v>
      </c>
      <c r="D252" s="153">
        <f t="shared" si="126"/>
        <v>1.2518149491438771E-2</v>
      </c>
      <c r="E252" s="153">
        <f t="shared" si="126"/>
        <v>6.1023600530861373E-3</v>
      </c>
      <c r="F252" s="153">
        <f t="shared" si="126"/>
        <v>6.2210738030793614E-3</v>
      </c>
      <c r="G252" s="153">
        <f t="shared" si="126"/>
        <v>6.4284600900213597E-3</v>
      </c>
      <c r="H252" s="153">
        <f t="shared" ref="H252" si="127">(H162+H163)/SUM(H210:H215)</f>
        <v>6.5730598315375064E-3</v>
      </c>
      <c r="I252" s="7"/>
      <c r="J252" s="220">
        <f t="shared" si="107"/>
        <v>8.8745448751767365E-3</v>
      </c>
    </row>
    <row r="253" spans="1:10" x14ac:dyDescent="0.35">
      <c r="A253" s="142" t="s">
        <v>379</v>
      </c>
      <c r="B253" s="153">
        <f>(B164+B165+B172+B173+B176+B178)/SUM(B210:B215)</f>
        <v>1.2443988468601902E-2</v>
      </c>
      <c r="C253" s="153">
        <f t="shared" ref="C253:G253" si="128">(C164+C165+C172+C173+C176+C178)/SUM(C210:C215)</f>
        <v>1.1737444749586452E-2</v>
      </c>
      <c r="D253" s="153">
        <f t="shared" si="128"/>
        <v>1.240873832742086E-2</v>
      </c>
      <c r="E253" s="153">
        <f t="shared" si="128"/>
        <v>1.2315539382706185E-2</v>
      </c>
      <c r="F253" s="153">
        <f t="shared" si="128"/>
        <v>1.2110214027771999E-2</v>
      </c>
      <c r="G253" s="153">
        <f t="shared" si="128"/>
        <v>1.2089097990193004E-2</v>
      </c>
      <c r="H253" s="153">
        <f t="shared" ref="H253" si="129">(H164+H165+H172+H173+H176+H178)/SUM(H210:H215)</f>
        <v>1.199013567031907E-2</v>
      </c>
      <c r="I253" s="7"/>
      <c r="J253" s="220">
        <f t="shared" si="107"/>
        <v>1.2184170491046734E-2</v>
      </c>
    </row>
    <row r="254" spans="1:10" x14ac:dyDescent="0.35">
      <c r="A254" s="142" t="s">
        <v>277</v>
      </c>
      <c r="B254" s="153">
        <f>(B166+B175+B184+B186+B187+B194+B195)/SUM(B210:B215)</f>
        <v>2.6908994400838136E-2</v>
      </c>
      <c r="C254" s="153">
        <f t="shared" ref="C254:G254" si="130">(C166+C175+C184+C186+C187+C194+C195)/SUM(C210:C215)</f>
        <v>4.625751783470617E-2</v>
      </c>
      <c r="D254" s="153">
        <f t="shared" si="130"/>
        <v>4.3642699114179971E-2</v>
      </c>
      <c r="E254" s="153">
        <f t="shared" si="130"/>
        <v>4.0045995951864477E-2</v>
      </c>
      <c r="F254" s="153">
        <f t="shared" si="130"/>
        <v>3.9797682530515195E-2</v>
      </c>
      <c r="G254" s="153">
        <f t="shared" si="130"/>
        <v>2.8821437306191484E-2</v>
      </c>
      <c r="H254" s="153">
        <f t="shared" ref="H254" si="131">(H166+H175+H184+H186+H187+H194+H195)/SUM(H210:H215)</f>
        <v>2.8802955799558379E-2</v>
      </c>
      <c r="I254" s="7"/>
      <c r="J254" s="220">
        <f t="shared" si="107"/>
        <v>3.7579054523049236E-2</v>
      </c>
    </row>
    <row r="255" spans="1:10" x14ac:dyDescent="0.35">
      <c r="A255"/>
      <c r="B255"/>
      <c r="C255"/>
      <c r="D255"/>
      <c r="I255" s="7"/>
      <c r="J255" s="7"/>
    </row>
    <row r="256" spans="1:10" x14ac:dyDescent="0.35">
      <c r="A256"/>
      <c r="B256" s="221">
        <f>SUM(B241:B255)</f>
        <v>0.99999999999999989</v>
      </c>
      <c r="C256" s="221">
        <f t="shared" ref="C256:J256" si="132">SUM(C241:C255)</f>
        <v>1.0000000000000002</v>
      </c>
      <c r="D256" s="221">
        <f t="shared" si="132"/>
        <v>1.0000000000000002</v>
      </c>
      <c r="E256" s="221">
        <f t="shared" si="132"/>
        <v>1</v>
      </c>
      <c r="F256" s="221">
        <f t="shared" si="132"/>
        <v>1.0000000000000002</v>
      </c>
      <c r="G256" s="221">
        <f t="shared" si="132"/>
        <v>0.99999999999999978</v>
      </c>
      <c r="H256" s="221">
        <f t="shared" ref="H256" si="133">SUM(H241:H255)</f>
        <v>1</v>
      </c>
      <c r="I256" s="7"/>
      <c r="J256" s="221">
        <f t="shared" si="132"/>
        <v>0.99999999999999978</v>
      </c>
    </row>
  </sheetData>
  <pageMargins left="0.7" right="0.7" top="0.75" bottom="0.75" header="0.3" footer="0.3"/>
  <pageSetup scale="53" orientation="portrait" r:id="rId1"/>
  <rowBreaks count="2" manualBreakCount="2">
    <brk id="71" max="16383" man="1"/>
    <brk id="1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"/>
  <sheetViews>
    <sheetView topLeftCell="A168" zoomScale="75" zoomScaleNormal="75" workbookViewId="0">
      <pane xSplit="1" topLeftCell="B1" activePane="topRight" state="frozen"/>
      <selection activeCell="C185" sqref="C185"/>
      <selection pane="topRight" activeCell="P17" sqref="P17"/>
    </sheetView>
  </sheetViews>
  <sheetFormatPr defaultRowHeight="14.5" x14ac:dyDescent="0.35"/>
  <cols>
    <col min="1" max="1" width="56.54296875" style="7" customWidth="1"/>
    <col min="2" max="8" width="15.6328125" style="81" customWidth="1"/>
  </cols>
  <sheetData>
    <row r="1" spans="1:16" x14ac:dyDescent="0.35">
      <c r="A1" s="1" t="s">
        <v>381</v>
      </c>
      <c r="B1" s="1" t="s">
        <v>362</v>
      </c>
      <c r="C1" s="1" t="s">
        <v>363</v>
      </c>
      <c r="D1" s="1" t="s">
        <v>364</v>
      </c>
      <c r="E1" s="1" t="s">
        <v>365</v>
      </c>
      <c r="F1" s="1" t="s">
        <v>366</v>
      </c>
      <c r="G1" s="1" t="s">
        <v>367</v>
      </c>
      <c r="H1" s="1" t="s">
        <v>482</v>
      </c>
    </row>
    <row r="2" spans="1:16" x14ac:dyDescent="0.35">
      <c r="A2" s="4" t="s">
        <v>3</v>
      </c>
      <c r="B2" s="5">
        <v>0</v>
      </c>
      <c r="C2" s="5">
        <v>0</v>
      </c>
      <c r="D2" s="5">
        <f>'FY26'!S2</f>
        <v>9555</v>
      </c>
      <c r="E2" s="5">
        <f>'FY27'!S2</f>
        <v>9695</v>
      </c>
      <c r="F2" s="5">
        <f>'FY28'!S2</f>
        <v>9840</v>
      </c>
      <c r="G2" s="5">
        <f>'FY29'!S2</f>
        <v>9987</v>
      </c>
      <c r="H2" s="5">
        <f>'FY30'!S2</f>
        <v>10136</v>
      </c>
    </row>
    <row r="3" spans="1:16" x14ac:dyDescent="0.35">
      <c r="A3" s="8" t="s">
        <v>4</v>
      </c>
      <c r="B3" s="9">
        <f t="shared" ref="B3:G3" si="0">B4+B5+B6+B7+B8+B9+B10+B11+B12+B13+B14+B15+B16</f>
        <v>0</v>
      </c>
      <c r="C3" s="9">
        <f t="shared" ref="C3" si="1">C4+C5+C6+C7+C8+C9+C10+C11+C12+C13+C14+C15+C16</f>
        <v>0</v>
      </c>
      <c r="D3" s="9">
        <f t="shared" si="0"/>
        <v>767</v>
      </c>
      <c r="E3" s="9">
        <f t="shared" si="0"/>
        <v>943</v>
      </c>
      <c r="F3" s="9">
        <f t="shared" si="0"/>
        <v>1145</v>
      </c>
      <c r="G3" s="9">
        <f t="shared" si="0"/>
        <v>1314</v>
      </c>
      <c r="H3" s="9">
        <f t="shared" ref="H3" si="2">H4+H5+H6+H7+H8+H9+H10+H11+H12+H13+H14+H15+H16</f>
        <v>1460</v>
      </c>
    </row>
    <row r="4" spans="1:16" x14ac:dyDescent="0.35">
      <c r="A4" s="103" t="s">
        <v>5</v>
      </c>
      <c r="B4" s="10">
        <v>0</v>
      </c>
      <c r="C4" s="10">
        <v>0</v>
      </c>
      <c r="D4" s="10">
        <f>'FY26'!S4</f>
        <v>100</v>
      </c>
      <c r="E4" s="10">
        <f>'FY27'!S4</f>
        <v>100</v>
      </c>
      <c r="F4" s="10">
        <f>'FY28'!S4</f>
        <v>100</v>
      </c>
      <c r="G4" s="10">
        <f>'FY29'!S4</f>
        <v>100</v>
      </c>
      <c r="H4" s="10">
        <f>'FY30'!S4</f>
        <v>100</v>
      </c>
      <c r="J4" s="303">
        <f>B4/25</f>
        <v>0</v>
      </c>
      <c r="K4" s="303">
        <f>C4/25</f>
        <v>0</v>
      </c>
      <c r="L4" s="303">
        <f>'FY26'!T4</f>
        <v>4</v>
      </c>
      <c r="M4" s="303">
        <f>'FY27'!T4</f>
        <v>4</v>
      </c>
      <c r="N4" s="303">
        <f>'FY28'!T4</f>
        <v>4</v>
      </c>
      <c r="O4" s="303">
        <f>'FY29'!T4</f>
        <v>4</v>
      </c>
      <c r="P4" s="303">
        <f>'FY30'!T4</f>
        <v>4</v>
      </c>
    </row>
    <row r="5" spans="1:16" x14ac:dyDescent="0.35">
      <c r="A5" s="8" t="s">
        <v>6</v>
      </c>
      <c r="B5" s="10">
        <v>0</v>
      </c>
      <c r="C5" s="10">
        <v>0</v>
      </c>
      <c r="D5" s="10">
        <f>'FY26'!S5</f>
        <v>104</v>
      </c>
      <c r="E5" s="10">
        <f>'FY27'!S5</f>
        <v>104</v>
      </c>
      <c r="F5" s="10">
        <f>'FY28'!S5</f>
        <v>104</v>
      </c>
      <c r="G5" s="10">
        <f>'FY29'!S5</f>
        <v>104</v>
      </c>
      <c r="H5" s="10">
        <f>'FY30'!S5</f>
        <v>104</v>
      </c>
      <c r="J5" s="303">
        <f t="shared" ref="J5:J16" si="3">B5/25</f>
        <v>0</v>
      </c>
      <c r="K5" s="303">
        <f t="shared" ref="K5:K16" si="4">C5/25</f>
        <v>0</v>
      </c>
      <c r="L5" s="303">
        <f>'FY26'!T5</f>
        <v>4</v>
      </c>
      <c r="M5" s="303">
        <f>'FY27'!T5</f>
        <v>4</v>
      </c>
      <c r="N5" s="303">
        <f>'FY28'!T5</f>
        <v>4</v>
      </c>
      <c r="O5" s="303">
        <f>'FY29'!T5</f>
        <v>4</v>
      </c>
      <c r="P5" s="303">
        <f>'FY30'!T5</f>
        <v>4</v>
      </c>
    </row>
    <row r="6" spans="1:16" x14ac:dyDescent="0.35">
      <c r="A6" s="8" t="s">
        <v>7</v>
      </c>
      <c r="B6" s="10">
        <v>0</v>
      </c>
      <c r="C6" s="10">
        <v>0</v>
      </c>
      <c r="D6" s="10">
        <f>'FY26'!S6</f>
        <v>104</v>
      </c>
      <c r="E6" s="10">
        <f>'FY27'!S6</f>
        <v>104</v>
      </c>
      <c r="F6" s="10">
        <f>'FY28'!S6</f>
        <v>104</v>
      </c>
      <c r="G6" s="10">
        <f>'FY29'!S6</f>
        <v>104</v>
      </c>
      <c r="H6" s="10">
        <f>'FY30'!S6</f>
        <v>104</v>
      </c>
      <c r="J6" s="303">
        <f t="shared" si="3"/>
        <v>0</v>
      </c>
      <c r="K6" s="303">
        <f t="shared" si="4"/>
        <v>0</v>
      </c>
      <c r="L6" s="303">
        <f>'FY26'!T6</f>
        <v>4</v>
      </c>
      <c r="M6" s="303">
        <f>'FY27'!T6</f>
        <v>4</v>
      </c>
      <c r="N6" s="303">
        <f>'FY28'!T6</f>
        <v>4</v>
      </c>
      <c r="O6" s="303">
        <f>'FY29'!T6</f>
        <v>4</v>
      </c>
      <c r="P6" s="303">
        <f>'FY30'!T6</f>
        <v>4</v>
      </c>
    </row>
    <row r="7" spans="1:16" x14ac:dyDescent="0.35">
      <c r="A7" s="12" t="s">
        <v>8</v>
      </c>
      <c r="B7" s="10">
        <v>0</v>
      </c>
      <c r="C7" s="10">
        <v>0</v>
      </c>
      <c r="D7" s="10">
        <f>'FY26'!S7</f>
        <v>78</v>
      </c>
      <c r="E7" s="10">
        <f>'FY27'!S7</f>
        <v>104</v>
      </c>
      <c r="F7" s="10">
        <f>'FY28'!S7</f>
        <v>104</v>
      </c>
      <c r="G7" s="10">
        <f>'FY29'!S7</f>
        <v>104</v>
      </c>
      <c r="H7" s="10">
        <f>'FY30'!S7</f>
        <v>104</v>
      </c>
      <c r="J7" s="303">
        <f t="shared" si="3"/>
        <v>0</v>
      </c>
      <c r="K7" s="303">
        <f t="shared" si="4"/>
        <v>0</v>
      </c>
      <c r="L7" s="303">
        <f>'FY26'!T7</f>
        <v>3</v>
      </c>
      <c r="M7" s="303">
        <f>'FY27'!T7</f>
        <v>4</v>
      </c>
      <c r="N7" s="303">
        <f>'FY28'!T7</f>
        <v>4</v>
      </c>
      <c r="O7" s="303">
        <f>'FY29'!T7</f>
        <v>4</v>
      </c>
      <c r="P7" s="303">
        <f>'FY30'!T7</f>
        <v>4</v>
      </c>
    </row>
    <row r="8" spans="1:16" x14ac:dyDescent="0.35">
      <c r="A8" s="12" t="s">
        <v>9</v>
      </c>
      <c r="B8" s="10">
        <v>0</v>
      </c>
      <c r="C8" s="10">
        <v>0</v>
      </c>
      <c r="D8" s="10">
        <f>'FY26'!S8</f>
        <v>52</v>
      </c>
      <c r="E8" s="10">
        <f>'FY27'!S8</f>
        <v>78</v>
      </c>
      <c r="F8" s="10">
        <f>'FY28'!S8</f>
        <v>104</v>
      </c>
      <c r="G8" s="10">
        <f>'FY29'!S8</f>
        <v>104</v>
      </c>
      <c r="H8" s="10">
        <f>'FY30'!S8</f>
        <v>104</v>
      </c>
      <c r="J8" s="303">
        <f t="shared" si="3"/>
        <v>0</v>
      </c>
      <c r="K8" s="303">
        <f t="shared" si="4"/>
        <v>0</v>
      </c>
      <c r="L8" s="303">
        <f>'FY26'!T8</f>
        <v>2</v>
      </c>
      <c r="M8" s="303">
        <f>'FY27'!T8</f>
        <v>3</v>
      </c>
      <c r="N8" s="303">
        <f>'FY28'!T8</f>
        <v>4</v>
      </c>
      <c r="O8" s="303">
        <f>'FY29'!T8</f>
        <v>4</v>
      </c>
      <c r="P8" s="303">
        <f>'FY30'!T8</f>
        <v>4</v>
      </c>
    </row>
    <row r="9" spans="1:16" x14ac:dyDescent="0.35">
      <c r="A9" s="12" t="s">
        <v>10</v>
      </c>
      <c r="B9" s="10">
        <v>0</v>
      </c>
      <c r="C9" s="10">
        <v>0</v>
      </c>
      <c r="D9" s="10">
        <f>'FY26'!S9</f>
        <v>52</v>
      </c>
      <c r="E9" s="10">
        <f>'FY27'!S9</f>
        <v>52</v>
      </c>
      <c r="F9" s="10">
        <f>'FY28'!S9</f>
        <v>78</v>
      </c>
      <c r="G9" s="10">
        <f>'FY29'!S9</f>
        <v>104</v>
      </c>
      <c r="H9" s="10">
        <f>'FY30'!S9</f>
        <v>104</v>
      </c>
      <c r="J9" s="303">
        <f t="shared" si="3"/>
        <v>0</v>
      </c>
      <c r="K9" s="303">
        <f t="shared" si="4"/>
        <v>0</v>
      </c>
      <c r="L9" s="303">
        <f>'FY26'!T9</f>
        <v>2</v>
      </c>
      <c r="M9" s="303">
        <f>'FY27'!T9</f>
        <v>2</v>
      </c>
      <c r="N9" s="303">
        <f>'FY28'!T9</f>
        <v>3</v>
      </c>
      <c r="O9" s="303">
        <f>'FY29'!T9</f>
        <v>4</v>
      </c>
      <c r="P9" s="303">
        <f>'FY30'!T9</f>
        <v>4</v>
      </c>
    </row>
    <row r="10" spans="1:16" x14ac:dyDescent="0.35">
      <c r="A10" s="12" t="s">
        <v>11</v>
      </c>
      <c r="B10" s="10">
        <v>0</v>
      </c>
      <c r="C10" s="10">
        <v>0</v>
      </c>
      <c r="D10" s="10">
        <f>'FY26'!S10</f>
        <v>124</v>
      </c>
      <c r="E10" s="10">
        <f>'FY27'!S10</f>
        <v>124</v>
      </c>
      <c r="F10" s="10">
        <f>'FY28'!S10</f>
        <v>150</v>
      </c>
      <c r="G10" s="10">
        <f>'FY29'!S10</f>
        <v>150</v>
      </c>
      <c r="H10" s="10">
        <f>'FY30'!S10</f>
        <v>150</v>
      </c>
      <c r="J10" s="303">
        <f t="shared" si="3"/>
        <v>0</v>
      </c>
      <c r="K10" s="303">
        <f t="shared" si="4"/>
        <v>0</v>
      </c>
      <c r="L10" s="303">
        <f>'FY26'!T10</f>
        <v>4</v>
      </c>
      <c r="M10" s="303">
        <f>'FY27'!T10</f>
        <v>4</v>
      </c>
      <c r="N10" s="303">
        <f>'FY28'!T10</f>
        <v>5</v>
      </c>
      <c r="O10" s="303">
        <f>'FY29'!T10</f>
        <v>5</v>
      </c>
      <c r="P10" s="303">
        <f>'FY30'!T10</f>
        <v>5</v>
      </c>
    </row>
    <row r="11" spans="1:16" x14ac:dyDescent="0.35">
      <c r="A11" s="12" t="s">
        <v>12</v>
      </c>
      <c r="B11" s="10">
        <v>0</v>
      </c>
      <c r="C11" s="10">
        <v>0</v>
      </c>
      <c r="D11" s="10">
        <f>'FY26'!S11</f>
        <v>93</v>
      </c>
      <c r="E11" s="10">
        <f>'FY27'!S11</f>
        <v>124</v>
      </c>
      <c r="F11" s="10">
        <f>'FY28'!S11</f>
        <v>124</v>
      </c>
      <c r="G11" s="10">
        <f>'FY29'!S11</f>
        <v>150</v>
      </c>
      <c r="H11" s="10">
        <f>'FY30'!S11</f>
        <v>150</v>
      </c>
      <c r="J11" s="303">
        <f t="shared" si="3"/>
        <v>0</v>
      </c>
      <c r="K11" s="303">
        <f t="shared" si="4"/>
        <v>0</v>
      </c>
      <c r="L11" s="303">
        <f>'FY26'!T11</f>
        <v>3</v>
      </c>
      <c r="M11" s="303">
        <f>'FY27'!T11</f>
        <v>4</v>
      </c>
      <c r="N11" s="303">
        <f>'FY28'!T11</f>
        <v>4</v>
      </c>
      <c r="O11" s="303">
        <f>'FY29'!T11</f>
        <v>5</v>
      </c>
      <c r="P11" s="303">
        <f>'FY30'!T11</f>
        <v>5</v>
      </c>
    </row>
    <row r="12" spans="1:16" x14ac:dyDescent="0.35">
      <c r="A12" s="12" t="s">
        <v>13</v>
      </c>
      <c r="B12" s="10">
        <v>0</v>
      </c>
      <c r="C12" s="10">
        <v>0</v>
      </c>
      <c r="D12" s="10">
        <f>'FY26'!S12</f>
        <v>60</v>
      </c>
      <c r="E12" s="10">
        <f>'FY27'!S12</f>
        <v>93</v>
      </c>
      <c r="F12" s="10">
        <f>'FY28'!S12</f>
        <v>124</v>
      </c>
      <c r="G12" s="10">
        <f>'FY29'!S12</f>
        <v>124</v>
      </c>
      <c r="H12" s="10">
        <f>'FY30'!S12</f>
        <v>150</v>
      </c>
      <c r="J12" s="303">
        <f t="shared" si="3"/>
        <v>0</v>
      </c>
      <c r="K12" s="303">
        <f t="shared" si="4"/>
        <v>0</v>
      </c>
      <c r="L12" s="303">
        <f>'FY26'!T12</f>
        <v>2</v>
      </c>
      <c r="M12" s="303">
        <f>'FY27'!T12</f>
        <v>3</v>
      </c>
      <c r="N12" s="303">
        <f>'FY28'!T12</f>
        <v>4</v>
      </c>
      <c r="O12" s="303">
        <f>'FY29'!T12</f>
        <v>4</v>
      </c>
      <c r="P12" s="303">
        <f>'FY30'!T12</f>
        <v>5</v>
      </c>
    </row>
    <row r="13" spans="1:16" x14ac:dyDescent="0.35">
      <c r="A13" s="12" t="s">
        <v>14</v>
      </c>
      <c r="B13" s="10">
        <v>0</v>
      </c>
      <c r="C13" s="10">
        <v>0</v>
      </c>
      <c r="D13" s="10">
        <f>'FY26'!S13</f>
        <v>0</v>
      </c>
      <c r="E13" s="10">
        <f>'FY27'!S13</f>
        <v>60</v>
      </c>
      <c r="F13" s="10">
        <f>'FY28'!S13</f>
        <v>93</v>
      </c>
      <c r="G13" s="10">
        <f>'FY29'!S13</f>
        <v>120</v>
      </c>
      <c r="H13" s="10">
        <f>'FY30'!S13</f>
        <v>120</v>
      </c>
      <c r="J13" s="303">
        <f t="shared" si="3"/>
        <v>0</v>
      </c>
      <c r="K13" s="303">
        <f t="shared" si="4"/>
        <v>0</v>
      </c>
      <c r="L13" s="303">
        <f>'FY26'!T13</f>
        <v>0</v>
      </c>
      <c r="M13" s="303">
        <f>'FY27'!T13</f>
        <v>2</v>
      </c>
      <c r="N13" s="303">
        <f>'FY28'!T13</f>
        <v>3</v>
      </c>
      <c r="O13" s="303">
        <f>'FY29'!T13</f>
        <v>4</v>
      </c>
      <c r="P13" s="303">
        <f>'FY30'!T13</f>
        <v>4</v>
      </c>
    </row>
    <row r="14" spans="1:16" x14ac:dyDescent="0.35">
      <c r="A14" s="12" t="s">
        <v>15</v>
      </c>
      <c r="B14" s="10">
        <v>0</v>
      </c>
      <c r="C14" s="10">
        <v>0</v>
      </c>
      <c r="D14" s="10">
        <f>'FY26'!S14</f>
        <v>0</v>
      </c>
      <c r="E14" s="10">
        <f>'FY27'!S14</f>
        <v>0</v>
      </c>
      <c r="F14" s="10">
        <f>'FY28'!S14</f>
        <v>60</v>
      </c>
      <c r="G14" s="10">
        <f>'FY29'!S14</f>
        <v>90</v>
      </c>
      <c r="H14" s="10">
        <f>'FY30'!S14</f>
        <v>120</v>
      </c>
      <c r="J14" s="303">
        <f t="shared" si="3"/>
        <v>0</v>
      </c>
      <c r="K14" s="303">
        <f t="shared" si="4"/>
        <v>0</v>
      </c>
      <c r="L14" s="303">
        <f>'FY26'!T14</f>
        <v>0</v>
      </c>
      <c r="M14" s="303">
        <f>'FY27'!T14</f>
        <v>0</v>
      </c>
      <c r="N14" s="303">
        <f>'FY28'!T14</f>
        <v>2</v>
      </c>
      <c r="O14" s="303">
        <f>'FY29'!T14</f>
        <v>3</v>
      </c>
      <c r="P14" s="303">
        <f>'FY30'!T14</f>
        <v>4</v>
      </c>
    </row>
    <row r="15" spans="1:16" x14ac:dyDescent="0.35">
      <c r="A15" s="12" t="s">
        <v>16</v>
      </c>
      <c r="B15" s="10">
        <v>0</v>
      </c>
      <c r="C15" s="10">
        <v>0</v>
      </c>
      <c r="D15" s="10">
        <f>'FY26'!S15</f>
        <v>0</v>
      </c>
      <c r="E15" s="10">
        <f>'FY27'!S15</f>
        <v>0</v>
      </c>
      <c r="F15" s="10">
        <f>'FY28'!S15</f>
        <v>0</v>
      </c>
      <c r="G15" s="10">
        <f>'FY29'!S15</f>
        <v>60</v>
      </c>
      <c r="H15" s="10">
        <f>'FY30'!S15</f>
        <v>90</v>
      </c>
      <c r="J15" s="303">
        <f t="shared" si="3"/>
        <v>0</v>
      </c>
      <c r="K15" s="303">
        <f t="shared" si="4"/>
        <v>0</v>
      </c>
      <c r="L15" s="303">
        <f>'FY26'!T15</f>
        <v>0</v>
      </c>
      <c r="M15" s="303">
        <f>'FY27'!T15</f>
        <v>0</v>
      </c>
      <c r="N15" s="303">
        <f>'FY28'!T15</f>
        <v>0</v>
      </c>
      <c r="O15" s="303">
        <f>'FY29'!T15</f>
        <v>2</v>
      </c>
      <c r="P15" s="303">
        <f>'FY30'!T15</f>
        <v>3</v>
      </c>
    </row>
    <row r="16" spans="1:16" x14ac:dyDescent="0.35">
      <c r="A16" s="12" t="s">
        <v>17</v>
      </c>
      <c r="B16" s="10">
        <v>0</v>
      </c>
      <c r="C16" s="10">
        <v>0</v>
      </c>
      <c r="D16" s="10">
        <f>'FY26'!S16</f>
        <v>0</v>
      </c>
      <c r="E16" s="10">
        <f>'FY27'!S16</f>
        <v>0</v>
      </c>
      <c r="F16" s="10">
        <f>'FY28'!S16</f>
        <v>0</v>
      </c>
      <c r="G16" s="10">
        <f>'FY29'!S16</f>
        <v>0</v>
      </c>
      <c r="H16" s="10">
        <f>'FY30'!S16</f>
        <v>60</v>
      </c>
      <c r="J16" s="303">
        <f t="shared" si="3"/>
        <v>0</v>
      </c>
      <c r="K16" s="303">
        <f t="shared" si="4"/>
        <v>0</v>
      </c>
      <c r="L16" s="303">
        <f>'FY26'!T16</f>
        <v>0</v>
      </c>
      <c r="M16" s="303">
        <f>'FY27'!T16</f>
        <v>0</v>
      </c>
      <c r="N16" s="303">
        <f>'FY28'!T16</f>
        <v>0</v>
      </c>
      <c r="O16" s="303">
        <f>'FY29'!T16</f>
        <v>0</v>
      </c>
      <c r="P16" s="303">
        <f>'FY30'!T16</f>
        <v>3</v>
      </c>
    </row>
    <row r="17" spans="1:16" x14ac:dyDescent="0.35">
      <c r="A17" s="104" t="s">
        <v>4</v>
      </c>
      <c r="B17" s="9">
        <f t="shared" ref="B17:G17" si="5">SUM(B4:B16)</f>
        <v>0</v>
      </c>
      <c r="C17" s="9">
        <f t="shared" ref="C17" si="6">SUM(C4:C16)</f>
        <v>0</v>
      </c>
      <c r="D17" s="9">
        <f t="shared" si="5"/>
        <v>767</v>
      </c>
      <c r="E17" s="9">
        <f t="shared" si="5"/>
        <v>943</v>
      </c>
      <c r="F17" s="9">
        <f t="shared" si="5"/>
        <v>1145</v>
      </c>
      <c r="G17" s="9">
        <f t="shared" si="5"/>
        <v>1314</v>
      </c>
      <c r="H17" s="9">
        <f t="shared" ref="H17" si="7">SUM(H4:H16)</f>
        <v>1460</v>
      </c>
      <c r="J17" s="303">
        <f>SUM(J4:J16)</f>
        <v>0</v>
      </c>
      <c r="K17" s="303">
        <f>SUM(K4:K16)</f>
        <v>0</v>
      </c>
      <c r="L17" s="303">
        <f t="shared" ref="L17:O17" si="8">SUM(L4:L16)</f>
        <v>28</v>
      </c>
      <c r="M17" s="303">
        <f t="shared" si="8"/>
        <v>34</v>
      </c>
      <c r="N17" s="303">
        <f t="shared" si="8"/>
        <v>41</v>
      </c>
      <c r="O17" s="303">
        <f t="shared" si="8"/>
        <v>47</v>
      </c>
      <c r="P17" s="303">
        <f t="shared" ref="P17" si="9">SUM(P4:P16)</f>
        <v>53</v>
      </c>
    </row>
    <row r="18" spans="1:16" x14ac:dyDescent="0.35">
      <c r="A18" s="12"/>
      <c r="B18" s="13"/>
      <c r="C18" s="13"/>
      <c r="D18" s="13"/>
      <c r="E18" s="13"/>
      <c r="F18" s="13"/>
      <c r="G18" s="13"/>
      <c r="H18" s="13"/>
      <c r="J18" t="b">
        <f t="shared" ref="J18:P18" si="10">B27=J17</f>
        <v>1</v>
      </c>
      <c r="K18" t="b">
        <f t="shared" si="10"/>
        <v>1</v>
      </c>
      <c r="L18" t="b">
        <f t="shared" si="10"/>
        <v>1</v>
      </c>
      <c r="M18" t="b">
        <f t="shared" si="10"/>
        <v>1</v>
      </c>
      <c r="N18" t="b">
        <f t="shared" si="10"/>
        <v>1</v>
      </c>
      <c r="O18" t="b">
        <f t="shared" si="10"/>
        <v>1</v>
      </c>
      <c r="P18" t="b">
        <f t="shared" si="10"/>
        <v>1</v>
      </c>
    </row>
    <row r="19" spans="1:16" x14ac:dyDescent="0.35">
      <c r="A19" s="14" t="s">
        <v>18</v>
      </c>
      <c r="B19" s="15" t="str">
        <f t="shared" ref="B19:G19" si="11">B1</f>
        <v>FY24 (23-24)</v>
      </c>
      <c r="C19" s="15" t="str">
        <f t="shared" ref="C19" si="12">C1</f>
        <v>FY25 (24-25)</v>
      </c>
      <c r="D19" s="15" t="str">
        <f t="shared" si="11"/>
        <v>FY26 (25-26)</v>
      </c>
      <c r="E19" s="15" t="str">
        <f t="shared" si="11"/>
        <v>FY27 (26-27)</v>
      </c>
      <c r="F19" s="15" t="str">
        <f t="shared" si="11"/>
        <v>FY28 (27-28)</v>
      </c>
      <c r="G19" s="15" t="str">
        <f t="shared" si="11"/>
        <v>FY29 (28-29)</v>
      </c>
      <c r="H19" s="15" t="str">
        <f t="shared" ref="H19" si="13">H1</f>
        <v>FY30 (29-30)</v>
      </c>
    </row>
    <row r="20" spans="1:16" x14ac:dyDescent="0.35">
      <c r="A20" s="12" t="s">
        <v>19</v>
      </c>
      <c r="B20" s="10">
        <v>0</v>
      </c>
      <c r="C20" s="10">
        <v>0</v>
      </c>
      <c r="D20" s="10">
        <f>'FY26'!S20</f>
        <v>90</v>
      </c>
      <c r="E20" s="10">
        <f>'FY27'!S20</f>
        <v>92</v>
      </c>
      <c r="F20" s="10">
        <f>'FY28'!S20</f>
        <v>113</v>
      </c>
      <c r="G20" s="10">
        <f>'FY29'!S20</f>
        <v>137</v>
      </c>
      <c r="H20" s="10">
        <f>'FY30'!S20</f>
        <v>157</v>
      </c>
    </row>
    <row r="21" spans="1:16" x14ac:dyDescent="0.35">
      <c r="A21" s="12" t="s">
        <v>21</v>
      </c>
      <c r="B21" s="10">
        <v>0</v>
      </c>
      <c r="C21" s="10">
        <v>0</v>
      </c>
      <c r="D21" s="10">
        <f>'FY26'!S21</f>
        <v>0</v>
      </c>
      <c r="E21" s="10">
        <f>'FY27'!S21</f>
        <v>237</v>
      </c>
      <c r="F21" s="10">
        <f>'FY28'!S21</f>
        <v>292</v>
      </c>
      <c r="G21" s="10">
        <f>'FY29'!S21</f>
        <v>355</v>
      </c>
      <c r="H21" s="10">
        <f>'FY30'!S21</f>
        <v>407</v>
      </c>
    </row>
    <row r="22" spans="1:16" x14ac:dyDescent="0.35">
      <c r="A22" s="12" t="s">
        <v>22</v>
      </c>
      <c r="B22" s="10">
        <v>0</v>
      </c>
      <c r="C22" s="10">
        <v>0</v>
      </c>
      <c r="D22" s="10">
        <f>'FY26'!S22</f>
        <v>0</v>
      </c>
      <c r="E22" s="10">
        <f>'FY27'!S22</f>
        <v>0</v>
      </c>
      <c r="F22" s="10">
        <f>'FY28'!S22</f>
        <v>0</v>
      </c>
      <c r="G22" s="10">
        <f>'FY29'!S22</f>
        <v>0</v>
      </c>
      <c r="H22" s="10">
        <f>'FY30'!S22</f>
        <v>0</v>
      </c>
    </row>
    <row r="23" spans="1:16" x14ac:dyDescent="0.35">
      <c r="A23" s="12" t="s">
        <v>23</v>
      </c>
      <c r="B23" s="18"/>
      <c r="C23" s="18"/>
      <c r="D23" s="18">
        <f>'FY26'!S23</f>
        <v>1</v>
      </c>
      <c r="E23" s="18">
        <f>'FY27'!S23</f>
        <v>1</v>
      </c>
      <c r="F23" s="18">
        <f>'FY28'!S23</f>
        <v>1</v>
      </c>
      <c r="G23" s="18">
        <f>'FY29'!S23</f>
        <v>1</v>
      </c>
      <c r="H23" s="18">
        <f>'FY30'!S23</f>
        <v>1</v>
      </c>
    </row>
    <row r="24" spans="1:16" x14ac:dyDescent="0.35">
      <c r="A24" s="12" t="s">
        <v>24</v>
      </c>
      <c r="B24" s="10">
        <v>0</v>
      </c>
      <c r="C24" s="10">
        <v>0</v>
      </c>
      <c r="D24" s="10">
        <f>'FY26'!S24</f>
        <v>0</v>
      </c>
      <c r="E24" s="10">
        <f>'FY27'!S24</f>
        <v>8</v>
      </c>
      <c r="F24" s="10">
        <f>'FY28'!S24</f>
        <v>10</v>
      </c>
      <c r="G24" s="10">
        <f>'FY29'!S24</f>
        <v>12</v>
      </c>
      <c r="H24" s="10">
        <f>'FY30'!S24</f>
        <v>13</v>
      </c>
    </row>
    <row r="25" spans="1:16" x14ac:dyDescent="0.35">
      <c r="A25" s="12"/>
      <c r="B25" s="5"/>
      <c r="C25" s="5"/>
      <c r="D25" s="5"/>
      <c r="E25" s="5"/>
      <c r="F25" s="5"/>
      <c r="G25" s="5"/>
      <c r="H25" s="5"/>
    </row>
    <row r="26" spans="1:16" x14ac:dyDescent="0.35">
      <c r="A26" s="20" t="s">
        <v>25</v>
      </c>
      <c r="B26" s="15" t="str">
        <f t="shared" ref="B26:G26" si="14">B1</f>
        <v>FY24 (23-24)</v>
      </c>
      <c r="C26" s="15" t="str">
        <f t="shared" ref="C26" si="15">C1</f>
        <v>FY25 (24-25)</v>
      </c>
      <c r="D26" s="15" t="str">
        <f t="shared" si="14"/>
        <v>FY26 (25-26)</v>
      </c>
      <c r="E26" s="15" t="str">
        <f t="shared" si="14"/>
        <v>FY27 (26-27)</v>
      </c>
      <c r="F26" s="15" t="str">
        <f t="shared" si="14"/>
        <v>FY28 (27-28)</v>
      </c>
      <c r="G26" s="15" t="str">
        <f t="shared" si="14"/>
        <v>FY29 (28-29)</v>
      </c>
      <c r="H26" s="15" t="str">
        <f t="shared" ref="H26" si="16">H1</f>
        <v>FY30 (29-30)</v>
      </c>
    </row>
    <row r="27" spans="1:16" x14ac:dyDescent="0.35">
      <c r="A27" s="25" t="s">
        <v>26</v>
      </c>
      <c r="B27" s="22">
        <v>0</v>
      </c>
      <c r="C27" s="22">
        <v>0</v>
      </c>
      <c r="D27" s="22">
        <f>'FY26'!S27</f>
        <v>28</v>
      </c>
      <c r="E27" s="22">
        <f>'FY27'!S27</f>
        <v>34</v>
      </c>
      <c r="F27" s="22">
        <f>'FY28'!S27</f>
        <v>41</v>
      </c>
      <c r="G27" s="22">
        <f>'FY29'!S27</f>
        <v>47</v>
      </c>
      <c r="H27" s="22">
        <f>'FY30'!S27</f>
        <v>53</v>
      </c>
    </row>
    <row r="28" spans="1:16" x14ac:dyDescent="0.35">
      <c r="A28" s="25" t="s">
        <v>27</v>
      </c>
      <c r="B28" s="22">
        <v>0</v>
      </c>
      <c r="C28" s="22">
        <v>0</v>
      </c>
      <c r="D28" s="22">
        <f>'FY26'!S28</f>
        <v>3</v>
      </c>
      <c r="E28" s="22">
        <f>'FY27'!S28</f>
        <v>3.5</v>
      </c>
      <c r="F28" s="22">
        <f>'FY28'!S28</f>
        <v>4.5</v>
      </c>
      <c r="G28" s="22">
        <f>'FY29'!S28</f>
        <v>5.5</v>
      </c>
      <c r="H28" s="22">
        <f>'FY30'!S28</f>
        <v>7</v>
      </c>
    </row>
    <row r="29" spans="1:16" x14ac:dyDescent="0.35">
      <c r="A29" s="25" t="s">
        <v>28</v>
      </c>
      <c r="B29" s="22">
        <v>0</v>
      </c>
      <c r="C29" s="22">
        <v>0</v>
      </c>
      <c r="D29" s="22">
        <f>'FY26'!S29</f>
        <v>1</v>
      </c>
      <c r="E29" s="22">
        <f>'FY27'!S29</f>
        <v>2</v>
      </c>
      <c r="F29" s="22">
        <f>'FY28'!S29</f>
        <v>2</v>
      </c>
      <c r="G29" s="22">
        <f>'FY29'!S29</f>
        <v>2</v>
      </c>
      <c r="H29" s="22">
        <f>'FY30'!S29</f>
        <v>2</v>
      </c>
    </row>
    <row r="30" spans="1:16" x14ac:dyDescent="0.35">
      <c r="A30" s="25" t="s">
        <v>29</v>
      </c>
      <c r="B30" s="22">
        <v>0</v>
      </c>
      <c r="C30" s="22">
        <v>0</v>
      </c>
      <c r="D30" s="22">
        <f>'FY26'!S30</f>
        <v>1</v>
      </c>
      <c r="E30" s="22">
        <f>'FY27'!S30</f>
        <v>2</v>
      </c>
      <c r="F30" s="22">
        <f>'FY28'!S30</f>
        <v>2</v>
      </c>
      <c r="G30" s="22">
        <f>'FY29'!S30</f>
        <v>2</v>
      </c>
      <c r="H30" s="22">
        <f>'FY30'!S30</f>
        <v>2</v>
      </c>
    </row>
    <row r="31" spans="1:16" x14ac:dyDescent="0.35">
      <c r="A31" s="25" t="s">
        <v>30</v>
      </c>
      <c r="B31" s="22">
        <v>0</v>
      </c>
      <c r="C31" s="22">
        <v>0</v>
      </c>
      <c r="D31" s="22">
        <f>'FY26'!S31</f>
        <v>2</v>
      </c>
      <c r="E31" s="22">
        <f>'FY27'!S31</f>
        <v>2</v>
      </c>
      <c r="F31" s="22">
        <f>'FY28'!S31</f>
        <v>2</v>
      </c>
      <c r="G31" s="22">
        <f>'FY29'!S31</f>
        <v>2</v>
      </c>
      <c r="H31" s="22">
        <f>'FY30'!S31</f>
        <v>2</v>
      </c>
    </row>
    <row r="32" spans="1:16" x14ac:dyDescent="0.35">
      <c r="A32" s="100" t="s">
        <v>31</v>
      </c>
      <c r="B32" s="22">
        <v>0</v>
      </c>
      <c r="C32" s="22">
        <v>0</v>
      </c>
      <c r="D32" s="22">
        <f>'FY26'!S32</f>
        <v>0</v>
      </c>
      <c r="E32" s="22">
        <f>'FY27'!S32</f>
        <v>0</v>
      </c>
      <c r="F32" s="22">
        <f>'FY28'!S32</f>
        <v>0</v>
      </c>
      <c r="G32" s="22">
        <f>'FY29'!S32</f>
        <v>0</v>
      </c>
      <c r="H32" s="22">
        <f>'FY30'!S32</f>
        <v>0</v>
      </c>
    </row>
    <row r="33" spans="1:8" x14ac:dyDescent="0.35">
      <c r="A33" s="100" t="s">
        <v>32</v>
      </c>
      <c r="B33" s="22">
        <v>0</v>
      </c>
      <c r="C33" s="22">
        <v>0</v>
      </c>
      <c r="D33" s="22">
        <f>'FY26'!S33</f>
        <v>0</v>
      </c>
      <c r="E33" s="22">
        <f>'FY27'!S33</f>
        <v>0</v>
      </c>
      <c r="F33" s="22">
        <f>'FY28'!S33</f>
        <v>0</v>
      </c>
      <c r="G33" s="22">
        <f>'FY29'!S33</f>
        <v>0</v>
      </c>
      <c r="H33" s="22">
        <f>'FY30'!S33</f>
        <v>0</v>
      </c>
    </row>
    <row r="34" spans="1:8" x14ac:dyDescent="0.35">
      <c r="A34" s="100" t="s">
        <v>33</v>
      </c>
      <c r="B34" s="22">
        <v>0</v>
      </c>
      <c r="C34" s="22">
        <v>0</v>
      </c>
      <c r="D34" s="22">
        <f>'FY26'!S34</f>
        <v>0.5</v>
      </c>
      <c r="E34" s="22">
        <f>'FY27'!S34</f>
        <v>0</v>
      </c>
      <c r="F34" s="22">
        <f>'FY28'!S34</f>
        <v>1</v>
      </c>
      <c r="G34" s="22">
        <f>'FY29'!S34</f>
        <v>2</v>
      </c>
      <c r="H34" s="22">
        <f>'FY30'!S34</f>
        <v>3</v>
      </c>
    </row>
    <row r="35" spans="1:8" x14ac:dyDescent="0.35">
      <c r="A35" s="26" t="s">
        <v>35</v>
      </c>
      <c r="B35" s="22">
        <v>0</v>
      </c>
      <c r="C35" s="22">
        <v>0</v>
      </c>
      <c r="D35" s="22">
        <f>'FY26'!S35</f>
        <v>0</v>
      </c>
      <c r="E35" s="22">
        <f>'FY27'!S35</f>
        <v>0</v>
      </c>
      <c r="F35" s="22">
        <f>'FY28'!S35</f>
        <v>0</v>
      </c>
      <c r="G35" s="22">
        <f>'FY29'!S35</f>
        <v>0</v>
      </c>
      <c r="H35" s="22">
        <f>'FY30'!S35</f>
        <v>0</v>
      </c>
    </row>
    <row r="36" spans="1:8" x14ac:dyDescent="0.35">
      <c r="A36" s="20" t="s">
        <v>37</v>
      </c>
      <c r="B36" s="24">
        <f>SUM(B27:B35)</f>
        <v>0</v>
      </c>
      <c r="C36" s="24">
        <f>SUM(C27:C35)</f>
        <v>0</v>
      </c>
      <c r="D36" s="24">
        <f t="shared" ref="D36:G36" si="17">SUM(D27:D35)</f>
        <v>35.5</v>
      </c>
      <c r="E36" s="24">
        <f t="shared" si="17"/>
        <v>43.5</v>
      </c>
      <c r="F36" s="24">
        <f t="shared" si="17"/>
        <v>52.5</v>
      </c>
      <c r="G36" s="24">
        <f t="shared" si="17"/>
        <v>60.5</v>
      </c>
      <c r="H36" s="24">
        <f t="shared" ref="H36" si="18">SUM(H27:H35)</f>
        <v>69</v>
      </c>
    </row>
    <row r="37" spans="1:8" x14ac:dyDescent="0.35">
      <c r="A37" s="23"/>
      <c r="B37" s="5"/>
      <c r="C37" s="5"/>
      <c r="D37" s="5"/>
      <c r="E37" s="5"/>
      <c r="F37" s="5"/>
      <c r="G37" s="5"/>
      <c r="H37" s="5"/>
    </row>
    <row r="38" spans="1:8" x14ac:dyDescent="0.35">
      <c r="A38" s="20" t="s">
        <v>39</v>
      </c>
      <c r="B38" s="15" t="str">
        <f t="shared" ref="B38:G38" si="19">B1</f>
        <v>FY24 (23-24)</v>
      </c>
      <c r="C38" s="15" t="str">
        <f t="shared" ref="C38" si="20">C1</f>
        <v>FY25 (24-25)</v>
      </c>
      <c r="D38" s="15" t="str">
        <f t="shared" si="19"/>
        <v>FY26 (25-26)</v>
      </c>
      <c r="E38" s="15" t="str">
        <f t="shared" si="19"/>
        <v>FY27 (26-27)</v>
      </c>
      <c r="F38" s="15" t="str">
        <f t="shared" si="19"/>
        <v>FY28 (27-28)</v>
      </c>
      <c r="G38" s="15" t="str">
        <f t="shared" si="19"/>
        <v>FY29 (28-29)</v>
      </c>
      <c r="H38" s="15" t="str">
        <f t="shared" ref="H38" si="21">H1</f>
        <v>FY30 (29-30)</v>
      </c>
    </row>
    <row r="39" spans="1:8" x14ac:dyDescent="0.35">
      <c r="A39" s="25" t="s">
        <v>40</v>
      </c>
      <c r="B39" s="22">
        <v>0</v>
      </c>
      <c r="C39" s="22">
        <v>0</v>
      </c>
      <c r="D39" s="22">
        <f>'FY26'!S39</f>
        <v>1</v>
      </c>
      <c r="E39" s="22">
        <f>'FY27'!S39</f>
        <v>1</v>
      </c>
      <c r="F39" s="22">
        <f>'FY28'!S39</f>
        <v>1</v>
      </c>
      <c r="G39" s="22">
        <f>'FY29'!S39</f>
        <v>1</v>
      </c>
      <c r="H39" s="22">
        <f>'FY30'!S39</f>
        <v>1</v>
      </c>
    </row>
    <row r="40" spans="1:8" x14ac:dyDescent="0.35">
      <c r="A40" s="25" t="s">
        <v>41</v>
      </c>
      <c r="B40" s="22">
        <v>0</v>
      </c>
      <c r="C40" s="22">
        <v>0</v>
      </c>
      <c r="D40" s="22">
        <f>'FY26'!S40</f>
        <v>1</v>
      </c>
      <c r="E40" s="22">
        <f>'FY27'!S40</f>
        <v>2</v>
      </c>
      <c r="F40" s="22">
        <f>'FY28'!S40</f>
        <v>2</v>
      </c>
      <c r="G40" s="22">
        <f>'FY29'!S40</f>
        <v>3</v>
      </c>
      <c r="H40" s="22">
        <f>'FY30'!S40</f>
        <v>3</v>
      </c>
    </row>
    <row r="41" spans="1:8" x14ac:dyDescent="0.35">
      <c r="A41" s="26" t="s">
        <v>34</v>
      </c>
      <c r="B41" s="22">
        <v>0</v>
      </c>
      <c r="C41" s="22">
        <v>0</v>
      </c>
      <c r="D41" s="22">
        <f>'FY26'!S41</f>
        <v>1</v>
      </c>
      <c r="E41" s="22">
        <f>'FY27'!S41</f>
        <v>1</v>
      </c>
      <c r="F41" s="22">
        <f>'FY28'!S41</f>
        <v>1</v>
      </c>
      <c r="G41" s="22">
        <f>'FY29'!S41</f>
        <v>1</v>
      </c>
      <c r="H41" s="22">
        <f>'FY30'!S41</f>
        <v>1</v>
      </c>
    </row>
    <row r="42" spans="1:8" x14ac:dyDescent="0.35">
      <c r="A42" s="27" t="s">
        <v>36</v>
      </c>
      <c r="B42" s="22">
        <v>0</v>
      </c>
      <c r="C42" s="22">
        <v>0</v>
      </c>
      <c r="D42" s="22">
        <f>'FY26'!S42</f>
        <v>0</v>
      </c>
      <c r="E42" s="22">
        <f>'FY27'!S42</f>
        <v>0</v>
      </c>
      <c r="F42" s="22">
        <f>'FY28'!S42</f>
        <v>0</v>
      </c>
      <c r="G42" s="22">
        <f>'FY29'!S42</f>
        <v>0</v>
      </c>
      <c r="H42" s="22">
        <f>'FY30'!S42</f>
        <v>0</v>
      </c>
    </row>
    <row r="43" spans="1:8" x14ac:dyDescent="0.35">
      <c r="A43" s="27" t="s">
        <v>38</v>
      </c>
      <c r="B43" s="22">
        <v>0</v>
      </c>
      <c r="C43" s="22">
        <v>0</v>
      </c>
      <c r="D43" s="22">
        <f>'FY26'!S43</f>
        <v>0</v>
      </c>
      <c r="E43" s="22">
        <f>'FY27'!S43</f>
        <v>1</v>
      </c>
      <c r="F43" s="22">
        <f>'FY28'!S43</f>
        <v>2</v>
      </c>
      <c r="G43" s="22">
        <f>'FY29'!S43</f>
        <v>2</v>
      </c>
      <c r="H43" s="22">
        <f>'FY30'!S43</f>
        <v>2</v>
      </c>
    </row>
    <row r="44" spans="1:8" x14ac:dyDescent="0.35">
      <c r="A44" s="27" t="s">
        <v>46</v>
      </c>
      <c r="B44" s="22">
        <v>0</v>
      </c>
      <c r="C44" s="22">
        <v>0</v>
      </c>
      <c r="D44" s="22">
        <f>'FY26'!S44</f>
        <v>0</v>
      </c>
      <c r="E44" s="22">
        <f>'FY27'!S44</f>
        <v>1</v>
      </c>
      <c r="F44" s="22">
        <f>'FY28'!S44</f>
        <v>2</v>
      </c>
      <c r="G44" s="22">
        <f>'FY29'!S44</f>
        <v>2</v>
      </c>
      <c r="H44" s="22">
        <f>'FY30'!S44</f>
        <v>3</v>
      </c>
    </row>
    <row r="45" spans="1:8" x14ac:dyDescent="0.35">
      <c r="A45" s="27" t="s">
        <v>48</v>
      </c>
      <c r="B45" s="22">
        <v>0</v>
      </c>
      <c r="C45" s="22">
        <v>0</v>
      </c>
      <c r="D45" s="22">
        <f>'FY26'!S45</f>
        <v>0</v>
      </c>
      <c r="E45" s="22">
        <f>'FY27'!S45</f>
        <v>0</v>
      </c>
      <c r="F45" s="22">
        <f>'FY28'!S45</f>
        <v>1</v>
      </c>
      <c r="G45" s="22">
        <f>'FY29'!S45</f>
        <v>1</v>
      </c>
      <c r="H45" s="22">
        <f>'FY30'!S45</f>
        <v>1</v>
      </c>
    </row>
    <row r="46" spans="1:8" x14ac:dyDescent="0.35">
      <c r="A46" s="25" t="s">
        <v>49</v>
      </c>
      <c r="B46" s="22">
        <v>0</v>
      </c>
      <c r="C46" s="22">
        <v>0</v>
      </c>
      <c r="D46" s="22">
        <f>'FY26'!S46</f>
        <v>1</v>
      </c>
      <c r="E46" s="22">
        <f>'FY27'!S46</f>
        <v>1</v>
      </c>
      <c r="F46" s="22">
        <f>'FY28'!S46</f>
        <v>1.5</v>
      </c>
      <c r="G46" s="22">
        <f>'FY29'!S46</f>
        <v>2</v>
      </c>
      <c r="H46" s="22">
        <f>'FY30'!S46</f>
        <v>2</v>
      </c>
    </row>
    <row r="47" spans="1:8" x14ac:dyDescent="0.35">
      <c r="A47" s="25" t="s">
        <v>50</v>
      </c>
      <c r="B47" s="22">
        <v>0</v>
      </c>
      <c r="C47" s="22">
        <v>0</v>
      </c>
      <c r="D47" s="22">
        <f>'FY26'!S47</f>
        <v>1</v>
      </c>
      <c r="E47" s="22">
        <f>'FY27'!S47</f>
        <v>1</v>
      </c>
      <c r="F47" s="22">
        <f>'FY28'!S47</f>
        <v>1</v>
      </c>
      <c r="G47" s="22">
        <f>'FY29'!S47</f>
        <v>1</v>
      </c>
      <c r="H47" s="22">
        <f>'FY30'!S47</f>
        <v>2</v>
      </c>
    </row>
    <row r="48" spans="1:8" x14ac:dyDescent="0.35">
      <c r="A48" s="25" t="s">
        <v>52</v>
      </c>
      <c r="B48" s="22">
        <v>0</v>
      </c>
      <c r="C48" s="22">
        <v>0</v>
      </c>
      <c r="D48" s="22">
        <f>'FY26'!S48</f>
        <v>0</v>
      </c>
      <c r="E48" s="22">
        <f>'FY27'!S48</f>
        <v>1</v>
      </c>
      <c r="F48" s="22">
        <f>'FY28'!S48</f>
        <v>1</v>
      </c>
      <c r="G48" s="22">
        <f>'FY29'!S48</f>
        <v>1</v>
      </c>
      <c r="H48" s="22">
        <f>'FY30'!S48</f>
        <v>1</v>
      </c>
    </row>
    <row r="49" spans="1:8" x14ac:dyDescent="0.35">
      <c r="A49" s="25" t="s">
        <v>53</v>
      </c>
      <c r="B49" s="22">
        <v>0</v>
      </c>
      <c r="C49" s="22">
        <v>0</v>
      </c>
      <c r="D49" s="22">
        <f>'FY26'!S49</f>
        <v>1</v>
      </c>
      <c r="E49" s="22">
        <f>'FY27'!S49</f>
        <v>1</v>
      </c>
      <c r="F49" s="22">
        <f>'FY28'!S49</f>
        <v>1.5</v>
      </c>
      <c r="G49" s="22">
        <f>'FY29'!S49</f>
        <v>1</v>
      </c>
      <c r="H49" s="22">
        <f>'FY30'!S49</f>
        <v>1</v>
      </c>
    </row>
    <row r="50" spans="1:8" x14ac:dyDescent="0.35">
      <c r="A50" s="25" t="s">
        <v>51</v>
      </c>
      <c r="B50" s="22">
        <v>0</v>
      </c>
      <c r="C50" s="22">
        <v>0</v>
      </c>
      <c r="D50" s="22">
        <f>'FY26'!S50</f>
        <v>5</v>
      </c>
      <c r="E50" s="22">
        <f>'FY27'!S50</f>
        <v>10</v>
      </c>
      <c r="F50" s="22">
        <f>'FY28'!S50</f>
        <v>12</v>
      </c>
      <c r="G50" s="22">
        <f>'FY29'!S50</f>
        <v>14</v>
      </c>
      <c r="H50" s="22">
        <f>'FY30'!S50</f>
        <v>19</v>
      </c>
    </row>
    <row r="51" spans="1:8" x14ac:dyDescent="0.35">
      <c r="A51" s="25" t="s">
        <v>54</v>
      </c>
      <c r="B51" s="22">
        <v>0</v>
      </c>
      <c r="C51" s="22">
        <v>0</v>
      </c>
      <c r="D51" s="22">
        <f>'FY26'!S51</f>
        <v>2</v>
      </c>
      <c r="E51" s="22">
        <f>'FY27'!S51</f>
        <v>2.5</v>
      </c>
      <c r="F51" s="22">
        <f>'FY28'!S51</f>
        <v>3</v>
      </c>
      <c r="G51" s="22">
        <f>'FY29'!S51</f>
        <v>5</v>
      </c>
      <c r="H51" s="22">
        <f>'FY30'!S51</f>
        <v>6</v>
      </c>
    </row>
    <row r="52" spans="1:8" x14ac:dyDescent="0.35">
      <c r="A52" s="25" t="s">
        <v>56</v>
      </c>
      <c r="B52" s="22">
        <v>0</v>
      </c>
      <c r="C52" s="22">
        <v>0</v>
      </c>
      <c r="D52" s="22">
        <f>'FY26'!S52</f>
        <v>1</v>
      </c>
      <c r="E52" s="22">
        <f>'FY27'!S52</f>
        <v>1</v>
      </c>
      <c r="F52" s="22">
        <f>'FY28'!S52</f>
        <v>1</v>
      </c>
      <c r="G52" s="22">
        <f>'FY29'!S52</f>
        <v>1</v>
      </c>
      <c r="H52" s="22">
        <f>'FY30'!S52</f>
        <v>1</v>
      </c>
    </row>
    <row r="53" spans="1:8" x14ac:dyDescent="0.35">
      <c r="A53" s="25" t="s">
        <v>57</v>
      </c>
      <c r="B53" s="22">
        <v>0</v>
      </c>
      <c r="C53" s="22">
        <v>0</v>
      </c>
      <c r="D53" s="22">
        <f>'FY26'!S53</f>
        <v>0</v>
      </c>
      <c r="E53" s="22">
        <f>'FY27'!S53</f>
        <v>0</v>
      </c>
      <c r="F53" s="22">
        <f>'FY28'!S53</f>
        <v>0</v>
      </c>
      <c r="G53" s="22">
        <f>'FY29'!S53</f>
        <v>0</v>
      </c>
      <c r="H53" s="22">
        <f>'FY30'!S53</f>
        <v>0</v>
      </c>
    </row>
    <row r="54" spans="1:8" x14ac:dyDescent="0.35">
      <c r="A54" s="26" t="s">
        <v>42</v>
      </c>
      <c r="B54" s="22">
        <v>0</v>
      </c>
      <c r="C54" s="22">
        <v>0</v>
      </c>
      <c r="D54" s="22">
        <f>'FY26'!S54</f>
        <v>0</v>
      </c>
      <c r="E54" s="22">
        <f>'FY27'!S54</f>
        <v>0</v>
      </c>
      <c r="F54" s="22">
        <f>'FY28'!S54</f>
        <v>0</v>
      </c>
      <c r="G54" s="22">
        <f>'FY29'!S54</f>
        <v>0</v>
      </c>
      <c r="H54" s="22">
        <f>'FY30'!S54</f>
        <v>0</v>
      </c>
    </row>
    <row r="55" spans="1:8" x14ac:dyDescent="0.35">
      <c r="A55" s="26" t="s">
        <v>43</v>
      </c>
      <c r="B55" s="22">
        <v>0</v>
      </c>
      <c r="C55" s="22">
        <v>0</v>
      </c>
      <c r="D55" s="22">
        <f>'FY26'!S55</f>
        <v>0</v>
      </c>
      <c r="E55" s="22">
        <f>'FY27'!S55</f>
        <v>0</v>
      </c>
      <c r="F55" s="22">
        <f>'FY28'!S55</f>
        <v>0</v>
      </c>
      <c r="G55" s="22">
        <f>'FY29'!S55</f>
        <v>0</v>
      </c>
      <c r="H55" s="22">
        <f>'FY30'!S55</f>
        <v>0</v>
      </c>
    </row>
    <row r="56" spans="1:8" x14ac:dyDescent="0.35">
      <c r="A56" s="26" t="s">
        <v>44</v>
      </c>
      <c r="B56" s="22">
        <v>0</v>
      </c>
      <c r="C56" s="22">
        <v>0</v>
      </c>
      <c r="D56" s="22">
        <f>'FY26'!S56</f>
        <v>0</v>
      </c>
      <c r="E56" s="22">
        <f>'FY27'!S56</f>
        <v>0</v>
      </c>
      <c r="F56" s="22">
        <f>'FY28'!S56</f>
        <v>0</v>
      </c>
      <c r="G56" s="22">
        <f>'FY29'!S56</f>
        <v>0</v>
      </c>
      <c r="H56" s="22">
        <f>'FY30'!S56</f>
        <v>0</v>
      </c>
    </row>
    <row r="57" spans="1:8" x14ac:dyDescent="0.35">
      <c r="A57" s="26" t="s">
        <v>45</v>
      </c>
      <c r="B57" s="22">
        <v>0</v>
      </c>
      <c r="C57" s="22">
        <v>0</v>
      </c>
      <c r="D57" s="22">
        <f>'FY26'!S57</f>
        <v>0</v>
      </c>
      <c r="E57" s="22">
        <f>'FY27'!S57</f>
        <v>0</v>
      </c>
      <c r="F57" s="22">
        <f>'FY28'!S57</f>
        <v>0</v>
      </c>
      <c r="G57" s="22">
        <f>'FY29'!S57</f>
        <v>0</v>
      </c>
      <c r="H57" s="22">
        <f>'FY30'!S57</f>
        <v>0</v>
      </c>
    </row>
    <row r="58" spans="1:8" x14ac:dyDescent="0.35">
      <c r="A58" s="26" t="s">
        <v>47</v>
      </c>
      <c r="B58" s="22">
        <v>0</v>
      </c>
      <c r="C58" s="22">
        <v>0</v>
      </c>
      <c r="D58" s="22">
        <f>'FY26'!S58</f>
        <v>0</v>
      </c>
      <c r="E58" s="22">
        <f>'FY27'!S58</f>
        <v>0</v>
      </c>
      <c r="F58" s="22">
        <f>'FY28'!S58</f>
        <v>0</v>
      </c>
      <c r="G58" s="22">
        <f>'FY29'!S58</f>
        <v>0</v>
      </c>
      <c r="H58" s="22">
        <f>'FY30'!S58</f>
        <v>0</v>
      </c>
    </row>
    <row r="59" spans="1:8" x14ac:dyDescent="0.35">
      <c r="A59" s="26" t="s">
        <v>55</v>
      </c>
      <c r="B59" s="22">
        <v>0</v>
      </c>
      <c r="C59" s="22">
        <v>0</v>
      </c>
      <c r="D59" s="22">
        <f>'FY26'!S59</f>
        <v>0</v>
      </c>
      <c r="E59" s="22">
        <f>'FY27'!S59</f>
        <v>0</v>
      </c>
      <c r="F59" s="22">
        <f>'FY28'!S59</f>
        <v>0</v>
      </c>
      <c r="G59" s="22">
        <f>'FY29'!S59</f>
        <v>0</v>
      </c>
      <c r="H59" s="22">
        <f>'FY30'!S59</f>
        <v>0</v>
      </c>
    </row>
    <row r="60" spans="1:8" x14ac:dyDescent="0.35">
      <c r="A60" s="25" t="s">
        <v>307</v>
      </c>
      <c r="B60" s="22">
        <v>0</v>
      </c>
      <c r="C60" s="22">
        <v>0</v>
      </c>
      <c r="D60" s="22">
        <f>'FY26'!S60</f>
        <v>0</v>
      </c>
      <c r="E60" s="22">
        <f>'FY27'!S60</f>
        <v>0</v>
      </c>
      <c r="F60" s="22">
        <f>'FY28'!S60</f>
        <v>0</v>
      </c>
      <c r="G60" s="22">
        <f>'FY29'!S60</f>
        <v>0</v>
      </c>
      <c r="H60" s="22">
        <f>'FY30'!S60</f>
        <v>0</v>
      </c>
    </row>
    <row r="61" spans="1:8" x14ac:dyDescent="0.35">
      <c r="A61" s="20" t="s">
        <v>58</v>
      </c>
      <c r="B61" s="28">
        <f t="shared" ref="B61:G61" si="22">SUM(B39:B60)</f>
        <v>0</v>
      </c>
      <c r="C61" s="28">
        <f t="shared" ref="C61" si="23">SUM(C39:C60)</f>
        <v>0</v>
      </c>
      <c r="D61" s="28">
        <f t="shared" si="22"/>
        <v>14</v>
      </c>
      <c r="E61" s="28">
        <f t="shared" si="22"/>
        <v>23.5</v>
      </c>
      <c r="F61" s="28">
        <f t="shared" si="22"/>
        <v>30</v>
      </c>
      <c r="G61" s="28">
        <f t="shared" si="22"/>
        <v>35</v>
      </c>
      <c r="H61" s="28">
        <f t="shared" ref="H61" si="24">SUM(H39:H60)</f>
        <v>43</v>
      </c>
    </row>
    <row r="62" spans="1:8" ht="15" thickBot="1" x14ac:dyDescent="0.4">
      <c r="A62" s="29"/>
      <c r="B62" s="30"/>
      <c r="C62" s="30"/>
      <c r="D62" s="30"/>
      <c r="E62" s="30"/>
      <c r="F62" s="30"/>
      <c r="G62" s="30"/>
      <c r="H62" s="30"/>
    </row>
    <row r="63" spans="1:8" x14ac:dyDescent="0.35">
      <c r="A63" s="31" t="s">
        <v>59</v>
      </c>
      <c r="B63" s="32">
        <f t="shared" ref="B63:C63" si="25">B36</f>
        <v>0</v>
      </c>
      <c r="C63" s="32">
        <f t="shared" si="25"/>
        <v>0</v>
      </c>
      <c r="D63" s="32">
        <f t="shared" ref="D63:G63" si="26">D36</f>
        <v>35.5</v>
      </c>
      <c r="E63" s="32">
        <f t="shared" si="26"/>
        <v>43.5</v>
      </c>
      <c r="F63" s="32">
        <f t="shared" si="26"/>
        <v>52.5</v>
      </c>
      <c r="G63" s="32">
        <f t="shared" si="26"/>
        <v>60.5</v>
      </c>
      <c r="H63" s="32">
        <f t="shared" ref="H63" si="27">H36</f>
        <v>69</v>
      </c>
    </row>
    <row r="64" spans="1:8" x14ac:dyDescent="0.35">
      <c r="A64" s="33" t="s">
        <v>60</v>
      </c>
      <c r="B64" s="34">
        <f>B61</f>
        <v>0</v>
      </c>
      <c r="C64" s="34">
        <f>C61</f>
        <v>0</v>
      </c>
      <c r="D64" s="34">
        <f t="shared" ref="D64:G64" si="28">D61</f>
        <v>14</v>
      </c>
      <c r="E64" s="34">
        <f t="shared" si="28"/>
        <v>23.5</v>
      </c>
      <c r="F64" s="34">
        <f t="shared" si="28"/>
        <v>30</v>
      </c>
      <c r="G64" s="34">
        <f t="shared" si="28"/>
        <v>35</v>
      </c>
      <c r="H64" s="34">
        <f t="shared" ref="H64" si="29">H61</f>
        <v>43</v>
      </c>
    </row>
    <row r="65" spans="1:8" ht="15" thickBot="1" x14ac:dyDescent="0.4">
      <c r="A65" s="35" t="s">
        <v>61</v>
      </c>
      <c r="B65" s="36">
        <f>SUM(B63:B64)</f>
        <v>0</v>
      </c>
      <c r="C65" s="36">
        <f>SUM(C63:C64)</f>
        <v>0</v>
      </c>
      <c r="D65" s="36">
        <f t="shared" ref="D65:G65" si="30">SUM(D63:D64)</f>
        <v>49.5</v>
      </c>
      <c r="E65" s="36">
        <f t="shared" si="30"/>
        <v>67</v>
      </c>
      <c r="F65" s="36">
        <f t="shared" si="30"/>
        <v>82.5</v>
      </c>
      <c r="G65" s="36">
        <f t="shared" si="30"/>
        <v>95.5</v>
      </c>
      <c r="H65" s="36">
        <f t="shared" ref="H65" si="31">SUM(H63:H64)</f>
        <v>112</v>
      </c>
    </row>
    <row r="66" spans="1:8" x14ac:dyDescent="0.35">
      <c r="A66" s="26"/>
      <c r="B66" s="37"/>
      <c r="C66" s="37"/>
      <c r="D66" s="37"/>
      <c r="E66" s="37"/>
      <c r="F66" s="37"/>
      <c r="G66" s="37"/>
      <c r="H66" s="37"/>
    </row>
    <row r="67" spans="1:8" x14ac:dyDescent="0.35">
      <c r="A67" s="38" t="s">
        <v>62</v>
      </c>
      <c r="B67" s="40" t="e">
        <f t="shared" ref="B67:G67" si="32">B142/(B210+B212+B213+B214+B215+B216)</f>
        <v>#DIV/0!</v>
      </c>
      <c r="C67" s="40" t="e">
        <f t="shared" ref="C67" si="33">C142/(C210+C212+C213+C214+C215+C216)</f>
        <v>#DIV/0!</v>
      </c>
      <c r="D67" s="40">
        <f t="shared" si="32"/>
        <v>0.52098512201913993</v>
      </c>
      <c r="E67" s="40">
        <f t="shared" si="32"/>
        <v>0.52118624092165444</v>
      </c>
      <c r="F67" s="40">
        <f t="shared" si="32"/>
        <v>0.52963175894452064</v>
      </c>
      <c r="G67" s="40">
        <f t="shared" si="32"/>
        <v>0.53281771493448327</v>
      </c>
      <c r="H67" s="40">
        <f t="shared" ref="H67" si="34">H142/(H210+H212+H213+H214+H215+H216)</f>
        <v>0.54966739520778485</v>
      </c>
    </row>
    <row r="68" spans="1:8" x14ac:dyDescent="0.35">
      <c r="A68" s="38" t="s">
        <v>63</v>
      </c>
      <c r="B68" s="40" t="e">
        <f t="shared" ref="B68:G68" si="35">(B114+B115+B118+B128)/B132</f>
        <v>#DIV/0!</v>
      </c>
      <c r="C68" s="40" t="e">
        <f t="shared" ref="C68" si="36">(C114+C115+C118+C128)/C132</f>
        <v>#DIV/0!</v>
      </c>
      <c r="D68" s="40">
        <f t="shared" si="35"/>
        <v>0.79888104982422958</v>
      </c>
      <c r="E68" s="40">
        <f t="shared" si="35"/>
        <v>0.76944726155079191</v>
      </c>
      <c r="F68" s="40">
        <f t="shared" si="35"/>
        <v>0.74882754303070787</v>
      </c>
      <c r="G68" s="40">
        <f t="shared" si="35"/>
        <v>0.7523726815164532</v>
      </c>
      <c r="H68" s="40">
        <f t="shared" ref="H68" si="37">(H114+H115+H118+H128)/H132</f>
        <v>0.75842423748218257</v>
      </c>
    </row>
    <row r="69" spans="1:8" x14ac:dyDescent="0.35">
      <c r="A69" s="38" t="s">
        <v>64</v>
      </c>
      <c r="B69" s="40" t="e">
        <f t="shared" ref="B69:G69" si="38">(B132-(B114+B115+B118+B128))/B132</f>
        <v>#DIV/0!</v>
      </c>
      <c r="C69" s="40" t="e">
        <f t="shared" ref="C69" si="39">(C132-(C114+C115+C118+C128))/C132</f>
        <v>#DIV/0!</v>
      </c>
      <c r="D69" s="40">
        <f t="shared" si="38"/>
        <v>0.20111895017577044</v>
      </c>
      <c r="E69" s="40">
        <f t="shared" si="38"/>
        <v>0.23055273844920812</v>
      </c>
      <c r="F69" s="40">
        <f t="shared" si="38"/>
        <v>0.25117245696929208</v>
      </c>
      <c r="G69" s="40">
        <f t="shared" si="38"/>
        <v>0.24762731848354683</v>
      </c>
      <c r="H69" s="40">
        <f t="shared" ref="H69" si="40">(H132-(H114+H115+H118+H128))/H132</f>
        <v>0.24157576251781737</v>
      </c>
    </row>
    <row r="70" spans="1:8" x14ac:dyDescent="0.35">
      <c r="A70" s="38" t="s">
        <v>65</v>
      </c>
      <c r="B70" s="40" t="e">
        <f t="shared" ref="B70:G70" si="41">(B212+B213+B214+B215)/(B97)</f>
        <v>#DIV/0!</v>
      </c>
      <c r="C70" s="40" t="e">
        <f t="shared" ref="C70" si="42">(C212+C213+C214+C215)/(C97)</f>
        <v>#DIV/0!</v>
      </c>
      <c r="D70" s="40">
        <f t="shared" si="41"/>
        <v>0.16997437922678227</v>
      </c>
      <c r="E70" s="40">
        <f t="shared" si="41"/>
        <v>0.16747101819228882</v>
      </c>
      <c r="F70" s="40">
        <f t="shared" si="41"/>
        <v>0.1573244575591822</v>
      </c>
      <c r="G70" s="40">
        <f t="shared" si="41"/>
        <v>0.15843472640196063</v>
      </c>
      <c r="H70" s="40">
        <f t="shared" ref="H70" si="43">(H212+H213+H214+H215)/(H97)</f>
        <v>0.15087983872805402</v>
      </c>
    </row>
    <row r="71" spans="1:8" ht="15" thickBot="1" x14ac:dyDescent="0.4">
      <c r="B71" s="37"/>
      <c r="C71" s="37"/>
      <c r="D71" s="37"/>
      <c r="E71" s="37"/>
      <c r="F71" s="37"/>
      <c r="G71" s="37"/>
      <c r="H71" s="37"/>
    </row>
    <row r="72" spans="1:8" ht="15" thickBot="1" x14ac:dyDescent="0.4">
      <c r="A72" s="41" t="s">
        <v>66</v>
      </c>
      <c r="B72" s="42" t="str">
        <f t="shared" ref="B72:G72" si="44">B1</f>
        <v>FY24 (23-24)</v>
      </c>
      <c r="C72" s="42" t="str">
        <f t="shared" ref="C72" si="45">C1</f>
        <v>FY25 (24-25)</v>
      </c>
      <c r="D72" s="42" t="str">
        <f t="shared" si="44"/>
        <v>FY26 (25-26)</v>
      </c>
      <c r="E72" s="42" t="str">
        <f t="shared" si="44"/>
        <v>FY27 (26-27)</v>
      </c>
      <c r="F72" s="42" t="str">
        <f t="shared" si="44"/>
        <v>FY28 (27-28)</v>
      </c>
      <c r="G72" s="42" t="str">
        <f t="shared" si="44"/>
        <v>FY29 (28-29)</v>
      </c>
      <c r="H72" s="42" t="str">
        <f t="shared" ref="H72" si="46">H1</f>
        <v>FY30 (29-30)</v>
      </c>
    </row>
    <row r="73" spans="1:8" x14ac:dyDescent="0.35">
      <c r="A73" s="43" t="s">
        <v>67</v>
      </c>
      <c r="B73" s="45"/>
      <c r="C73" s="45"/>
      <c r="D73" s="45"/>
      <c r="E73" s="45"/>
      <c r="F73" s="45"/>
      <c r="G73" s="45"/>
      <c r="H73" s="45"/>
    </row>
    <row r="74" spans="1:8" x14ac:dyDescent="0.35">
      <c r="A74" s="26" t="s">
        <v>68</v>
      </c>
      <c r="B74" s="10">
        <v>0</v>
      </c>
      <c r="C74" s="10">
        <v>0</v>
      </c>
      <c r="D74" s="10">
        <f>'FY26'!S74</f>
        <v>7328685</v>
      </c>
      <c r="E74" s="10">
        <f>'FY27'!S74</f>
        <v>9142385</v>
      </c>
      <c r="F74" s="10">
        <f>'FY28'!S74</f>
        <v>11266800</v>
      </c>
      <c r="G74" s="10">
        <f>'FY29'!S74</f>
        <v>13122918</v>
      </c>
      <c r="H74" s="10">
        <f>'FY30'!S74</f>
        <v>14798560</v>
      </c>
    </row>
    <row r="75" spans="1:8" x14ac:dyDescent="0.35">
      <c r="A75" s="26" t="s">
        <v>69</v>
      </c>
      <c r="B75" s="10">
        <v>0</v>
      </c>
      <c r="C75" s="10">
        <v>0</v>
      </c>
      <c r="D75" s="10">
        <f>'FY26'!S75</f>
        <v>0</v>
      </c>
      <c r="E75" s="10">
        <f>'FY27'!S75</f>
        <v>1033794</v>
      </c>
      <c r="F75" s="10">
        <f>'FY28'!S75</f>
        <v>1292976</v>
      </c>
      <c r="G75" s="10">
        <f>'FY29'!S75</f>
        <v>1503780</v>
      </c>
      <c r="H75" s="10">
        <f>'FY30'!S75</f>
        <v>1856327</v>
      </c>
    </row>
    <row r="76" spans="1:8" x14ac:dyDescent="0.35">
      <c r="A76" s="26" t="s">
        <v>70</v>
      </c>
      <c r="B76" s="10">
        <v>0</v>
      </c>
      <c r="C76" s="10">
        <v>0</v>
      </c>
      <c r="D76" s="10">
        <f>'FY26'!S76</f>
        <v>0</v>
      </c>
      <c r="E76" s="10">
        <f>'FY27'!S76</f>
        <v>0</v>
      </c>
      <c r="F76" s="10">
        <f>'FY28'!S76</f>
        <v>0</v>
      </c>
      <c r="G76" s="10">
        <f>'FY29'!S76</f>
        <v>0</v>
      </c>
      <c r="H76" s="10">
        <f>'FY30'!S76</f>
        <v>0</v>
      </c>
    </row>
    <row r="77" spans="1:8" x14ac:dyDescent="0.35">
      <c r="A77" s="26" t="s">
        <v>71</v>
      </c>
      <c r="B77" s="10">
        <v>0</v>
      </c>
      <c r="C77" s="10">
        <v>0</v>
      </c>
      <c r="D77" s="10">
        <f>'FY26'!S77</f>
        <v>0</v>
      </c>
      <c r="E77" s="10">
        <f>'FY27'!S77</f>
        <v>26344</v>
      </c>
      <c r="F77" s="10">
        <f>'FY28'!S77</f>
        <v>34440</v>
      </c>
      <c r="G77" s="10">
        <f>'FY29'!S77</f>
        <v>39528</v>
      </c>
      <c r="H77" s="10">
        <f>'FY30'!S77</f>
        <v>46111</v>
      </c>
    </row>
    <row r="78" spans="1:8" x14ac:dyDescent="0.35">
      <c r="A78" s="26" t="s">
        <v>73</v>
      </c>
      <c r="B78" s="10">
        <v>0</v>
      </c>
      <c r="C78" s="10">
        <v>0</v>
      </c>
      <c r="D78" s="10">
        <f>'FY26'!S78</f>
        <v>0</v>
      </c>
      <c r="E78" s="10">
        <f>'FY27'!S78</f>
        <v>0</v>
      </c>
      <c r="F78" s="10">
        <f>'FY28'!S78</f>
        <v>0</v>
      </c>
      <c r="G78" s="10">
        <f>'FY29'!S78</f>
        <v>40000</v>
      </c>
      <c r="H78" s="10">
        <f>'FY30'!S78</f>
        <v>40000</v>
      </c>
    </row>
    <row r="79" spans="1:8" x14ac:dyDescent="0.35">
      <c r="A79" s="26" t="s">
        <v>72</v>
      </c>
      <c r="B79" s="10">
        <v>0</v>
      </c>
      <c r="C79" s="10">
        <v>0</v>
      </c>
      <c r="D79" s="10">
        <f>'FY26'!S79</f>
        <v>0</v>
      </c>
      <c r="E79" s="10">
        <f>'FY27'!S79</f>
        <v>349600</v>
      </c>
      <c r="F79" s="10">
        <f>'FY28'!S79</f>
        <v>440700</v>
      </c>
      <c r="G79" s="10">
        <f>'FY29'!S79</f>
        <v>534300</v>
      </c>
      <c r="H79" s="10">
        <f>'FY30'!S79</f>
        <v>628000</v>
      </c>
    </row>
    <row r="80" spans="1:8" x14ac:dyDescent="0.35">
      <c r="A80" s="49" t="s">
        <v>74</v>
      </c>
      <c r="B80" s="50">
        <f t="shared" ref="B80:G80" si="47">SUM(B74:B79)</f>
        <v>0</v>
      </c>
      <c r="C80" s="50">
        <f t="shared" ref="C80" si="48">SUM(C74:C79)</f>
        <v>0</v>
      </c>
      <c r="D80" s="50">
        <f t="shared" si="47"/>
        <v>7328685</v>
      </c>
      <c r="E80" s="50">
        <f t="shared" si="47"/>
        <v>10552123</v>
      </c>
      <c r="F80" s="50">
        <f t="shared" si="47"/>
        <v>13034916</v>
      </c>
      <c r="G80" s="50">
        <f t="shared" si="47"/>
        <v>15240526</v>
      </c>
      <c r="H80" s="50">
        <f t="shared" ref="H80" si="49">SUM(H74:H79)</f>
        <v>17368998</v>
      </c>
    </row>
    <row r="81" spans="1:8" x14ac:dyDescent="0.35">
      <c r="A81" s="51" t="s">
        <v>75</v>
      </c>
      <c r="B81" s="45"/>
      <c r="C81" s="45"/>
      <c r="D81" s="45"/>
      <c r="E81" s="45"/>
      <c r="F81" s="45"/>
      <c r="G81" s="45"/>
      <c r="H81" s="45"/>
    </row>
    <row r="82" spans="1:8" x14ac:dyDescent="0.35">
      <c r="A82" s="26" t="s">
        <v>76</v>
      </c>
      <c r="B82" s="10">
        <v>0</v>
      </c>
      <c r="C82" s="10">
        <v>0</v>
      </c>
      <c r="D82" s="10">
        <f>'FY26'!S82</f>
        <v>85500</v>
      </c>
      <c r="E82" s="10">
        <f>'FY27'!S82</f>
        <v>87400</v>
      </c>
      <c r="F82" s="10">
        <f>'FY28'!S82</f>
        <v>107350</v>
      </c>
      <c r="G82" s="10">
        <f>'FY29'!S82</f>
        <v>130150</v>
      </c>
      <c r="H82" s="10">
        <f>'FY30'!S82</f>
        <v>149150</v>
      </c>
    </row>
    <row r="83" spans="1:8" x14ac:dyDescent="0.35">
      <c r="A83" s="26" t="s">
        <v>77</v>
      </c>
      <c r="B83" s="10">
        <v>0</v>
      </c>
      <c r="C83" s="10">
        <v>0</v>
      </c>
      <c r="D83" s="10">
        <f>'FY26'!S83</f>
        <v>360681.75</v>
      </c>
      <c r="E83" s="10">
        <f>'FY27'!S83</f>
        <v>378944.55</v>
      </c>
      <c r="F83" s="10">
        <f>'FY28'!S83</f>
        <v>548226</v>
      </c>
      <c r="G83" s="10">
        <f>'FY29'!S83</f>
        <v>633637.07999999996</v>
      </c>
      <c r="H83" s="10">
        <f>'FY30'!S83</f>
        <v>711531</v>
      </c>
    </row>
    <row r="84" spans="1:8" x14ac:dyDescent="0.35">
      <c r="A84" s="26" t="s">
        <v>78</v>
      </c>
      <c r="B84" s="10">
        <v>0</v>
      </c>
      <c r="C84" s="10">
        <v>0</v>
      </c>
      <c r="D84" s="10">
        <f>'FY26'!S84</f>
        <v>573156.09</v>
      </c>
      <c r="E84" s="10">
        <f>'FY27'!S84</f>
        <v>806265</v>
      </c>
      <c r="F84" s="10">
        <f>'FY28'!S84</f>
        <v>865413.89999999991</v>
      </c>
      <c r="G84" s="10">
        <f>'FY29'!S84</f>
        <v>997641.36</v>
      </c>
      <c r="H84" s="10">
        <f>'FY30'!S84</f>
        <v>1123470</v>
      </c>
    </row>
    <row r="85" spans="1:8" x14ac:dyDescent="0.35">
      <c r="A85" s="26" t="s">
        <v>79</v>
      </c>
      <c r="B85" s="10">
        <v>0</v>
      </c>
      <c r="C85" s="10">
        <v>0</v>
      </c>
      <c r="D85" s="10">
        <f>'FY26'!S85</f>
        <v>0</v>
      </c>
      <c r="E85" s="10">
        <f>'FY27'!S85</f>
        <v>0</v>
      </c>
      <c r="F85" s="10">
        <f>'FY28'!S85</f>
        <v>0</v>
      </c>
      <c r="G85" s="10">
        <f>'FY29'!S85</f>
        <v>0</v>
      </c>
      <c r="H85" s="10">
        <f>'FY30'!S85</f>
        <v>0</v>
      </c>
    </row>
    <row r="86" spans="1:8" x14ac:dyDescent="0.35">
      <c r="A86" s="26" t="s">
        <v>80</v>
      </c>
      <c r="B86" s="10">
        <v>0</v>
      </c>
      <c r="C86" s="10">
        <v>0</v>
      </c>
      <c r="D86" s="10">
        <f>'FY26'!S86</f>
        <v>0</v>
      </c>
      <c r="E86" s="10">
        <f>'FY27'!S86</f>
        <v>0</v>
      </c>
      <c r="F86" s="10">
        <f>'FY28'!S86</f>
        <v>0</v>
      </c>
      <c r="G86" s="10">
        <f>'FY29'!S86</f>
        <v>0</v>
      </c>
      <c r="H86" s="10">
        <f>'FY30'!S86</f>
        <v>0</v>
      </c>
    </row>
    <row r="87" spans="1:8" x14ac:dyDescent="0.35">
      <c r="A87" s="26" t="s">
        <v>81</v>
      </c>
      <c r="B87" s="10">
        <v>0</v>
      </c>
      <c r="C87" s="10">
        <v>0</v>
      </c>
      <c r="D87" s="10">
        <f>'FY26'!S87</f>
        <v>0</v>
      </c>
      <c r="E87" s="10">
        <f>'FY27'!S87</f>
        <v>0</v>
      </c>
      <c r="F87" s="10">
        <f>'FY28'!S87</f>
        <v>0</v>
      </c>
      <c r="G87" s="10">
        <f>'FY29'!S87</f>
        <v>0</v>
      </c>
      <c r="H87" s="10">
        <f>'FY30'!S87</f>
        <v>0</v>
      </c>
    </row>
    <row r="88" spans="1:8" x14ac:dyDescent="0.35">
      <c r="A88" s="26" t="s">
        <v>82</v>
      </c>
      <c r="B88" s="10">
        <v>0</v>
      </c>
      <c r="C88" s="10">
        <v>0</v>
      </c>
      <c r="D88" s="10">
        <f>'FY26'!S88</f>
        <v>0</v>
      </c>
      <c r="E88" s="10">
        <f>'FY27'!S88</f>
        <v>0</v>
      </c>
      <c r="F88" s="10">
        <f>'FY28'!S88</f>
        <v>0</v>
      </c>
      <c r="G88" s="10">
        <f>'FY29'!S88</f>
        <v>0</v>
      </c>
      <c r="H88" s="10">
        <f>'FY30'!S88</f>
        <v>0</v>
      </c>
    </row>
    <row r="89" spans="1:8" x14ac:dyDescent="0.35">
      <c r="A89" s="26" t="s">
        <v>83</v>
      </c>
      <c r="B89" s="10">
        <v>0</v>
      </c>
      <c r="C89" s="10">
        <v>0</v>
      </c>
      <c r="D89" s="10">
        <f>'FY26'!S89</f>
        <v>0</v>
      </c>
      <c r="E89" s="10">
        <f>'FY27'!S89</f>
        <v>0</v>
      </c>
      <c r="F89" s="10">
        <f>'FY28'!S89</f>
        <v>0</v>
      </c>
      <c r="G89" s="10">
        <f>'FY29'!S89</f>
        <v>0</v>
      </c>
      <c r="H89" s="10">
        <f>'FY30'!S89</f>
        <v>0</v>
      </c>
    </row>
    <row r="90" spans="1:8" x14ac:dyDescent="0.35">
      <c r="A90" s="49" t="s">
        <v>84</v>
      </c>
      <c r="B90" s="50">
        <f t="shared" ref="B90:G90" si="50">SUM(B82:B88)</f>
        <v>0</v>
      </c>
      <c r="C90" s="50">
        <f t="shared" ref="C90" si="51">SUM(C82:C88)</f>
        <v>0</v>
      </c>
      <c r="D90" s="50">
        <f t="shared" si="50"/>
        <v>1019337.84</v>
      </c>
      <c r="E90" s="50">
        <f t="shared" si="50"/>
        <v>1272609.55</v>
      </c>
      <c r="F90" s="50">
        <f t="shared" si="50"/>
        <v>1520989.9</v>
      </c>
      <c r="G90" s="50">
        <f t="shared" si="50"/>
        <v>1761428.44</v>
      </c>
      <c r="H90" s="50">
        <f t="shared" ref="H90" si="52">SUM(H82:H88)</f>
        <v>1984151</v>
      </c>
    </row>
    <row r="91" spans="1:8" x14ac:dyDescent="0.35">
      <c r="A91" s="51" t="s">
        <v>85</v>
      </c>
      <c r="B91" s="45"/>
      <c r="C91" s="45"/>
      <c r="D91" s="45"/>
      <c r="E91" s="45"/>
      <c r="F91" s="45"/>
      <c r="G91" s="45"/>
      <c r="H91" s="45"/>
    </row>
    <row r="92" spans="1:8" x14ac:dyDescent="0.35">
      <c r="A92" s="26" t="s">
        <v>179</v>
      </c>
      <c r="B92" s="10">
        <v>0</v>
      </c>
      <c r="C92" s="10">
        <v>0</v>
      </c>
      <c r="D92" s="10">
        <f>'FY26'!S92</f>
        <v>0</v>
      </c>
      <c r="E92" s="10">
        <f>'FY27'!S92</f>
        <v>0</v>
      </c>
      <c r="F92" s="10">
        <f>'FY28'!S92</f>
        <v>0</v>
      </c>
      <c r="G92" s="10">
        <f>'FY29'!S92</f>
        <v>0</v>
      </c>
      <c r="H92" s="10">
        <f>'FY30'!S92</f>
        <v>0</v>
      </c>
    </row>
    <row r="93" spans="1:8" x14ac:dyDescent="0.35">
      <c r="A93" s="26" t="s">
        <v>180</v>
      </c>
      <c r="B93" s="10">
        <v>0</v>
      </c>
      <c r="C93" s="10">
        <v>0</v>
      </c>
      <c r="D93" s="10">
        <f>'FY26'!S93</f>
        <v>0</v>
      </c>
      <c r="E93" s="10">
        <f>'FY27'!S93</f>
        <v>0</v>
      </c>
      <c r="F93" s="10">
        <f>'FY28'!S93</f>
        <v>0</v>
      </c>
      <c r="G93" s="10">
        <f>'FY29'!S93</f>
        <v>0</v>
      </c>
      <c r="H93" s="10">
        <f>'FY30'!S93</f>
        <v>0</v>
      </c>
    </row>
    <row r="94" spans="1:8" x14ac:dyDescent="0.35">
      <c r="A94" s="26" t="s">
        <v>86</v>
      </c>
      <c r="B94" s="10">
        <v>0</v>
      </c>
      <c r="C94" s="10">
        <v>0</v>
      </c>
      <c r="D94" s="10">
        <f>'FY26'!S94</f>
        <v>0</v>
      </c>
      <c r="E94" s="10">
        <f>'FY27'!S94</f>
        <v>0</v>
      </c>
      <c r="F94" s="10">
        <f>'FY28'!S94</f>
        <v>0</v>
      </c>
      <c r="G94" s="10">
        <f>'FY29'!S94</f>
        <v>0</v>
      </c>
      <c r="H94" s="10">
        <f>'FY30'!S94</f>
        <v>0</v>
      </c>
    </row>
    <row r="95" spans="1:8" x14ac:dyDescent="0.35">
      <c r="A95" s="26" t="s">
        <v>178</v>
      </c>
      <c r="B95" s="10">
        <v>0</v>
      </c>
      <c r="C95" s="10">
        <v>0</v>
      </c>
      <c r="D95" s="10">
        <f>'FY26'!S95</f>
        <v>0</v>
      </c>
      <c r="E95" s="10">
        <f>'FY27'!S95</f>
        <v>0</v>
      </c>
      <c r="F95" s="10">
        <f>'FY28'!S95</f>
        <v>0</v>
      </c>
      <c r="G95" s="10">
        <f>'FY29'!S95</f>
        <v>0</v>
      </c>
      <c r="H95" s="10">
        <f>'FY30'!S95</f>
        <v>0</v>
      </c>
    </row>
    <row r="96" spans="1:8" x14ac:dyDescent="0.35">
      <c r="A96" s="49" t="s">
        <v>87</v>
      </c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</row>
    <row r="97" spans="1:8" x14ac:dyDescent="0.35">
      <c r="A97" s="150" t="s">
        <v>88</v>
      </c>
      <c r="B97" s="151">
        <f>B80+B90+B96</f>
        <v>0</v>
      </c>
      <c r="C97" s="151">
        <f>C80+C90+C96</f>
        <v>0</v>
      </c>
      <c r="D97" s="151">
        <f t="shared" ref="D97:G97" si="53">D80+D90+D96</f>
        <v>8348022.8399999999</v>
      </c>
      <c r="E97" s="151">
        <f t="shared" si="53"/>
        <v>11824732.550000001</v>
      </c>
      <c r="F97" s="151">
        <f t="shared" si="53"/>
        <v>14555905.9</v>
      </c>
      <c r="G97" s="151">
        <f t="shared" si="53"/>
        <v>17001954.440000001</v>
      </c>
      <c r="H97" s="151">
        <f t="shared" ref="H97" si="54">H80+H90+H96</f>
        <v>19353149</v>
      </c>
    </row>
    <row r="98" spans="1:8" x14ac:dyDescent="0.35">
      <c r="A98" s="51" t="s">
        <v>278</v>
      </c>
      <c r="B98" s="45"/>
      <c r="C98" s="45"/>
      <c r="D98" s="45"/>
      <c r="E98" s="45"/>
      <c r="F98" s="45"/>
      <c r="G98" s="45"/>
      <c r="H98" s="45"/>
    </row>
    <row r="99" spans="1:8" x14ac:dyDescent="0.35">
      <c r="A99" s="26" t="s">
        <v>281</v>
      </c>
      <c r="B99" s="47">
        <v>0</v>
      </c>
      <c r="C99" s="47">
        <v>0</v>
      </c>
      <c r="D99" s="10">
        <f>'FY26'!S99</f>
        <v>0</v>
      </c>
      <c r="E99" s="10">
        <f>'FY27'!S99</f>
        <v>0</v>
      </c>
      <c r="F99" s="10">
        <f>'FY28'!S99</f>
        <v>0</v>
      </c>
      <c r="G99" s="10">
        <f>'FY29'!S99</f>
        <v>0</v>
      </c>
      <c r="H99" s="10">
        <f>'FY30'!S99</f>
        <v>0</v>
      </c>
    </row>
    <row r="100" spans="1:8" x14ac:dyDescent="0.35">
      <c r="A100" s="26" t="s">
        <v>279</v>
      </c>
      <c r="B100" s="47">
        <v>0</v>
      </c>
      <c r="C100" s="47">
        <v>0</v>
      </c>
      <c r="D100" s="10">
        <f>'FY26'!S100</f>
        <v>0</v>
      </c>
      <c r="E100" s="10">
        <f>'FY27'!S100</f>
        <v>0</v>
      </c>
      <c r="F100" s="10">
        <f>'FY28'!S100</f>
        <v>0</v>
      </c>
      <c r="G100" s="10">
        <f>'FY29'!S100</f>
        <v>0</v>
      </c>
      <c r="H100" s="10">
        <f>'FY30'!S100</f>
        <v>0</v>
      </c>
    </row>
    <row r="101" spans="1:8" x14ac:dyDescent="0.35">
      <c r="A101" s="26"/>
      <c r="B101" s="47">
        <v>0</v>
      </c>
      <c r="C101" s="47">
        <v>0</v>
      </c>
      <c r="D101" s="10">
        <f>'FY26'!S101</f>
        <v>0</v>
      </c>
      <c r="E101" s="10">
        <f>'FY27'!S101</f>
        <v>0</v>
      </c>
      <c r="F101" s="10">
        <f>'FY28'!S101</f>
        <v>0</v>
      </c>
      <c r="G101" s="10">
        <f>'FY29'!S101</f>
        <v>0</v>
      </c>
      <c r="H101" s="10">
        <f>'FY30'!S101</f>
        <v>0</v>
      </c>
    </row>
    <row r="102" spans="1:8" x14ac:dyDescent="0.35">
      <c r="A102" s="26"/>
      <c r="B102" s="47">
        <v>0</v>
      </c>
      <c r="C102" s="47">
        <v>0</v>
      </c>
      <c r="D102" s="10">
        <f>'FY26'!S102</f>
        <v>0</v>
      </c>
      <c r="E102" s="10">
        <f>'FY27'!S102</f>
        <v>0</v>
      </c>
      <c r="F102" s="10">
        <f>'FY28'!S102</f>
        <v>0</v>
      </c>
      <c r="G102" s="10">
        <f>'FY29'!S102</f>
        <v>0</v>
      </c>
      <c r="H102" s="10">
        <f>'FY30'!S102</f>
        <v>0</v>
      </c>
    </row>
    <row r="103" spans="1:8" x14ac:dyDescent="0.35">
      <c r="A103" s="49" t="s">
        <v>280</v>
      </c>
      <c r="B103" s="50">
        <f>SUM(B99:B102)</f>
        <v>0</v>
      </c>
      <c r="C103" s="50">
        <f t="shared" ref="C103:H103" si="55">SUM(C99:C102)</f>
        <v>0</v>
      </c>
      <c r="D103" s="50">
        <f t="shared" si="55"/>
        <v>0</v>
      </c>
      <c r="E103" s="50">
        <f t="shared" si="55"/>
        <v>0</v>
      </c>
      <c r="F103" s="50">
        <f t="shared" si="55"/>
        <v>0</v>
      </c>
      <c r="G103" s="50">
        <f t="shared" si="55"/>
        <v>0</v>
      </c>
      <c r="H103" s="50">
        <f t="shared" si="55"/>
        <v>0</v>
      </c>
    </row>
    <row r="104" spans="1:8" ht="15" thickBot="1" x14ac:dyDescent="0.4">
      <c r="A104" s="26"/>
      <c r="B104" s="37"/>
      <c r="C104" s="37"/>
      <c r="D104" s="37"/>
      <c r="E104" s="37"/>
      <c r="F104" s="37"/>
      <c r="G104" s="37"/>
      <c r="H104" s="37"/>
    </row>
    <row r="105" spans="1:8" ht="15" thickBot="1" x14ac:dyDescent="0.4">
      <c r="A105" s="55" t="s">
        <v>89</v>
      </c>
      <c r="B105" s="56" t="str">
        <f t="shared" ref="B105:G105" si="56">B1</f>
        <v>FY24 (23-24)</v>
      </c>
      <c r="C105" s="56" t="str">
        <f t="shared" ref="C105" si="57">C1</f>
        <v>FY25 (24-25)</v>
      </c>
      <c r="D105" s="56" t="str">
        <f t="shared" si="56"/>
        <v>FY26 (25-26)</v>
      </c>
      <c r="E105" s="56" t="str">
        <f t="shared" si="56"/>
        <v>FY27 (26-27)</v>
      </c>
      <c r="F105" s="56" t="str">
        <f t="shared" si="56"/>
        <v>FY28 (27-28)</v>
      </c>
      <c r="G105" s="56" t="str">
        <f t="shared" si="56"/>
        <v>FY29 (28-29)</v>
      </c>
      <c r="H105" s="56" t="str">
        <f t="shared" ref="H105" si="58">H1</f>
        <v>FY30 (29-30)</v>
      </c>
    </row>
    <row r="106" spans="1:8" x14ac:dyDescent="0.35">
      <c r="A106" s="43" t="s">
        <v>90</v>
      </c>
      <c r="B106" s="45"/>
      <c r="C106" s="45"/>
      <c r="D106" s="45"/>
      <c r="E106" s="45"/>
      <c r="F106" s="45"/>
      <c r="G106" s="45"/>
      <c r="H106" s="45"/>
    </row>
    <row r="107" spans="1:8" x14ac:dyDescent="0.35">
      <c r="A107" s="26" t="s">
        <v>40</v>
      </c>
      <c r="B107" s="10">
        <v>0</v>
      </c>
      <c r="C107" s="10">
        <v>0</v>
      </c>
      <c r="D107" s="10">
        <f>'FY26'!S107</f>
        <v>140000</v>
      </c>
      <c r="E107" s="10">
        <f>'FY27'!S107</f>
        <v>142100</v>
      </c>
      <c r="F107" s="10">
        <f>'FY28'!S107</f>
        <v>149205</v>
      </c>
      <c r="G107" s="10">
        <f>'FY29'!S107</f>
        <v>153714.72112499998</v>
      </c>
      <c r="H107" s="10">
        <f>'FY30'!S107</f>
        <v>156020.44194187497</v>
      </c>
    </row>
    <row r="108" spans="1:8" x14ac:dyDescent="0.35">
      <c r="A108" s="26" t="s">
        <v>91</v>
      </c>
      <c r="B108" s="10">
        <v>0</v>
      </c>
      <c r="C108" s="10">
        <v>0</v>
      </c>
      <c r="D108" s="10">
        <f>'FY26'!S108</f>
        <v>100000</v>
      </c>
      <c r="E108" s="10">
        <f>'FY27'!S108</f>
        <v>200893.87499999994</v>
      </c>
      <c r="F108" s="10">
        <f>'FY28'!S108</f>
        <v>207985.42878749993</v>
      </c>
      <c r="G108" s="10">
        <f>'FY29'!S108</f>
        <v>307018.49064862495</v>
      </c>
      <c r="H108" s="10">
        <f>'FY30'!S108</f>
        <v>318032.70567244833</v>
      </c>
    </row>
    <row r="109" spans="1:8" x14ac:dyDescent="0.35">
      <c r="A109" s="26" t="s">
        <v>34</v>
      </c>
      <c r="B109" s="10">
        <v>0</v>
      </c>
      <c r="C109" s="10">
        <v>0</v>
      </c>
      <c r="D109" s="10">
        <f>'FY26'!S109</f>
        <v>80000</v>
      </c>
      <c r="E109" s="10">
        <f>'FY27'!S109</f>
        <v>81199.999999999985</v>
      </c>
      <c r="F109" s="10">
        <f>'FY28'!S109</f>
        <v>83654.26999999996</v>
      </c>
      <c r="G109" s="10">
        <f>'FY29'!S109</f>
        <v>84490.812699999966</v>
      </c>
      <c r="H109" s="10">
        <f>'FY30'!S109</f>
        <v>86012.902142649938</v>
      </c>
    </row>
    <row r="110" spans="1:8" x14ac:dyDescent="0.35">
      <c r="A110" s="27" t="s">
        <v>36</v>
      </c>
      <c r="B110" s="10">
        <v>0</v>
      </c>
      <c r="C110" s="10">
        <v>0</v>
      </c>
      <c r="D110" s="10">
        <f>'FY26'!S110</f>
        <v>0</v>
      </c>
      <c r="E110" s="10">
        <f>'FY27'!S110</f>
        <v>0</v>
      </c>
      <c r="F110" s="10">
        <f>'FY28'!S110</f>
        <v>0</v>
      </c>
      <c r="G110" s="10">
        <f>'FY29'!S110</f>
        <v>0</v>
      </c>
      <c r="H110" s="10">
        <f>'FY30'!S110</f>
        <v>0</v>
      </c>
    </row>
    <row r="111" spans="1:8" x14ac:dyDescent="0.35">
      <c r="A111" s="27" t="s">
        <v>38</v>
      </c>
      <c r="B111" s="10">
        <v>0</v>
      </c>
      <c r="C111" s="10">
        <v>0</v>
      </c>
      <c r="D111" s="10">
        <f>'FY26'!S111</f>
        <v>0</v>
      </c>
      <c r="E111" s="10">
        <f>'FY27'!S111</f>
        <v>81199.999999999985</v>
      </c>
      <c r="F111" s="10">
        <f>'FY28'!S111</f>
        <v>167308.53999999992</v>
      </c>
      <c r="G111" s="10">
        <f>'FY29'!S111</f>
        <v>168981.62539999993</v>
      </c>
      <c r="H111" s="10">
        <f>'FY30'!S111</f>
        <v>172025.80428529988</v>
      </c>
    </row>
    <row r="112" spans="1:8" x14ac:dyDescent="0.35">
      <c r="A112" s="26" t="s">
        <v>92</v>
      </c>
      <c r="B112" s="10">
        <v>0</v>
      </c>
      <c r="C112" s="10">
        <v>0</v>
      </c>
      <c r="D112" s="10">
        <f>'FY26'!S112</f>
        <v>0</v>
      </c>
      <c r="E112" s="10">
        <f>'FY27'!S112</f>
        <v>81199.999999999985</v>
      </c>
      <c r="F112" s="10">
        <f>'FY28'!S112</f>
        <v>167308.53999999992</v>
      </c>
      <c r="G112" s="10">
        <f>'FY29'!S112</f>
        <v>168981.62539999993</v>
      </c>
      <c r="H112" s="10">
        <f>'FY30'!S112</f>
        <v>258038.70642794986</v>
      </c>
    </row>
    <row r="113" spans="1:8" x14ac:dyDescent="0.35">
      <c r="A113" s="26" t="s">
        <v>93</v>
      </c>
      <c r="B113" s="10">
        <v>0</v>
      </c>
      <c r="C113" s="10">
        <v>0</v>
      </c>
      <c r="D113" s="10">
        <f>'FY26'!S113</f>
        <v>0</v>
      </c>
      <c r="E113" s="10">
        <f>'FY27'!S113</f>
        <v>0</v>
      </c>
      <c r="F113" s="10">
        <f>'FY28'!S113</f>
        <v>78425.878124999959</v>
      </c>
      <c r="G113" s="10">
        <f>'FY29'!S113</f>
        <v>79210.136906249958</v>
      </c>
      <c r="H113" s="10">
        <f>'FY30'!S113</f>
        <v>80637.095758734315</v>
      </c>
    </row>
    <row r="114" spans="1:8" x14ac:dyDescent="0.35">
      <c r="A114" s="26" t="s">
        <v>94</v>
      </c>
      <c r="B114" s="10">
        <v>0</v>
      </c>
      <c r="C114" s="10">
        <v>0</v>
      </c>
      <c r="D114" s="10">
        <f>'FY26'!S114</f>
        <v>1966250</v>
      </c>
      <c r="E114" s="10">
        <f>'FY27'!S114</f>
        <v>2546000</v>
      </c>
      <c r="F114" s="10">
        <f>'FY28'!S114</f>
        <v>3101040</v>
      </c>
      <c r="G114" s="10">
        <f>'FY29'!S114</f>
        <v>3588750</v>
      </c>
      <c r="H114" s="10">
        <f>'FY30'!S114</f>
        <v>4098200</v>
      </c>
    </row>
    <row r="115" spans="1:8" x14ac:dyDescent="0.35">
      <c r="A115" s="26" t="s">
        <v>27</v>
      </c>
      <c r="B115" s="10">
        <v>0</v>
      </c>
      <c r="C115" s="10">
        <v>0</v>
      </c>
      <c r="D115" s="10">
        <f>'FY26'!S115</f>
        <v>181500</v>
      </c>
      <c r="E115" s="10">
        <f>'FY27'!S115</f>
        <v>222775</v>
      </c>
      <c r="F115" s="10">
        <f>'FY28'!S115</f>
        <v>290722.5</v>
      </c>
      <c r="G115" s="10">
        <f>'FY29'!S115</f>
        <v>358875</v>
      </c>
      <c r="H115" s="10">
        <f>'FY30'!S115</f>
        <v>462700</v>
      </c>
    </row>
    <row r="116" spans="1:8" x14ac:dyDescent="0.35">
      <c r="A116" s="26" t="s">
        <v>95</v>
      </c>
      <c r="B116" s="10">
        <v>0</v>
      </c>
      <c r="C116" s="10">
        <v>0</v>
      </c>
      <c r="D116" s="10">
        <f>'FY26'!S116</f>
        <v>107000</v>
      </c>
      <c r="E116" s="10">
        <f>'FY27'!S116</f>
        <v>113324.74999999997</v>
      </c>
      <c r="F116" s="10">
        <f>'FY28'!S116</f>
        <v>137152.26441062498</v>
      </c>
      <c r="G116" s="10">
        <f>'FY29'!S116</f>
        <v>141221.78705473122</v>
      </c>
      <c r="H116" s="10">
        <f>'FY30'!S116</f>
        <v>181855.00350568251</v>
      </c>
    </row>
    <row r="117" spans="1:8" x14ac:dyDescent="0.35">
      <c r="A117" s="26" t="s">
        <v>96</v>
      </c>
      <c r="B117" s="10">
        <v>0</v>
      </c>
      <c r="C117" s="10">
        <v>0</v>
      </c>
      <c r="D117" s="10">
        <f>'FY26'!S117</f>
        <v>29600</v>
      </c>
      <c r="E117" s="10">
        <f>'FY27'!S117</f>
        <v>71040</v>
      </c>
      <c r="F117" s="10">
        <f>'FY28'!S117</f>
        <v>88800</v>
      </c>
      <c r="G117" s="10">
        <f>'FY29'!S117</f>
        <v>72520</v>
      </c>
      <c r="H117" s="10">
        <f>'FY30'!S117</f>
        <v>74000</v>
      </c>
    </row>
    <row r="118" spans="1:8" x14ac:dyDescent="0.35">
      <c r="A118" s="26" t="s">
        <v>292</v>
      </c>
      <c r="B118" s="10">
        <v>0</v>
      </c>
      <c r="C118" s="10">
        <v>0</v>
      </c>
      <c r="D118" s="10">
        <f>'FY26'!S118</f>
        <v>149760</v>
      </c>
      <c r="E118" s="10">
        <f>'FY27'!S118</f>
        <v>331200</v>
      </c>
      <c r="F118" s="10">
        <f>'FY28'!S118</f>
        <v>388800</v>
      </c>
      <c r="G118" s="10">
        <f>'FY29'!S118</f>
        <v>493920</v>
      </c>
      <c r="H118" s="10">
        <f>'FY30'!S118</f>
        <v>684000</v>
      </c>
    </row>
    <row r="119" spans="1:8" x14ac:dyDescent="0.35">
      <c r="A119" s="26" t="s">
        <v>97</v>
      </c>
      <c r="B119" s="10">
        <v>0</v>
      </c>
      <c r="C119" s="10">
        <v>0</v>
      </c>
      <c r="D119" s="10">
        <f>'FY26'!S119</f>
        <v>76800</v>
      </c>
      <c r="E119" s="10">
        <f>'FY27'!S119</f>
        <v>110400</v>
      </c>
      <c r="F119" s="10">
        <f>'FY28'!S119</f>
        <v>138240</v>
      </c>
      <c r="G119" s="10">
        <f>'FY29'!S119</f>
        <v>235200</v>
      </c>
      <c r="H119" s="10">
        <f>'FY30'!S119</f>
        <v>288000</v>
      </c>
    </row>
    <row r="120" spans="1:8" x14ac:dyDescent="0.35">
      <c r="A120" s="26" t="s">
        <v>56</v>
      </c>
      <c r="B120" s="10">
        <v>0</v>
      </c>
      <c r="C120" s="10">
        <v>0</v>
      </c>
      <c r="D120" s="10">
        <f>'FY26'!S120</f>
        <v>45000</v>
      </c>
      <c r="E120" s="10">
        <f>'FY27'!S120</f>
        <v>47500</v>
      </c>
      <c r="F120" s="10">
        <f>'FY28'!S120</f>
        <v>50000</v>
      </c>
      <c r="G120" s="10">
        <f>'FY29'!S120</f>
        <v>50500</v>
      </c>
      <c r="H120" s="10">
        <f>'FY30'!S120</f>
        <v>56000</v>
      </c>
    </row>
    <row r="121" spans="1:8" x14ac:dyDescent="0.35">
      <c r="A121" s="57" t="s">
        <v>98</v>
      </c>
      <c r="B121" s="58">
        <f>SUM(B107:B120)</f>
        <v>0</v>
      </c>
      <c r="C121" s="58">
        <f>SUM(C107:C120)</f>
        <v>0</v>
      </c>
      <c r="D121" s="58">
        <f t="shared" ref="D121:G121" si="59">SUM(D107:D120)</f>
        <v>2875910</v>
      </c>
      <c r="E121" s="58">
        <f t="shared" si="59"/>
        <v>4028833.625</v>
      </c>
      <c r="F121" s="58">
        <f t="shared" si="59"/>
        <v>5048642.4213231253</v>
      </c>
      <c r="G121" s="58">
        <f t="shared" si="59"/>
        <v>5903384.1992346058</v>
      </c>
      <c r="H121" s="58">
        <f t="shared" ref="H121" si="60">SUM(H107:H120)</f>
        <v>6915522.6597346403</v>
      </c>
    </row>
    <row r="122" spans="1:8" x14ac:dyDescent="0.35">
      <c r="A122" s="59" t="s">
        <v>99</v>
      </c>
      <c r="B122" s="45"/>
      <c r="C122" s="45"/>
      <c r="D122" s="45"/>
      <c r="E122" s="45"/>
      <c r="F122" s="45"/>
      <c r="G122" s="45"/>
      <c r="H122" s="45"/>
    </row>
    <row r="123" spans="1:8" x14ac:dyDescent="0.35">
      <c r="A123" s="26" t="s">
        <v>42</v>
      </c>
      <c r="B123" s="10">
        <v>0</v>
      </c>
      <c r="C123" s="10">
        <v>0</v>
      </c>
      <c r="D123" s="10">
        <f>'FY26'!S123</f>
        <v>0</v>
      </c>
      <c r="E123" s="10">
        <f>'FY27'!S123</f>
        <v>0</v>
      </c>
      <c r="F123" s="10">
        <f>'FY28'!S123</f>
        <v>0</v>
      </c>
      <c r="G123" s="10">
        <f>'FY29'!S123</f>
        <v>0</v>
      </c>
      <c r="H123" s="10">
        <f>'FY30'!S123</f>
        <v>0</v>
      </c>
    </row>
    <row r="124" spans="1:8" x14ac:dyDescent="0.35">
      <c r="A124" s="26" t="s">
        <v>43</v>
      </c>
      <c r="B124" s="10">
        <v>0</v>
      </c>
      <c r="C124" s="10">
        <v>0</v>
      </c>
      <c r="D124" s="10">
        <f>'FY26'!S124</f>
        <v>0</v>
      </c>
      <c r="E124" s="10">
        <f>'FY27'!S124</f>
        <v>0</v>
      </c>
      <c r="F124" s="10">
        <f>'FY28'!S124</f>
        <v>0</v>
      </c>
      <c r="G124" s="10">
        <f>'FY29'!S124</f>
        <v>0</v>
      </c>
      <c r="H124" s="10">
        <f>'FY30'!S124</f>
        <v>0</v>
      </c>
    </row>
    <row r="125" spans="1:8" x14ac:dyDescent="0.35">
      <c r="A125" s="26" t="s">
        <v>44</v>
      </c>
      <c r="B125" s="10">
        <v>0</v>
      </c>
      <c r="C125" s="10">
        <v>0</v>
      </c>
      <c r="D125" s="10">
        <f>'FY26'!S125</f>
        <v>0</v>
      </c>
      <c r="E125" s="10">
        <f>'FY27'!S125</f>
        <v>0</v>
      </c>
      <c r="F125" s="10">
        <f>'FY28'!S125</f>
        <v>0</v>
      </c>
      <c r="G125" s="10">
        <f>'FY29'!S125</f>
        <v>0</v>
      </c>
      <c r="H125" s="10">
        <f>'FY30'!S125</f>
        <v>0</v>
      </c>
    </row>
    <row r="126" spans="1:8" x14ac:dyDescent="0.35">
      <c r="A126" s="26" t="s">
        <v>100</v>
      </c>
      <c r="B126" s="10">
        <v>0</v>
      </c>
      <c r="C126" s="10">
        <v>0</v>
      </c>
      <c r="D126" s="10">
        <f>'FY26'!S126</f>
        <v>0</v>
      </c>
      <c r="E126" s="10">
        <f>'FY27'!S126</f>
        <v>0</v>
      </c>
      <c r="F126" s="10">
        <f>'FY28'!S126</f>
        <v>0</v>
      </c>
      <c r="G126" s="10">
        <f>'FY29'!S126</f>
        <v>0</v>
      </c>
      <c r="H126" s="10">
        <f>'FY30'!S126</f>
        <v>0</v>
      </c>
    </row>
    <row r="127" spans="1:8" x14ac:dyDescent="0.35">
      <c r="A127" s="26" t="s">
        <v>47</v>
      </c>
      <c r="B127" s="10">
        <v>0</v>
      </c>
      <c r="C127" s="10">
        <v>0</v>
      </c>
      <c r="D127" s="10">
        <f>'FY26'!S127</f>
        <v>0</v>
      </c>
      <c r="E127" s="10">
        <f>'FY27'!S127</f>
        <v>0</v>
      </c>
      <c r="F127" s="10">
        <f>'FY28'!S127</f>
        <v>0</v>
      </c>
      <c r="G127" s="10">
        <f>'FY29'!S127</f>
        <v>0</v>
      </c>
      <c r="H127" s="10">
        <f>'FY30'!S127</f>
        <v>0</v>
      </c>
    </row>
    <row r="128" spans="1:8" x14ac:dyDescent="0.35">
      <c r="A128" s="26" t="s">
        <v>276</v>
      </c>
      <c r="B128" s="10">
        <v>0</v>
      </c>
      <c r="C128" s="10">
        <v>0</v>
      </c>
      <c r="D128" s="10">
        <f>'FY26'!S128</f>
        <v>0</v>
      </c>
      <c r="E128" s="10">
        <f>'FY27'!S128</f>
        <v>0</v>
      </c>
      <c r="F128" s="10">
        <f>'FY28'!S128</f>
        <v>0</v>
      </c>
      <c r="G128" s="10">
        <f>'FY29'!S128</f>
        <v>0</v>
      </c>
      <c r="H128" s="10">
        <f>'FY30'!S128</f>
        <v>0</v>
      </c>
    </row>
    <row r="129" spans="1:8" x14ac:dyDescent="0.35">
      <c r="A129" s="26" t="s">
        <v>306</v>
      </c>
      <c r="B129" s="10">
        <v>0</v>
      </c>
      <c r="C129" s="10">
        <v>0</v>
      </c>
      <c r="D129" s="10">
        <f>'FY26'!S129</f>
        <v>0</v>
      </c>
      <c r="E129" s="10">
        <f>'FY27'!S129</f>
        <v>0</v>
      </c>
      <c r="F129" s="10">
        <f>'FY28'!S129</f>
        <v>0</v>
      </c>
      <c r="G129" s="10">
        <f>'FY29'!S129</f>
        <v>0</v>
      </c>
      <c r="H129" s="10">
        <f>'FY30'!S129</f>
        <v>0</v>
      </c>
    </row>
    <row r="130" spans="1:8" x14ac:dyDescent="0.35">
      <c r="A130" s="26" t="s">
        <v>55</v>
      </c>
      <c r="B130" s="10">
        <v>0</v>
      </c>
      <c r="C130" s="10">
        <v>0</v>
      </c>
      <c r="D130" s="10">
        <f>'FY26'!S130</f>
        <v>0</v>
      </c>
      <c r="E130" s="10">
        <f>'FY27'!S130</f>
        <v>0</v>
      </c>
      <c r="F130" s="10">
        <f>'FY28'!S130</f>
        <v>0</v>
      </c>
      <c r="G130" s="10">
        <f>'FY29'!S130</f>
        <v>0</v>
      </c>
      <c r="H130" s="10">
        <f>'FY30'!S130</f>
        <v>0</v>
      </c>
    </row>
    <row r="131" spans="1:8" x14ac:dyDescent="0.35">
      <c r="A131" s="60" t="s">
        <v>101</v>
      </c>
      <c r="B131" s="61">
        <f>SUM(B123:B130)</f>
        <v>0</v>
      </c>
      <c r="C131" s="61">
        <f>SUM(C123:C130)</f>
        <v>0</v>
      </c>
      <c r="D131" s="61">
        <f t="shared" ref="D131:G131" si="61">SUM(D123:D130)</f>
        <v>0</v>
      </c>
      <c r="E131" s="61">
        <f t="shared" si="61"/>
        <v>0</v>
      </c>
      <c r="F131" s="61">
        <f t="shared" si="61"/>
        <v>0</v>
      </c>
      <c r="G131" s="61">
        <f t="shared" si="61"/>
        <v>0</v>
      </c>
      <c r="H131" s="61">
        <f t="shared" ref="H131" si="62">SUM(H123:H130)</f>
        <v>0</v>
      </c>
    </row>
    <row r="132" spans="1:8" x14ac:dyDescent="0.35">
      <c r="A132" s="62" t="s">
        <v>102</v>
      </c>
      <c r="B132" s="63">
        <f t="shared" ref="B132:G132" si="63">B121+B131</f>
        <v>0</v>
      </c>
      <c r="C132" s="63">
        <f t="shared" ref="C132" si="64">C121+C131</f>
        <v>0</v>
      </c>
      <c r="D132" s="63">
        <f t="shared" si="63"/>
        <v>2875910</v>
      </c>
      <c r="E132" s="63">
        <f t="shared" si="63"/>
        <v>4028833.625</v>
      </c>
      <c r="F132" s="63">
        <f t="shared" si="63"/>
        <v>5048642.4213231253</v>
      </c>
      <c r="G132" s="63">
        <f t="shared" si="63"/>
        <v>5903384.1992346058</v>
      </c>
      <c r="H132" s="63">
        <f t="shared" ref="H132" si="65">H121+H131</f>
        <v>6915522.6597346403</v>
      </c>
    </row>
    <row r="133" spans="1:8" x14ac:dyDescent="0.35">
      <c r="A133" s="26" t="s">
        <v>258</v>
      </c>
      <c r="B133" s="10">
        <v>0</v>
      </c>
      <c r="C133" s="10">
        <v>0</v>
      </c>
      <c r="D133" s="10">
        <f>'FY26'!S133</f>
        <v>963429.85</v>
      </c>
      <c r="E133" s="10">
        <f>'FY27'!S133</f>
        <v>1349659.2643750003</v>
      </c>
      <c r="F133" s="10">
        <f>'FY28'!S133</f>
        <v>1691295.2111432469</v>
      </c>
      <c r="G133" s="10">
        <f>'FY29'!S133</f>
        <v>1977633.7067435929</v>
      </c>
      <c r="H133" s="10">
        <f>'FY30'!S133</f>
        <v>2316700.0910111046</v>
      </c>
    </row>
    <row r="134" spans="1:8" x14ac:dyDescent="0.35">
      <c r="A134" s="26" t="s">
        <v>103</v>
      </c>
      <c r="B134" s="10">
        <v>0</v>
      </c>
      <c r="C134" s="10">
        <v>0</v>
      </c>
      <c r="D134" s="10">
        <f>'FY26'!S134</f>
        <v>390310.5</v>
      </c>
      <c r="E134" s="10">
        <f>'FY27'!S134</f>
        <v>575706.41312499996</v>
      </c>
      <c r="F134" s="10">
        <f>'FY28'!S134</f>
        <v>741535.15895954054</v>
      </c>
      <c r="G134" s="10">
        <f>'FY29'!S134</f>
        <v>890441.93896555726</v>
      </c>
      <c r="H134" s="10">
        <f>'FY30'!S134</f>
        <v>1080649.7196880588</v>
      </c>
    </row>
    <row r="135" spans="1:8" x14ac:dyDescent="0.35">
      <c r="A135" s="26" t="s">
        <v>104</v>
      </c>
      <c r="B135" s="10">
        <v>0</v>
      </c>
      <c r="C135" s="10">
        <v>0</v>
      </c>
      <c r="D135" s="10">
        <f>'FY26'!S135</f>
        <v>18900</v>
      </c>
      <c r="E135" s="10">
        <f>'FY27'!S135</f>
        <v>62617.5</v>
      </c>
      <c r="F135" s="10">
        <f>'FY28'!S135</f>
        <v>77962.5</v>
      </c>
      <c r="G135" s="10">
        <f>'FY29'!S135</f>
        <v>110650</v>
      </c>
      <c r="H135" s="10">
        <f>'FY30'!S135</f>
        <v>124620</v>
      </c>
    </row>
    <row r="136" spans="1:8" x14ac:dyDescent="0.35">
      <c r="A136" s="26" t="s">
        <v>105</v>
      </c>
      <c r="B136" s="10">
        <v>0</v>
      </c>
      <c r="C136" s="10">
        <v>0</v>
      </c>
      <c r="D136" s="10">
        <f>'FY26'!S136</f>
        <v>8062.5</v>
      </c>
      <c r="E136" s="10">
        <f>'FY27'!S136</f>
        <v>10250</v>
      </c>
      <c r="F136" s="10">
        <f>'FY28'!S136</f>
        <v>12187.5</v>
      </c>
      <c r="G136" s="10">
        <f>'FY29'!S136</f>
        <v>16312.5</v>
      </c>
      <c r="H136" s="10">
        <f>'FY30'!S136</f>
        <v>15875</v>
      </c>
    </row>
    <row r="137" spans="1:8" x14ac:dyDescent="0.35">
      <c r="A137" s="26" t="s">
        <v>106</v>
      </c>
      <c r="B137" s="10">
        <v>0</v>
      </c>
      <c r="C137" s="10">
        <v>0</v>
      </c>
      <c r="D137" s="10">
        <f>'FY26'!S137</f>
        <v>0</v>
      </c>
      <c r="E137" s="10">
        <f>'FY27'!S137</f>
        <v>0</v>
      </c>
      <c r="F137" s="10">
        <f>'FY28'!S137</f>
        <v>0</v>
      </c>
      <c r="G137" s="10">
        <f>'FY29'!S137</f>
        <v>0</v>
      </c>
      <c r="H137" s="10">
        <f>'FY30'!S137</f>
        <v>0</v>
      </c>
    </row>
    <row r="138" spans="1:8" x14ac:dyDescent="0.35">
      <c r="A138" s="26" t="s">
        <v>107</v>
      </c>
      <c r="B138" s="10">
        <v>0</v>
      </c>
      <c r="C138" s="10">
        <v>0</v>
      </c>
      <c r="D138" s="10">
        <f>'FY26'!S138</f>
        <v>0</v>
      </c>
      <c r="E138" s="10">
        <f>'FY27'!S138</f>
        <v>0</v>
      </c>
      <c r="F138" s="10">
        <f>'FY28'!S138</f>
        <v>0</v>
      </c>
      <c r="G138" s="10">
        <f>'FY29'!S138</f>
        <v>0</v>
      </c>
      <c r="H138" s="10">
        <f>'FY30'!S138</f>
        <v>0</v>
      </c>
    </row>
    <row r="139" spans="1:8" x14ac:dyDescent="0.35">
      <c r="A139" s="26" t="s">
        <v>108</v>
      </c>
      <c r="B139" s="10">
        <v>0</v>
      </c>
      <c r="C139" s="10">
        <v>0</v>
      </c>
      <c r="D139" s="10">
        <f>'FY26'!S139</f>
        <v>11500</v>
      </c>
      <c r="E139" s="10">
        <f>'FY27'!S139</f>
        <v>11500</v>
      </c>
      <c r="F139" s="10">
        <f>'FY28'!S139</f>
        <v>15500</v>
      </c>
      <c r="G139" s="10">
        <f>'FY29'!S139</f>
        <v>15500</v>
      </c>
      <c r="H139" s="10">
        <f>'FY30'!S139</f>
        <v>25000</v>
      </c>
    </row>
    <row r="140" spans="1:8" x14ac:dyDescent="0.35">
      <c r="A140" s="26" t="s">
        <v>322</v>
      </c>
      <c r="B140" s="10">
        <v>0</v>
      </c>
      <c r="C140" s="10">
        <v>0</v>
      </c>
      <c r="D140" s="10">
        <f>'FY26'!S140</f>
        <v>74195</v>
      </c>
      <c r="E140" s="10">
        <f>'FY27'!S140</f>
        <v>90915</v>
      </c>
      <c r="F140" s="10">
        <f>'FY28'!S140</f>
        <v>109725</v>
      </c>
      <c r="G140" s="10">
        <f>'FY29'!S140</f>
        <v>126445</v>
      </c>
      <c r="H140" s="10">
        <f>'FY30'!S140</f>
        <v>144210</v>
      </c>
    </row>
    <row r="141" spans="1:8" x14ac:dyDescent="0.35">
      <c r="A141" s="64" t="s">
        <v>109</v>
      </c>
      <c r="B141" s="65">
        <f>SUM(B133:B140)</f>
        <v>0</v>
      </c>
      <c r="C141" s="65">
        <f>SUM(C133:C140)</f>
        <v>0</v>
      </c>
      <c r="D141" s="65">
        <f t="shared" ref="D141:G141" si="66">SUM(D133:D140)</f>
        <v>1466397.85</v>
      </c>
      <c r="E141" s="65">
        <f t="shared" si="66"/>
        <v>2100648.1775000002</v>
      </c>
      <c r="F141" s="65">
        <f t="shared" si="66"/>
        <v>2648205.3701027874</v>
      </c>
      <c r="G141" s="65">
        <f t="shared" si="66"/>
        <v>3136983.14570915</v>
      </c>
      <c r="H141" s="65">
        <f t="shared" ref="H141" si="67">SUM(H133:H140)</f>
        <v>3707054.8106991635</v>
      </c>
    </row>
    <row r="142" spans="1:8" x14ac:dyDescent="0.35">
      <c r="A142" s="62" t="s">
        <v>110</v>
      </c>
      <c r="B142" s="63">
        <f t="shared" ref="B142:G142" si="68">B132+B141</f>
        <v>0</v>
      </c>
      <c r="C142" s="63">
        <f t="shared" ref="C142" si="69">C132+C141</f>
        <v>0</v>
      </c>
      <c r="D142" s="63">
        <f t="shared" si="68"/>
        <v>4342307.8499999996</v>
      </c>
      <c r="E142" s="63">
        <f t="shared" si="68"/>
        <v>6129481.8025000002</v>
      </c>
      <c r="F142" s="63">
        <f t="shared" si="68"/>
        <v>7696847.7914259126</v>
      </c>
      <c r="G142" s="63">
        <f t="shared" si="68"/>
        <v>9040367.3449437562</v>
      </c>
      <c r="H142" s="63">
        <f t="shared" ref="H142" si="70">H132+H141</f>
        <v>10622577.470433803</v>
      </c>
    </row>
    <row r="143" spans="1:8" x14ac:dyDescent="0.35">
      <c r="A143" s="66" t="s">
        <v>256</v>
      </c>
      <c r="B143" s="15" t="str">
        <f t="shared" ref="B143:G143" si="71">B1</f>
        <v>FY24 (23-24)</v>
      </c>
      <c r="C143" s="15" t="str">
        <f t="shared" ref="C143" si="72">C1</f>
        <v>FY25 (24-25)</v>
      </c>
      <c r="D143" s="15" t="str">
        <f t="shared" si="71"/>
        <v>FY26 (25-26)</v>
      </c>
      <c r="E143" s="15" t="str">
        <f t="shared" si="71"/>
        <v>FY27 (26-27)</v>
      </c>
      <c r="F143" s="15" t="str">
        <f t="shared" si="71"/>
        <v>FY28 (27-28)</v>
      </c>
      <c r="G143" s="15" t="str">
        <f t="shared" si="71"/>
        <v>FY29 (28-29)</v>
      </c>
      <c r="H143" s="15" t="str">
        <f t="shared" ref="H143" si="73">H1</f>
        <v>FY30 (29-30)</v>
      </c>
    </row>
    <row r="144" spans="1:8" x14ac:dyDescent="0.35">
      <c r="A144" s="67" t="s">
        <v>111</v>
      </c>
      <c r="B144" s="10">
        <v>0</v>
      </c>
      <c r="C144" s="10">
        <v>0</v>
      </c>
      <c r="D144" s="10">
        <f>'FY26'!S144</f>
        <v>118885</v>
      </c>
      <c r="E144" s="10">
        <f>'FY27'!S144</f>
        <v>216890</v>
      </c>
      <c r="F144" s="10">
        <f>'FY28'!S144</f>
        <v>274800</v>
      </c>
      <c r="G144" s="10">
        <f>'FY29'!S144</f>
        <v>328500</v>
      </c>
      <c r="H144" s="10">
        <f>'FY30'!S144</f>
        <v>372300</v>
      </c>
    </row>
    <row r="145" spans="1:8" x14ac:dyDescent="0.35">
      <c r="A145" s="68" t="s">
        <v>112</v>
      </c>
      <c r="B145" s="10">
        <v>0</v>
      </c>
      <c r="C145" s="10">
        <v>0</v>
      </c>
      <c r="D145" s="10">
        <f>'FY26'!S145</f>
        <v>0</v>
      </c>
      <c r="E145" s="10">
        <f>'FY27'!S145</f>
        <v>0</v>
      </c>
      <c r="F145" s="10">
        <f>'FY28'!S145</f>
        <v>0</v>
      </c>
      <c r="G145" s="10">
        <f>'FY29'!S145</f>
        <v>0</v>
      </c>
      <c r="H145" s="10">
        <f>'FY30'!S145</f>
        <v>0</v>
      </c>
    </row>
    <row r="146" spans="1:8" x14ac:dyDescent="0.35">
      <c r="A146" s="26" t="s">
        <v>113</v>
      </c>
      <c r="B146" s="10">
        <v>0</v>
      </c>
      <c r="C146" s="10">
        <v>0</v>
      </c>
      <c r="D146" s="10">
        <f>'FY26'!S146</f>
        <v>0</v>
      </c>
      <c r="E146" s="10">
        <f>'FY27'!S146</f>
        <v>0</v>
      </c>
      <c r="F146" s="10">
        <f>'FY28'!S146</f>
        <v>0</v>
      </c>
      <c r="G146" s="10">
        <f>'FY29'!S146</f>
        <v>0</v>
      </c>
      <c r="H146" s="10">
        <f>'FY30'!S146</f>
        <v>0</v>
      </c>
    </row>
    <row r="147" spans="1:8" x14ac:dyDescent="0.35">
      <c r="A147" s="26" t="s">
        <v>114</v>
      </c>
      <c r="B147" s="10">
        <v>0</v>
      </c>
      <c r="C147" s="10">
        <v>0</v>
      </c>
      <c r="D147" s="10">
        <f>'FY26'!S147</f>
        <v>26510</v>
      </c>
      <c r="E147" s="10">
        <f>'FY27'!S147</f>
        <v>36505</v>
      </c>
      <c r="F147" s="10">
        <f>'FY28'!S147</f>
        <v>43575</v>
      </c>
      <c r="G147" s="10">
        <f>'FY29'!S147</f>
        <v>50804</v>
      </c>
      <c r="H147" s="10">
        <f>'FY30'!S147</f>
        <v>57520</v>
      </c>
    </row>
    <row r="148" spans="1:8" x14ac:dyDescent="0.35">
      <c r="A148" s="26" t="s">
        <v>115</v>
      </c>
      <c r="B148" s="10">
        <v>0</v>
      </c>
      <c r="C148" s="10">
        <v>0</v>
      </c>
      <c r="D148" s="10">
        <f>'FY26'!S148</f>
        <v>38350</v>
      </c>
      <c r="E148" s="10">
        <f>'FY27'!S148</f>
        <v>51865</v>
      </c>
      <c r="F148" s="10">
        <f>'FY28'!S148</f>
        <v>64120</v>
      </c>
      <c r="G148" s="10">
        <f>'FY29'!S148</f>
        <v>74898</v>
      </c>
      <c r="H148" s="10">
        <f>'FY30'!S148</f>
        <v>84680</v>
      </c>
    </row>
    <row r="149" spans="1:8" x14ac:dyDescent="0.35">
      <c r="A149" s="26" t="s">
        <v>116</v>
      </c>
      <c r="B149" s="10">
        <v>0</v>
      </c>
      <c r="C149" s="10">
        <v>0</v>
      </c>
      <c r="D149" s="10">
        <f>'FY26'!S149</f>
        <v>19175</v>
      </c>
      <c r="E149" s="10">
        <f>'FY27'!S149</f>
        <v>25461</v>
      </c>
      <c r="F149" s="10">
        <f>'FY28'!S149</f>
        <v>30915</v>
      </c>
      <c r="G149" s="10">
        <f>'FY29'!S149</f>
        <v>36792</v>
      </c>
      <c r="H149" s="10">
        <f>'FY30'!S149</f>
        <v>42340</v>
      </c>
    </row>
    <row r="150" spans="1:8" x14ac:dyDescent="0.35">
      <c r="A150" s="26" t="s">
        <v>117</v>
      </c>
      <c r="B150" s="10">
        <v>0</v>
      </c>
      <c r="C150" s="10">
        <v>0</v>
      </c>
      <c r="D150" s="10">
        <f>'FY26'!S150</f>
        <v>7670</v>
      </c>
      <c r="E150" s="10">
        <f>'FY27'!S150</f>
        <v>9430</v>
      </c>
      <c r="F150" s="10">
        <f>'FY28'!S150</f>
        <v>11450</v>
      </c>
      <c r="G150" s="10">
        <f>'FY29'!S150</f>
        <v>14454</v>
      </c>
      <c r="H150" s="10">
        <f>'FY30'!S150</f>
        <v>17520</v>
      </c>
    </row>
    <row r="151" spans="1:8" x14ac:dyDescent="0.35">
      <c r="A151" s="26" t="s">
        <v>118</v>
      </c>
      <c r="B151" s="10">
        <v>0</v>
      </c>
      <c r="C151" s="10">
        <v>0</v>
      </c>
      <c r="D151" s="10">
        <f>'FY26'!S151</f>
        <v>13500</v>
      </c>
      <c r="E151" s="10">
        <f>'FY27'!S151</f>
        <v>14720</v>
      </c>
      <c r="F151" s="10">
        <f>'FY28'!S151</f>
        <v>18080</v>
      </c>
      <c r="G151" s="10">
        <f>'FY29'!S151</f>
        <v>22331</v>
      </c>
      <c r="H151" s="10">
        <f>'FY30'!S151</f>
        <v>25905</v>
      </c>
    </row>
    <row r="152" spans="1:8" x14ac:dyDescent="0.35">
      <c r="A152" s="26" t="s">
        <v>119</v>
      </c>
      <c r="B152" s="10">
        <v>0</v>
      </c>
      <c r="C152" s="10">
        <v>0</v>
      </c>
      <c r="D152" s="10">
        <f>'FY26'!S152</f>
        <v>0</v>
      </c>
      <c r="E152" s="10">
        <f>'FY27'!S152</f>
        <v>0</v>
      </c>
      <c r="F152" s="10">
        <f>'FY28'!S152</f>
        <v>0</v>
      </c>
      <c r="G152" s="10">
        <f>'FY29'!S152</f>
        <v>0</v>
      </c>
      <c r="H152" s="10">
        <f>'FY30'!S152</f>
        <v>0</v>
      </c>
    </row>
    <row r="153" spans="1:8" x14ac:dyDescent="0.35">
      <c r="A153" s="69" t="s">
        <v>161</v>
      </c>
      <c r="B153" s="10">
        <v>0</v>
      </c>
      <c r="C153" s="10">
        <v>0</v>
      </c>
      <c r="D153" s="10">
        <f>'FY26'!S153</f>
        <v>34515</v>
      </c>
      <c r="E153" s="10">
        <f>'FY27'!S153</f>
        <v>42435</v>
      </c>
      <c r="F153" s="10">
        <f>'FY28'!S153</f>
        <v>52670</v>
      </c>
      <c r="G153" s="10">
        <f>'FY29'!S153</f>
        <v>61758</v>
      </c>
      <c r="H153" s="10">
        <f>'FY30'!S153</f>
        <v>70080</v>
      </c>
    </row>
    <row r="154" spans="1:8" x14ac:dyDescent="0.35">
      <c r="A154" s="62" t="s">
        <v>257</v>
      </c>
      <c r="B154" s="63">
        <f>SUM(B144:B153)</f>
        <v>0</v>
      </c>
      <c r="C154" s="63">
        <f>SUM(C144:C153)</f>
        <v>0</v>
      </c>
      <c r="D154" s="63">
        <f t="shared" ref="D154:G154" si="74">SUM(D144:D153)</f>
        <v>258605</v>
      </c>
      <c r="E154" s="63">
        <f t="shared" si="74"/>
        <v>397306</v>
      </c>
      <c r="F154" s="63">
        <f t="shared" si="74"/>
        <v>495610</v>
      </c>
      <c r="G154" s="63">
        <f t="shared" si="74"/>
        <v>589537</v>
      </c>
      <c r="H154" s="63">
        <f t="shared" ref="H154" si="75">SUM(H144:H153)</f>
        <v>670345</v>
      </c>
    </row>
    <row r="155" spans="1:8" x14ac:dyDescent="0.35">
      <c r="A155" s="66" t="s">
        <v>120</v>
      </c>
      <c r="B155" s="15" t="str">
        <f t="shared" ref="B155:G155" si="76">B1</f>
        <v>FY24 (23-24)</v>
      </c>
      <c r="C155" s="15" t="str">
        <f t="shared" ref="C155" si="77">C1</f>
        <v>FY25 (24-25)</v>
      </c>
      <c r="D155" s="15" t="str">
        <f t="shared" si="76"/>
        <v>FY26 (25-26)</v>
      </c>
      <c r="E155" s="15" t="str">
        <f t="shared" si="76"/>
        <v>FY27 (26-27)</v>
      </c>
      <c r="F155" s="15" t="str">
        <f t="shared" si="76"/>
        <v>FY28 (27-28)</v>
      </c>
      <c r="G155" s="15" t="str">
        <f t="shared" si="76"/>
        <v>FY29 (28-29)</v>
      </c>
      <c r="H155" s="15" t="str">
        <f t="shared" ref="H155" si="78">H1</f>
        <v>FY30 (29-30)</v>
      </c>
    </row>
    <row r="156" spans="1:8" x14ac:dyDescent="0.35">
      <c r="A156" s="26" t="s">
        <v>457</v>
      </c>
      <c r="B156" s="10">
        <v>0</v>
      </c>
      <c r="C156" s="10">
        <v>0</v>
      </c>
      <c r="D156" s="10">
        <f>'FY26'!S156</f>
        <v>16068</v>
      </c>
      <c r="E156" s="10">
        <f>'FY27'!S156</f>
        <v>24074.961264000001</v>
      </c>
      <c r="F156" s="10">
        <f>'FY28'!S156</f>
        <v>23827.608</v>
      </c>
      <c r="G156" s="10">
        <f>'FY29'!S156</f>
        <v>22692.959999999999</v>
      </c>
      <c r="H156" s="10">
        <f>'FY30'!S156</f>
        <v>23827.608</v>
      </c>
    </row>
    <row r="157" spans="1:8" x14ac:dyDescent="0.35">
      <c r="A157" s="26" t="s">
        <v>121</v>
      </c>
      <c r="B157" s="10">
        <v>0</v>
      </c>
      <c r="C157" s="10">
        <v>0</v>
      </c>
      <c r="D157" s="10">
        <f>'FY26'!S157</f>
        <v>203255</v>
      </c>
      <c r="E157" s="10">
        <f>'FY27'!S157</f>
        <v>306475</v>
      </c>
      <c r="F157" s="10">
        <f>'FY28'!S157</f>
        <v>458000</v>
      </c>
      <c r="G157" s="10">
        <f>'FY29'!S157</f>
        <v>525600</v>
      </c>
      <c r="H157" s="10">
        <f>'FY30'!S157</f>
        <v>635100</v>
      </c>
    </row>
    <row r="158" spans="1:8" x14ac:dyDescent="0.35">
      <c r="A158" s="26" t="s">
        <v>285</v>
      </c>
      <c r="B158" s="10">
        <v>0</v>
      </c>
      <c r="C158" s="10">
        <v>0</v>
      </c>
      <c r="D158" s="10">
        <f>'FY26'!S158</f>
        <v>0</v>
      </c>
      <c r="E158" s="10">
        <f>'FY27'!S158</f>
        <v>0</v>
      </c>
      <c r="F158" s="10">
        <f>'FY28'!S158</f>
        <v>0</v>
      </c>
      <c r="G158" s="10">
        <f>'FY29'!S158</f>
        <v>0</v>
      </c>
      <c r="H158" s="10">
        <f>'FY30'!S158</f>
        <v>0</v>
      </c>
    </row>
    <row r="159" spans="1:8" x14ac:dyDescent="0.35">
      <c r="A159" s="26" t="s">
        <v>285</v>
      </c>
      <c r="B159" s="10">
        <v>0</v>
      </c>
      <c r="C159" s="10">
        <v>0</v>
      </c>
      <c r="D159" s="10">
        <f>'FY26'!S159</f>
        <v>0</v>
      </c>
      <c r="E159" s="10">
        <f>'FY27'!S159</f>
        <v>0</v>
      </c>
      <c r="F159" s="10">
        <f>'FY28'!S159</f>
        <v>0</v>
      </c>
      <c r="G159" s="10">
        <f>'FY29'!S159</f>
        <v>0</v>
      </c>
      <c r="H159" s="10">
        <f>'FY30'!S159</f>
        <v>0</v>
      </c>
    </row>
    <row r="160" spans="1:8" x14ac:dyDescent="0.35">
      <c r="A160" s="26" t="s">
        <v>122</v>
      </c>
      <c r="B160" s="10">
        <v>0</v>
      </c>
      <c r="C160" s="10">
        <v>0</v>
      </c>
      <c r="D160" s="10">
        <f>'FY26'!S160</f>
        <v>379665</v>
      </c>
      <c r="E160" s="10">
        <f>'FY27'!S160</f>
        <v>466785</v>
      </c>
      <c r="F160" s="10">
        <f>'FY28'!S160</f>
        <v>566775</v>
      </c>
      <c r="G160" s="10">
        <f>'FY29'!S160</f>
        <v>650430</v>
      </c>
      <c r="H160" s="10">
        <f>'FY30'!S160</f>
        <v>722700</v>
      </c>
    </row>
    <row r="161" spans="1:8" x14ac:dyDescent="0.35">
      <c r="A161" s="26" t="s">
        <v>123</v>
      </c>
      <c r="B161" s="10">
        <v>0</v>
      </c>
      <c r="C161" s="10">
        <v>0</v>
      </c>
      <c r="D161" s="10">
        <f>'FY26'!S161</f>
        <v>20535</v>
      </c>
      <c r="E161" s="10">
        <f>'FY27'!S161</f>
        <v>24950</v>
      </c>
      <c r="F161" s="10">
        <f>'FY28'!S161</f>
        <v>28412.5</v>
      </c>
      <c r="G161" s="10">
        <f>'FY29'!S161</f>
        <v>37407.5</v>
      </c>
      <c r="H161" s="10">
        <f>'FY30'!S161</f>
        <v>44570</v>
      </c>
    </row>
    <row r="162" spans="1:8" x14ac:dyDescent="0.35">
      <c r="A162" s="26" t="s">
        <v>124</v>
      </c>
      <c r="B162" s="10">
        <v>0</v>
      </c>
      <c r="C162" s="10">
        <v>0</v>
      </c>
      <c r="D162" s="10">
        <f>'FY26'!S162</f>
        <v>0</v>
      </c>
      <c r="E162" s="10">
        <f>'FY27'!S162</f>
        <v>40000</v>
      </c>
      <c r="F162" s="10">
        <f>'FY28'!S162</f>
        <v>42000</v>
      </c>
      <c r="G162" s="10">
        <f>'FY29'!S162</f>
        <v>45000</v>
      </c>
      <c r="H162" s="10">
        <f>'FY30'!S162</f>
        <v>48000</v>
      </c>
    </row>
    <row r="163" spans="1:8" x14ac:dyDescent="0.35">
      <c r="A163" s="26" t="s">
        <v>125</v>
      </c>
      <c r="B163" s="10">
        <v>0</v>
      </c>
      <c r="C163" s="10">
        <v>0</v>
      </c>
      <c r="D163" s="10">
        <f>'FY26'!S163</f>
        <v>6500</v>
      </c>
      <c r="E163" s="10">
        <f>'FY27'!S163</f>
        <v>6500</v>
      </c>
      <c r="F163" s="10">
        <f>'FY28'!S163</f>
        <v>6500</v>
      </c>
      <c r="G163" s="10">
        <f>'FY29'!S163</f>
        <v>7000</v>
      </c>
      <c r="H163" s="10">
        <f>'FY30'!S163</f>
        <v>7000</v>
      </c>
    </row>
    <row r="164" spans="1:8" x14ac:dyDescent="0.35">
      <c r="A164" s="26" t="s">
        <v>126</v>
      </c>
      <c r="B164" s="10">
        <v>0</v>
      </c>
      <c r="C164" s="10">
        <v>0</v>
      </c>
      <c r="D164" s="10">
        <f>'FY26'!S164</f>
        <v>39070</v>
      </c>
      <c r="E164" s="10">
        <f>'FY27'!S164</f>
        <v>47870</v>
      </c>
      <c r="F164" s="10">
        <f>'FY28'!S164</f>
        <v>57970</v>
      </c>
      <c r="G164" s="10">
        <f>'FY29'!S164</f>
        <v>66420</v>
      </c>
      <c r="H164" s="10">
        <f>'FY30'!S164</f>
        <v>73720</v>
      </c>
    </row>
    <row r="165" spans="1:8" x14ac:dyDescent="0.35">
      <c r="A165" s="26" t="s">
        <v>127</v>
      </c>
      <c r="B165" s="10">
        <v>0</v>
      </c>
      <c r="C165" s="10">
        <v>0</v>
      </c>
      <c r="D165" s="10">
        <f>'FY26'!S165</f>
        <v>18000</v>
      </c>
      <c r="E165" s="10">
        <f>'FY27'!S165</f>
        <v>27500</v>
      </c>
      <c r="F165" s="10">
        <f>'FY28'!S165</f>
        <v>23000</v>
      </c>
      <c r="G165" s="10">
        <f>'FY29'!S165</f>
        <v>24500</v>
      </c>
      <c r="H165" s="10">
        <f>'FY30'!S165</f>
        <v>24500</v>
      </c>
    </row>
    <row r="166" spans="1:8" x14ac:dyDescent="0.35">
      <c r="A166" s="26" t="s">
        <v>128</v>
      </c>
      <c r="B166" s="10">
        <v>0</v>
      </c>
      <c r="C166" s="10">
        <v>0</v>
      </c>
      <c r="D166" s="10">
        <f>'FY26'!S166</f>
        <v>91608.5625</v>
      </c>
      <c r="E166" s="10">
        <f>'FY27'!S166</f>
        <v>114279.8125</v>
      </c>
      <c r="F166" s="10">
        <f>'FY28'!S166</f>
        <v>140835</v>
      </c>
      <c r="G166" s="10">
        <f>'FY29'!S166</f>
        <v>164036.47500000001</v>
      </c>
      <c r="H166" s="10">
        <f>'FY30'!S166</f>
        <v>184982</v>
      </c>
    </row>
    <row r="167" spans="1:8" x14ac:dyDescent="0.35">
      <c r="A167" s="26" t="s">
        <v>129</v>
      </c>
      <c r="B167" s="10">
        <v>0</v>
      </c>
      <c r="C167" s="10">
        <v>0</v>
      </c>
      <c r="D167" s="10">
        <f>'FY26'!S167</f>
        <v>36643.425000000003</v>
      </c>
      <c r="E167" s="10">
        <f>'FY27'!S167</f>
        <v>45711.925000000003</v>
      </c>
      <c r="F167" s="10">
        <f>'FY28'!S167</f>
        <v>56334</v>
      </c>
      <c r="G167" s="10">
        <f>'FY29'!S167</f>
        <v>65614.59</v>
      </c>
      <c r="H167" s="10">
        <f>'FY30'!S167</f>
        <v>73992.800000000003</v>
      </c>
    </row>
    <row r="168" spans="1:8" x14ac:dyDescent="0.35">
      <c r="A168" s="26" t="s">
        <v>131</v>
      </c>
      <c r="B168" s="10">
        <v>0</v>
      </c>
      <c r="C168" s="10">
        <v>0</v>
      </c>
      <c r="D168" s="10">
        <f>'FY26'!S168</f>
        <v>36643.425000000003</v>
      </c>
      <c r="E168" s="10">
        <f>'FY27'!S168</f>
        <v>45711.925000000003</v>
      </c>
      <c r="F168" s="10">
        <f>'FY28'!S168</f>
        <v>56334</v>
      </c>
      <c r="G168" s="10">
        <f>'FY29'!S168</f>
        <v>65614.59</v>
      </c>
      <c r="H168" s="10">
        <f>'FY30'!S168</f>
        <v>73992.800000000003</v>
      </c>
    </row>
    <row r="169" spans="1:8" x14ac:dyDescent="0.35">
      <c r="A169" s="69" t="s">
        <v>132</v>
      </c>
      <c r="B169" s="10">
        <v>0</v>
      </c>
      <c r="C169" s="10">
        <v>0</v>
      </c>
      <c r="D169" s="10">
        <f>'FY26'!S169</f>
        <v>0</v>
      </c>
      <c r="E169" s="10">
        <f>'FY27'!S169</f>
        <v>0</v>
      </c>
      <c r="F169" s="10">
        <f>'FY28'!S169</f>
        <v>0</v>
      </c>
      <c r="G169" s="10">
        <f>'FY29'!S169</f>
        <v>0</v>
      </c>
      <c r="H169" s="10">
        <f>'FY30'!S169</f>
        <v>0</v>
      </c>
    </row>
    <row r="170" spans="1:8" x14ac:dyDescent="0.35">
      <c r="A170" s="62" t="s">
        <v>133</v>
      </c>
      <c r="B170" s="63">
        <f>SUM(B156:B169)</f>
        <v>0</v>
      </c>
      <c r="C170" s="63">
        <f>SUM(C156:C169)</f>
        <v>0</v>
      </c>
      <c r="D170" s="63">
        <f t="shared" ref="D170:G170" si="79">SUM(D156:D169)</f>
        <v>847988.41250000009</v>
      </c>
      <c r="E170" s="63">
        <f t="shared" si="79"/>
        <v>1149858.6237640001</v>
      </c>
      <c r="F170" s="63">
        <f t="shared" si="79"/>
        <v>1459988.108</v>
      </c>
      <c r="G170" s="63">
        <f t="shared" si="79"/>
        <v>1674316.1150000002</v>
      </c>
      <c r="H170" s="63">
        <f t="shared" ref="H170" si="80">SUM(H156:H169)</f>
        <v>1912385.2080000001</v>
      </c>
    </row>
    <row r="171" spans="1:8" x14ac:dyDescent="0.35">
      <c r="A171" s="66" t="s">
        <v>134</v>
      </c>
      <c r="B171" s="15" t="str">
        <f t="shared" ref="B171:G171" si="81">B1</f>
        <v>FY24 (23-24)</v>
      </c>
      <c r="C171" s="15" t="str">
        <f t="shared" ref="C171" si="82">C1</f>
        <v>FY25 (24-25)</v>
      </c>
      <c r="D171" s="15" t="str">
        <f t="shared" si="81"/>
        <v>FY26 (25-26)</v>
      </c>
      <c r="E171" s="15" t="str">
        <f t="shared" si="81"/>
        <v>FY27 (26-27)</v>
      </c>
      <c r="F171" s="15" t="str">
        <f t="shared" si="81"/>
        <v>FY28 (27-28)</v>
      </c>
      <c r="G171" s="15" t="str">
        <f t="shared" si="81"/>
        <v>FY29 (28-29)</v>
      </c>
      <c r="H171" s="15" t="str">
        <f t="shared" ref="H171" si="83">H1</f>
        <v>FY30 (29-30)</v>
      </c>
    </row>
    <row r="172" spans="1:8" x14ac:dyDescent="0.35">
      <c r="A172" s="71" t="s">
        <v>135</v>
      </c>
      <c r="B172" s="10">
        <v>0</v>
      </c>
      <c r="C172" s="10">
        <v>0</v>
      </c>
      <c r="D172" s="10">
        <f>'FY26'!S172</f>
        <v>6180</v>
      </c>
      <c r="E172" s="10">
        <f>'FY27'!S172</f>
        <v>9178.9067999999988</v>
      </c>
      <c r="F172" s="10">
        <f>'FY28'!S172</f>
        <v>9454.274003999999</v>
      </c>
      <c r="G172" s="10">
        <f>'FY29'!S172</f>
        <v>10023.366225599999</v>
      </c>
      <c r="H172" s="10">
        <f>'FY30'!S172</f>
        <v>10324.067212368</v>
      </c>
    </row>
    <row r="173" spans="1:8" x14ac:dyDescent="0.35">
      <c r="A173" s="26" t="s">
        <v>136</v>
      </c>
      <c r="B173" s="10">
        <v>0</v>
      </c>
      <c r="C173" s="10">
        <v>0</v>
      </c>
      <c r="D173" s="10">
        <f>'FY26'!S173</f>
        <v>29664</v>
      </c>
      <c r="E173" s="10">
        <f>'FY27'!S173</f>
        <v>31470.537600000003</v>
      </c>
      <c r="F173" s="10">
        <f>'FY28'!S173</f>
        <v>32414.653728000005</v>
      </c>
      <c r="G173" s="10">
        <f>'FY29'!S173</f>
        <v>34365.827059200012</v>
      </c>
      <c r="H173" s="10">
        <f>'FY30'!S173</f>
        <v>35396.801870976014</v>
      </c>
    </row>
    <row r="174" spans="1:8" x14ac:dyDescent="0.35">
      <c r="A174" s="26" t="s">
        <v>137</v>
      </c>
      <c r="B174" s="10">
        <v>0</v>
      </c>
      <c r="C174" s="10">
        <v>0</v>
      </c>
      <c r="D174" s="10">
        <f>'FY26'!S174</f>
        <v>0</v>
      </c>
      <c r="E174" s="10">
        <f>'FY27'!S174</f>
        <v>0</v>
      </c>
      <c r="F174" s="10">
        <f>'FY28'!S174</f>
        <v>0</v>
      </c>
      <c r="G174" s="10">
        <f>'FY29'!S174</f>
        <v>0</v>
      </c>
      <c r="H174" s="10">
        <f>'FY30'!S174</f>
        <v>0</v>
      </c>
    </row>
    <row r="175" spans="1:8" x14ac:dyDescent="0.35">
      <c r="A175" s="26" t="s">
        <v>138</v>
      </c>
      <c r="B175" s="10">
        <v>0</v>
      </c>
      <c r="C175" s="10">
        <v>0</v>
      </c>
      <c r="D175" s="10">
        <f>'FY26'!S175</f>
        <v>1100</v>
      </c>
      <c r="E175" s="10">
        <f>'FY27'!S175</f>
        <v>1600</v>
      </c>
      <c r="F175" s="10">
        <f>'FY28'!S175</f>
        <v>1800</v>
      </c>
      <c r="G175" s="10">
        <f>'FY29'!S175</f>
        <v>2200</v>
      </c>
      <c r="H175" s="10">
        <f>'FY30'!S175</f>
        <v>2300</v>
      </c>
    </row>
    <row r="176" spans="1:8" x14ac:dyDescent="0.35">
      <c r="A176" s="26" t="s">
        <v>139</v>
      </c>
      <c r="B176" s="10">
        <v>0</v>
      </c>
      <c r="C176" s="10">
        <v>0</v>
      </c>
      <c r="D176" s="10">
        <f>'FY26'!S176</f>
        <v>5665</v>
      </c>
      <c r="E176" s="10">
        <f>'FY27'!S176</f>
        <v>6009.9984999999997</v>
      </c>
      <c r="F176" s="10">
        <f>'FY28'!S176</f>
        <v>6009.9984999999997</v>
      </c>
      <c r="G176" s="10">
        <f>'FY29'!S176</f>
        <v>6250.3984399999999</v>
      </c>
      <c r="H176" s="10">
        <f>'FY30'!S176</f>
        <v>6500</v>
      </c>
    </row>
    <row r="177" spans="1:8" x14ac:dyDescent="0.35">
      <c r="A177" s="26" t="s">
        <v>140</v>
      </c>
      <c r="B177" s="10">
        <v>0</v>
      </c>
      <c r="C177" s="10">
        <v>0</v>
      </c>
      <c r="D177" s="10">
        <f>'FY26'!S177</f>
        <v>40000</v>
      </c>
      <c r="E177" s="10">
        <f>'FY27'!S177</f>
        <v>60000</v>
      </c>
      <c r="F177" s="10">
        <f>'FY28'!S177</f>
        <v>70000</v>
      </c>
      <c r="G177" s="10">
        <f>'FY29'!S177</f>
        <v>75000</v>
      </c>
      <c r="H177" s="10">
        <f>'FY30'!S177</f>
        <v>77000</v>
      </c>
    </row>
    <row r="178" spans="1:8" x14ac:dyDescent="0.35">
      <c r="A178" s="26" t="s">
        <v>141</v>
      </c>
      <c r="B178" s="10">
        <v>0</v>
      </c>
      <c r="C178" s="10">
        <v>0</v>
      </c>
      <c r="D178" s="10">
        <f>'FY26'!S178</f>
        <v>6290.85</v>
      </c>
      <c r="E178" s="10">
        <f>'FY27'!S178</f>
        <v>6941.839500000001</v>
      </c>
      <c r="F178" s="10">
        <f>'FY28'!S178</f>
        <v>7696.5642749999997</v>
      </c>
      <c r="G178" s="10">
        <f>'FY29'!S178</f>
        <v>8398.3719039000007</v>
      </c>
      <c r="H178" s="10">
        <f>'FY30'!S178</f>
        <v>9069.3499909800012</v>
      </c>
    </row>
    <row r="179" spans="1:8" x14ac:dyDescent="0.35">
      <c r="A179" s="26" t="s">
        <v>142</v>
      </c>
      <c r="B179" s="10">
        <v>0</v>
      </c>
      <c r="C179" s="10">
        <v>0</v>
      </c>
      <c r="D179" s="10">
        <f>'FY26'!S179</f>
        <v>30000</v>
      </c>
      <c r="E179" s="10">
        <f>'FY27'!S179</f>
        <v>33000</v>
      </c>
      <c r="F179" s="10">
        <f>'FY28'!S179</f>
        <v>48000</v>
      </c>
      <c r="G179" s="10">
        <f>'FY29'!S179</f>
        <v>51600</v>
      </c>
      <c r="H179" s="10">
        <f>'FY30'!S179</f>
        <v>56400</v>
      </c>
    </row>
    <row r="180" spans="1:8" x14ac:dyDescent="0.35">
      <c r="A180" s="26" t="s">
        <v>144</v>
      </c>
      <c r="B180" s="10">
        <v>0</v>
      </c>
      <c r="C180" s="10">
        <v>0</v>
      </c>
      <c r="D180" s="10">
        <f>'FY26'!S180</f>
        <v>0</v>
      </c>
      <c r="E180" s="10">
        <f>'FY27'!S180</f>
        <v>0</v>
      </c>
      <c r="F180" s="10">
        <f>'FY28'!S180</f>
        <v>0</v>
      </c>
      <c r="G180" s="10">
        <f>'FY29'!S180</f>
        <v>0</v>
      </c>
      <c r="H180" s="10">
        <f>'FY30'!S180</f>
        <v>0</v>
      </c>
    </row>
    <row r="181" spans="1:8" x14ac:dyDescent="0.35">
      <c r="A181" s="26" t="s">
        <v>145</v>
      </c>
      <c r="B181" s="10">
        <v>0</v>
      </c>
      <c r="C181" s="10">
        <v>0</v>
      </c>
      <c r="D181" s="10">
        <f>'FY26'!S181</f>
        <v>40000</v>
      </c>
      <c r="E181" s="10">
        <f>'FY27'!S181</f>
        <v>44000</v>
      </c>
      <c r="F181" s="10">
        <f>'FY28'!S181</f>
        <v>50000</v>
      </c>
      <c r="G181" s="10">
        <f>'FY29'!S181</f>
        <v>55000</v>
      </c>
      <c r="H181" s="10">
        <f>'FY30'!S181</f>
        <v>60500</v>
      </c>
    </row>
    <row r="182" spans="1:8" x14ac:dyDescent="0.35">
      <c r="A182" s="26" t="s">
        <v>146</v>
      </c>
      <c r="B182" s="10">
        <v>0</v>
      </c>
      <c r="C182" s="10">
        <v>0</v>
      </c>
      <c r="D182" s="10">
        <f>'FY26'!S182</f>
        <v>288545.40000000002</v>
      </c>
      <c r="E182" s="10">
        <f>'FY27'!S182</f>
        <v>362819.25</v>
      </c>
      <c r="F182" s="10">
        <f>'FY28'!S182</f>
        <v>450328.49999999994</v>
      </c>
      <c r="G182" s="10">
        <f>'FY29'!S182</f>
        <v>528030.9</v>
      </c>
      <c r="H182" s="10">
        <f>'FY30'!S182</f>
        <v>599184</v>
      </c>
    </row>
    <row r="183" spans="1:8" x14ac:dyDescent="0.35">
      <c r="A183" s="26" t="s">
        <v>147</v>
      </c>
      <c r="B183" s="10">
        <v>0</v>
      </c>
      <c r="C183" s="10">
        <v>0</v>
      </c>
      <c r="D183" s="10">
        <f>'FY26'!S183</f>
        <v>445933.8</v>
      </c>
      <c r="E183" s="10">
        <f>'FY27'!S183</f>
        <v>556322.85</v>
      </c>
      <c r="F183" s="10">
        <f>'FY28'!S183</f>
        <v>685282.5</v>
      </c>
      <c r="G183" s="10">
        <f>'FY29'!S183</f>
        <v>797663.69999999984</v>
      </c>
      <c r="H183" s="10">
        <f>'FY30'!S183</f>
        <v>898776</v>
      </c>
    </row>
    <row r="184" spans="1:8" x14ac:dyDescent="0.35">
      <c r="A184" s="26" t="s">
        <v>148</v>
      </c>
      <c r="B184" s="10">
        <v>0</v>
      </c>
      <c r="C184" s="10">
        <v>0</v>
      </c>
      <c r="D184" s="10">
        <f>'FY26'!S184</f>
        <v>6000</v>
      </c>
      <c r="E184" s="10">
        <f>'FY27'!S184</f>
        <v>9000</v>
      </c>
      <c r="F184" s="10">
        <f>'FY28'!S184</f>
        <v>8500</v>
      </c>
      <c r="G184" s="10">
        <f>'FY29'!S184</f>
        <v>9500</v>
      </c>
      <c r="H184" s="10">
        <f>'FY30'!S184</f>
        <v>8500</v>
      </c>
    </row>
    <row r="185" spans="1:8" x14ac:dyDescent="0.35">
      <c r="A185" s="26" t="s">
        <v>149</v>
      </c>
      <c r="B185" s="10">
        <v>0</v>
      </c>
      <c r="C185" s="10">
        <v>0</v>
      </c>
      <c r="D185" s="10">
        <f>'FY26'!S185</f>
        <v>1500</v>
      </c>
      <c r="E185" s="10">
        <f>'FY27'!S185</f>
        <v>2100</v>
      </c>
      <c r="F185" s="10">
        <f>'FY28'!S185</f>
        <v>2100</v>
      </c>
      <c r="G185" s="10">
        <f>'FY29'!S185</f>
        <v>2100</v>
      </c>
      <c r="H185" s="10">
        <f>'FY30'!S185</f>
        <v>2300</v>
      </c>
    </row>
    <row r="186" spans="1:8" x14ac:dyDescent="0.35">
      <c r="A186" s="26" t="s">
        <v>150</v>
      </c>
      <c r="B186" s="10">
        <v>0</v>
      </c>
      <c r="C186" s="10">
        <v>0</v>
      </c>
      <c r="D186" s="10">
        <f>'FY26'!S186</f>
        <v>1500</v>
      </c>
      <c r="E186" s="10">
        <f>'FY27'!S186</f>
        <v>2100</v>
      </c>
      <c r="F186" s="10">
        <f>'FY28'!S186</f>
        <v>2100</v>
      </c>
      <c r="G186" s="10">
        <f>'FY29'!S186</f>
        <v>2100</v>
      </c>
      <c r="H186" s="10">
        <f>'FY30'!S186</f>
        <v>2300</v>
      </c>
    </row>
    <row r="187" spans="1:8" x14ac:dyDescent="0.35">
      <c r="A187" s="26" t="s">
        <v>151</v>
      </c>
      <c r="B187" s="10">
        <v>0</v>
      </c>
      <c r="C187" s="10">
        <v>0</v>
      </c>
      <c r="D187" s="10">
        <f>'FY26'!S187</f>
        <v>6885</v>
      </c>
      <c r="E187" s="10">
        <f>'FY27'!S187</f>
        <v>11165</v>
      </c>
      <c r="F187" s="10">
        <f>'FY28'!S187</f>
        <v>13925</v>
      </c>
      <c r="G187" s="10">
        <f>'FY29'!S187</f>
        <v>14770</v>
      </c>
      <c r="H187" s="10">
        <f>'FY30'!S187</f>
        <v>16000</v>
      </c>
    </row>
    <row r="188" spans="1:8" x14ac:dyDescent="0.35">
      <c r="A188" s="26" t="s">
        <v>152</v>
      </c>
      <c r="B188" s="10">
        <f>'FY24'!I188</f>
        <v>0</v>
      </c>
      <c r="C188" s="10">
        <f>'FY24'!J188</f>
        <v>0</v>
      </c>
      <c r="D188" s="10">
        <f>'FY26'!S188</f>
        <v>0</v>
      </c>
      <c r="E188" s="10">
        <f>'FY27'!S188</f>
        <v>0</v>
      </c>
      <c r="F188" s="10">
        <f>'FY28'!S188</f>
        <v>0</v>
      </c>
      <c r="G188" s="10">
        <f>'FY29'!S188</f>
        <v>0</v>
      </c>
      <c r="H188" s="10">
        <f>'FY30'!S188</f>
        <v>0</v>
      </c>
    </row>
    <row r="189" spans="1:8" x14ac:dyDescent="0.35">
      <c r="A189" s="26" t="s">
        <v>181</v>
      </c>
      <c r="B189" s="10">
        <v>0</v>
      </c>
      <c r="C189" s="10">
        <v>0</v>
      </c>
      <c r="D189" s="10">
        <f>'FY26'!S189</f>
        <v>0</v>
      </c>
      <c r="E189" s="10">
        <f>'FY27'!S189</f>
        <v>0</v>
      </c>
      <c r="F189" s="10">
        <f>'FY28'!S189</f>
        <v>0</v>
      </c>
      <c r="G189" s="10">
        <f>'FY29'!S189</f>
        <v>0</v>
      </c>
      <c r="H189" s="10">
        <f>'FY30'!S189</f>
        <v>0</v>
      </c>
    </row>
    <row r="190" spans="1:8" x14ac:dyDescent="0.35">
      <c r="A190" s="26" t="s">
        <v>153</v>
      </c>
      <c r="B190" s="10">
        <v>0</v>
      </c>
      <c r="C190" s="10">
        <v>0</v>
      </c>
      <c r="D190" s="10">
        <f>'FY26'!S190</f>
        <v>0</v>
      </c>
      <c r="E190" s="10">
        <f>'FY27'!S190</f>
        <v>0</v>
      </c>
      <c r="F190" s="10">
        <f>'FY28'!S190</f>
        <v>0</v>
      </c>
      <c r="G190" s="10">
        <f>'FY29'!S190</f>
        <v>0</v>
      </c>
      <c r="H190" s="10">
        <f>'FY30'!S190</f>
        <v>0</v>
      </c>
    </row>
    <row r="191" spans="1:8" x14ac:dyDescent="0.35">
      <c r="A191" s="26" t="s">
        <v>253</v>
      </c>
      <c r="B191" s="10">
        <v>0</v>
      </c>
      <c r="C191" s="10">
        <v>0</v>
      </c>
      <c r="D191" s="10">
        <f>'FY26'!S191</f>
        <v>63775</v>
      </c>
      <c r="E191" s="10">
        <f>'FY27'!S191</f>
        <v>97741</v>
      </c>
      <c r="F191" s="10">
        <f>'FY28'!S191</f>
        <v>97712</v>
      </c>
      <c r="G191" s="10">
        <f>'FY29'!S191</f>
        <v>83222</v>
      </c>
      <c r="H191" s="10">
        <f>'FY30'!S191</f>
        <v>54700</v>
      </c>
    </row>
    <row r="192" spans="1:8" x14ac:dyDescent="0.35">
      <c r="A192" s="26" t="s">
        <v>254</v>
      </c>
      <c r="B192" s="10">
        <v>0</v>
      </c>
      <c r="C192" s="10">
        <v>0</v>
      </c>
      <c r="D192" s="10">
        <f>'FY26'!S192</f>
        <v>172865</v>
      </c>
      <c r="E192" s="10">
        <f>'FY27'!S192</f>
        <v>331855</v>
      </c>
      <c r="F192" s="10">
        <f>'FY28'!S192</f>
        <v>439230</v>
      </c>
      <c r="G192" s="10">
        <f>'FY29'!S192</f>
        <v>543911</v>
      </c>
      <c r="H192" s="10">
        <f>'FY30'!S192</f>
        <v>388925</v>
      </c>
    </row>
    <row r="193" spans="1:8" x14ac:dyDescent="0.35">
      <c r="A193" s="26" t="s">
        <v>255</v>
      </c>
      <c r="B193" s="10">
        <v>0</v>
      </c>
      <c r="C193" s="10">
        <v>0</v>
      </c>
      <c r="D193" s="10">
        <f>'FY26'!S193</f>
        <v>0</v>
      </c>
      <c r="E193" s="10">
        <f>'FY27'!S193</f>
        <v>0</v>
      </c>
      <c r="F193" s="10">
        <f>'FY28'!S193</f>
        <v>0</v>
      </c>
      <c r="G193" s="10">
        <f>'FY29'!S193</f>
        <v>0</v>
      </c>
      <c r="H193" s="10">
        <f>'FY30'!S193</f>
        <v>0</v>
      </c>
    </row>
    <row r="194" spans="1:8" x14ac:dyDescent="0.35">
      <c r="A194" s="26" t="s">
        <v>275</v>
      </c>
      <c r="B194" s="10">
        <v>0</v>
      </c>
      <c r="C194" s="10">
        <v>0</v>
      </c>
      <c r="D194" s="10">
        <f>'FY26'!S194</f>
        <v>7500</v>
      </c>
      <c r="E194" s="10">
        <f>'FY27'!S194</f>
        <v>12000</v>
      </c>
      <c r="F194" s="10">
        <f>'FY28'!S194</f>
        <v>20000</v>
      </c>
      <c r="G194" s="10">
        <f>'FY29'!S194</f>
        <v>21000</v>
      </c>
      <c r="H194" s="10">
        <f>'FY30'!S194</f>
        <v>30000</v>
      </c>
    </row>
    <row r="195" spans="1:8" x14ac:dyDescent="0.35">
      <c r="A195" s="69" t="s">
        <v>458</v>
      </c>
      <c r="B195" s="10">
        <v>0</v>
      </c>
      <c r="C195" s="10">
        <v>0</v>
      </c>
      <c r="D195" s="10">
        <f>'FY26'!S195</f>
        <v>18321.712500000001</v>
      </c>
      <c r="E195" s="10">
        <f>'FY27'!S195</f>
        <v>182847.7</v>
      </c>
      <c r="F195" s="10">
        <f>'FY28'!S195</f>
        <v>169002</v>
      </c>
      <c r="G195" s="10">
        <f>'FY29'!S195</f>
        <v>196843.77</v>
      </c>
      <c r="H195" s="10">
        <f>'FY30'!S195</f>
        <v>369964</v>
      </c>
    </row>
    <row r="196" spans="1:8" x14ac:dyDescent="0.35">
      <c r="A196" s="62" t="s">
        <v>182</v>
      </c>
      <c r="B196" s="63">
        <f>SUM(B172:B195)</f>
        <v>0</v>
      </c>
      <c r="C196" s="63">
        <f>SUM(C172:C195)</f>
        <v>0</v>
      </c>
      <c r="D196" s="63">
        <f t="shared" ref="D196:G196" si="84">SUM(D172:D195)</f>
        <v>1171725.7625</v>
      </c>
      <c r="E196" s="63">
        <f t="shared" si="84"/>
        <v>1760152.0824</v>
      </c>
      <c r="F196" s="63">
        <f t="shared" si="84"/>
        <v>2113555.4905070001</v>
      </c>
      <c r="G196" s="63">
        <f t="shared" si="84"/>
        <v>2441979.3336286996</v>
      </c>
      <c r="H196" s="63">
        <f t="shared" ref="H196" si="85">SUM(H172:H195)</f>
        <v>2628139.2190743238</v>
      </c>
    </row>
    <row r="197" spans="1:8" x14ac:dyDescent="0.35">
      <c r="A197" s="66" t="s">
        <v>154</v>
      </c>
      <c r="B197" s="15" t="str">
        <f t="shared" ref="B197:G197" si="86">B1</f>
        <v>FY24 (23-24)</v>
      </c>
      <c r="C197" s="15" t="str">
        <f t="shared" ref="C197" si="87">C1</f>
        <v>FY25 (24-25)</v>
      </c>
      <c r="D197" s="15" t="str">
        <f t="shared" si="86"/>
        <v>FY26 (25-26)</v>
      </c>
      <c r="E197" s="15" t="str">
        <f t="shared" si="86"/>
        <v>FY27 (26-27)</v>
      </c>
      <c r="F197" s="15" t="str">
        <f t="shared" si="86"/>
        <v>FY28 (27-28)</v>
      </c>
      <c r="G197" s="15" t="str">
        <f t="shared" si="86"/>
        <v>FY29 (28-29)</v>
      </c>
      <c r="H197" s="15" t="str">
        <f t="shared" ref="H197" si="88">H1</f>
        <v>FY30 (29-30)</v>
      </c>
    </row>
    <row r="198" spans="1:8" x14ac:dyDescent="0.35">
      <c r="A198" s="71" t="s">
        <v>155</v>
      </c>
      <c r="B198" s="10">
        <v>0</v>
      </c>
      <c r="C198" s="10">
        <v>0</v>
      </c>
      <c r="D198" s="10">
        <f>'FY26'!S198</f>
        <v>73000</v>
      </c>
      <c r="E198" s="10">
        <f>'FY27'!S198</f>
        <v>76000</v>
      </c>
      <c r="F198" s="10">
        <f>'FY28'!S198</f>
        <v>107500</v>
      </c>
      <c r="G198" s="10">
        <f>'FY29'!S198</f>
        <v>115000</v>
      </c>
      <c r="H198" s="10">
        <f>'FY30'!S198</f>
        <v>118965</v>
      </c>
    </row>
    <row r="199" spans="1:8" x14ac:dyDescent="0.35">
      <c r="A199" s="26" t="s">
        <v>156</v>
      </c>
      <c r="B199" s="10">
        <f>'FY24'!I199</f>
        <v>0</v>
      </c>
      <c r="C199" s="10">
        <f>'FY24'!J199</f>
        <v>0</v>
      </c>
      <c r="D199" s="10">
        <f>'FY26'!S199</f>
        <v>12500</v>
      </c>
      <c r="E199" s="10">
        <f>'FY27'!S199</f>
        <v>13500</v>
      </c>
      <c r="F199" s="10">
        <f>'FY28'!S199</f>
        <v>25750</v>
      </c>
      <c r="G199" s="10">
        <f>'FY29'!S199</f>
        <v>30000</v>
      </c>
      <c r="H199" s="10">
        <f>'FY30'!S199</f>
        <v>30900</v>
      </c>
    </row>
    <row r="200" spans="1:8" x14ac:dyDescent="0.35">
      <c r="A200" s="26" t="s">
        <v>157</v>
      </c>
      <c r="B200" s="10">
        <f>'FY24'!I200</f>
        <v>0</v>
      </c>
      <c r="C200" s="10">
        <f>'FY24'!J200</f>
        <v>0</v>
      </c>
      <c r="D200" s="10">
        <f>'FY26'!S200</f>
        <v>12000</v>
      </c>
      <c r="E200" s="10">
        <f>'FY27'!S200</f>
        <v>13000</v>
      </c>
      <c r="F200" s="10">
        <f>'FY28'!S200</f>
        <v>30000</v>
      </c>
      <c r="G200" s="10">
        <f>'FY29'!S200</f>
        <v>40000</v>
      </c>
      <c r="H200" s="10">
        <f>'FY30'!S200</f>
        <v>41200</v>
      </c>
    </row>
    <row r="201" spans="1:8" x14ac:dyDescent="0.35">
      <c r="A201" s="26" t="s">
        <v>158</v>
      </c>
      <c r="B201" s="10">
        <v>0</v>
      </c>
      <c r="C201" s="10">
        <v>0</v>
      </c>
      <c r="D201" s="10">
        <f>'FY26'!S201</f>
        <v>35000</v>
      </c>
      <c r="E201" s="10">
        <f>'FY27'!S201</f>
        <v>36000</v>
      </c>
      <c r="F201" s="10">
        <f>'FY28'!S201</f>
        <v>43350</v>
      </c>
      <c r="G201" s="10">
        <f>'FY29'!S201</f>
        <v>45000</v>
      </c>
      <c r="H201" s="10">
        <f>'FY30'!S201</f>
        <v>46350</v>
      </c>
    </row>
    <row r="202" spans="1:8" x14ac:dyDescent="0.35">
      <c r="A202" s="26" t="s">
        <v>159</v>
      </c>
      <c r="B202" s="10">
        <v>0</v>
      </c>
      <c r="C202" s="10">
        <v>0</v>
      </c>
      <c r="D202" s="10">
        <f>'FY26'!S202</f>
        <v>7500</v>
      </c>
      <c r="E202" s="10">
        <f>'FY27'!S202</f>
        <v>8500</v>
      </c>
      <c r="F202" s="10">
        <f>'FY28'!S202</f>
        <v>12750</v>
      </c>
      <c r="G202" s="10">
        <f>'FY29'!S202</f>
        <v>15500</v>
      </c>
      <c r="H202" s="10">
        <f>'FY30'!S202</f>
        <v>16275</v>
      </c>
    </row>
    <row r="203" spans="1:8" x14ac:dyDescent="0.35">
      <c r="A203" s="26" t="s">
        <v>160</v>
      </c>
      <c r="B203" s="10">
        <v>0</v>
      </c>
      <c r="C203" s="10">
        <v>0</v>
      </c>
      <c r="D203" s="10">
        <f>'FY26'!S203</f>
        <v>74800</v>
      </c>
      <c r="E203" s="10">
        <f>'FY27'!S203</f>
        <v>94900</v>
      </c>
      <c r="F203" s="10">
        <f>'FY28'!S203</f>
        <v>107250</v>
      </c>
      <c r="G203" s="10">
        <f>'FY29'!S203</f>
        <v>117000</v>
      </c>
      <c r="H203" s="10">
        <f>'FY30'!S203</f>
        <v>130650</v>
      </c>
    </row>
    <row r="204" spans="1:8" x14ac:dyDescent="0.35">
      <c r="A204" s="26" t="s">
        <v>162</v>
      </c>
      <c r="B204" s="10">
        <v>0</v>
      </c>
      <c r="C204" s="10">
        <v>0</v>
      </c>
      <c r="D204" s="10">
        <f>'FY26'!S204</f>
        <v>25000</v>
      </c>
      <c r="E204" s="10">
        <f>'FY27'!S204</f>
        <v>45000</v>
      </c>
      <c r="F204" s="10">
        <f>'FY28'!S204</f>
        <v>75000</v>
      </c>
      <c r="G204" s="10">
        <f>'FY29'!S204</f>
        <v>85000</v>
      </c>
      <c r="H204" s="10">
        <f>'FY30'!S204</f>
        <v>100000</v>
      </c>
    </row>
    <row r="205" spans="1:8" x14ac:dyDescent="0.35">
      <c r="A205" s="26" t="s">
        <v>163</v>
      </c>
      <c r="B205" s="10">
        <v>0</v>
      </c>
      <c r="C205" s="10">
        <v>0</v>
      </c>
      <c r="D205" s="10">
        <f>'FY26'!S205</f>
        <v>15000</v>
      </c>
      <c r="E205" s="10">
        <f>'FY27'!S205</f>
        <v>15000</v>
      </c>
      <c r="F205" s="10">
        <f>'FY28'!S205</f>
        <v>18000</v>
      </c>
      <c r="G205" s="10">
        <f>'FY29'!S205</f>
        <v>20000</v>
      </c>
      <c r="H205" s="10">
        <f>'FY30'!S205</f>
        <v>25000</v>
      </c>
    </row>
    <row r="206" spans="1:8" x14ac:dyDescent="0.35">
      <c r="A206" s="26" t="s">
        <v>164</v>
      </c>
      <c r="B206" s="10">
        <v>0</v>
      </c>
      <c r="C206" s="10">
        <v>0</v>
      </c>
      <c r="D206" s="10">
        <f>'FY26'!S206</f>
        <v>18900</v>
      </c>
      <c r="E206" s="10">
        <f>'FY27'!S206</f>
        <v>19467</v>
      </c>
      <c r="F206" s="10">
        <f>'FY28'!S206</f>
        <v>26250</v>
      </c>
      <c r="G206" s="10">
        <f>'FY29'!S206</f>
        <v>27562.5</v>
      </c>
      <c r="H206" s="10">
        <f>'FY30'!S206</f>
        <v>28940.625</v>
      </c>
    </row>
    <row r="207" spans="1:8" x14ac:dyDescent="0.35">
      <c r="A207" s="69" t="s">
        <v>165</v>
      </c>
      <c r="B207" s="10">
        <v>0</v>
      </c>
      <c r="C207" s="10">
        <v>0</v>
      </c>
      <c r="D207" s="10">
        <f>'FY26'!S207</f>
        <v>21525</v>
      </c>
      <c r="E207" s="10">
        <f>'FY27'!S207</f>
        <v>22170.75</v>
      </c>
      <c r="F207" s="10">
        <f>'FY28'!S207</f>
        <v>30600</v>
      </c>
      <c r="G207" s="10">
        <f>'FY29'!S207</f>
        <v>32130</v>
      </c>
      <c r="H207" s="10">
        <f>'FY30'!S207</f>
        <v>33736.5</v>
      </c>
    </row>
    <row r="208" spans="1:8" x14ac:dyDescent="0.35">
      <c r="A208" s="62" t="s">
        <v>183</v>
      </c>
      <c r="B208" s="63">
        <f t="shared" ref="B208:G208" si="89">SUM(B198:B207)</f>
        <v>0</v>
      </c>
      <c r="C208" s="63">
        <f t="shared" ref="C208" si="90">SUM(C198:C207)</f>
        <v>0</v>
      </c>
      <c r="D208" s="63">
        <f t="shared" si="89"/>
        <v>295225</v>
      </c>
      <c r="E208" s="63">
        <f t="shared" si="89"/>
        <v>343537.75</v>
      </c>
      <c r="F208" s="63">
        <f t="shared" si="89"/>
        <v>476450</v>
      </c>
      <c r="G208" s="63">
        <f t="shared" si="89"/>
        <v>527192.5</v>
      </c>
      <c r="H208" s="63">
        <f t="shared" ref="H208" si="91">SUM(H198:H207)</f>
        <v>572017.125</v>
      </c>
    </row>
    <row r="209" spans="1:8" x14ac:dyDescent="0.35">
      <c r="A209" s="74"/>
      <c r="B209" s="5"/>
      <c r="C209" s="5"/>
      <c r="D209" s="5"/>
      <c r="E209" s="5"/>
      <c r="F209" s="5"/>
      <c r="G209" s="5"/>
      <c r="H209" s="5"/>
    </row>
    <row r="210" spans="1:8" x14ac:dyDescent="0.35">
      <c r="A210" s="62" t="s">
        <v>166</v>
      </c>
      <c r="B210" s="63">
        <f>B142+B154+B170+B196+B208</f>
        <v>0</v>
      </c>
      <c r="C210" s="63">
        <f>C142+C154+C170+C196+C208</f>
        <v>0</v>
      </c>
      <c r="D210" s="63">
        <f t="shared" ref="D210:G210" si="92">D142+D154+D170+D196+D208</f>
        <v>6915852.0249999994</v>
      </c>
      <c r="E210" s="63">
        <f t="shared" si="92"/>
        <v>9780336.2586640008</v>
      </c>
      <c r="F210" s="63">
        <f t="shared" si="92"/>
        <v>12242451.389932912</v>
      </c>
      <c r="G210" s="63">
        <f t="shared" si="92"/>
        <v>14273392.293572456</v>
      </c>
      <c r="H210" s="63">
        <f t="shared" ref="H210" si="93">H142+H154+H170+H196+H208</f>
        <v>16405464.022508128</v>
      </c>
    </row>
    <row r="211" spans="1:8" x14ac:dyDescent="0.35">
      <c r="A211" s="75"/>
      <c r="B211" s="47"/>
      <c r="C211" s="47"/>
      <c r="D211" s="47"/>
      <c r="E211" s="47"/>
      <c r="F211" s="47"/>
      <c r="G211" s="47"/>
      <c r="H211" s="47"/>
    </row>
    <row r="212" spans="1:8" x14ac:dyDescent="0.35">
      <c r="A212" s="38" t="s">
        <v>167</v>
      </c>
      <c r="B212" s="222">
        <v>0</v>
      </c>
      <c r="C212" s="222">
        <v>0</v>
      </c>
      <c r="D212" s="222">
        <f>'FY26'!S212</f>
        <v>1418950</v>
      </c>
      <c r="E212" s="222">
        <f>'FY27'!S212</f>
        <v>1980300</v>
      </c>
      <c r="F212" s="222">
        <f>'FY28'!S212</f>
        <v>2290000</v>
      </c>
      <c r="G212" s="222">
        <f>'FY29'!S212</f>
        <v>2693700</v>
      </c>
      <c r="H212" s="222">
        <f>'FY30'!S212</f>
        <v>2920000</v>
      </c>
    </row>
    <row r="213" spans="1:8" x14ac:dyDescent="0.35">
      <c r="A213" s="38" t="s">
        <v>184</v>
      </c>
      <c r="B213" s="222">
        <v>0</v>
      </c>
      <c r="C213" s="222">
        <v>0</v>
      </c>
      <c r="D213" s="222">
        <f>'FY26'!S213</f>
        <v>0</v>
      </c>
      <c r="E213" s="222">
        <f>'FY27'!S213</f>
        <v>0</v>
      </c>
      <c r="F213" s="222">
        <f>'FY28'!S213</f>
        <v>0</v>
      </c>
      <c r="G213" s="222">
        <f>'FY29'!S213</f>
        <v>0</v>
      </c>
      <c r="H213" s="222">
        <f>'FY29'!T213</f>
        <v>0</v>
      </c>
    </row>
    <row r="214" spans="1:8" x14ac:dyDescent="0.35">
      <c r="A214" s="38" t="s">
        <v>185</v>
      </c>
      <c r="B214" s="222">
        <v>0</v>
      </c>
      <c r="C214" s="222">
        <v>0</v>
      </c>
      <c r="D214" s="222">
        <f>'FY26'!S214</f>
        <v>0</v>
      </c>
      <c r="E214" s="222">
        <f>'FY27'!S214</f>
        <v>0</v>
      </c>
      <c r="F214" s="222">
        <f>'FY28'!S214</f>
        <v>0</v>
      </c>
      <c r="G214" s="222">
        <f>'FY29'!S214</f>
        <v>0</v>
      </c>
      <c r="H214" s="222">
        <f>'FY29'!T214</f>
        <v>0</v>
      </c>
    </row>
    <row r="215" spans="1:8" x14ac:dyDescent="0.35">
      <c r="A215" s="38" t="s">
        <v>186</v>
      </c>
      <c r="B215" s="222">
        <v>0</v>
      </c>
      <c r="C215" s="222">
        <v>0</v>
      </c>
      <c r="D215" s="222">
        <f>'FY26'!S215</f>
        <v>0</v>
      </c>
      <c r="E215" s="222">
        <f>'FY27'!S215</f>
        <v>0</v>
      </c>
      <c r="F215" s="222">
        <f>'FY28'!S215</f>
        <v>0</v>
      </c>
      <c r="G215" s="222">
        <f>'FY29'!S215</f>
        <v>0</v>
      </c>
      <c r="H215" s="222">
        <f>'FY29'!T215</f>
        <v>0</v>
      </c>
    </row>
    <row r="216" spans="1:8" x14ac:dyDescent="0.35"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5" thickBot="1" x14ac:dyDescent="0.4">
      <c r="A217" s="38"/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</row>
    <row r="218" spans="1:8" ht="15" thickBot="1" x14ac:dyDescent="0.4">
      <c r="A218" s="76" t="s">
        <v>168</v>
      </c>
      <c r="B218" s="77">
        <f>(B97+B103)-B210-B212-B213-B215-B214</f>
        <v>0</v>
      </c>
      <c r="C218" s="77">
        <f t="shared" ref="C218:H218" si="94">(C97+C103)-C210-C212-C213-C215-C214</f>
        <v>0</v>
      </c>
      <c r="D218" s="77">
        <f t="shared" si="94"/>
        <v>13220.81500000041</v>
      </c>
      <c r="E218" s="77">
        <f t="shared" si="94"/>
        <v>64096.291335999966</v>
      </c>
      <c r="F218" s="77">
        <f t="shared" si="94"/>
        <v>23454.510067088529</v>
      </c>
      <c r="G218" s="77">
        <f t="shared" si="94"/>
        <v>34862.146427545696</v>
      </c>
      <c r="H218" s="77">
        <f t="shared" si="94"/>
        <v>27684.977491872385</v>
      </c>
    </row>
    <row r="219" spans="1:8" x14ac:dyDescent="0.35">
      <c r="A219" s="78"/>
      <c r="B219" s="79">
        <v>0</v>
      </c>
      <c r="C219" s="79">
        <v>0</v>
      </c>
      <c r="D219" s="79">
        <f t="shared" ref="D219:G219" si="95">D218/(D97)</f>
        <v>1.5837061365778929E-3</v>
      </c>
      <c r="E219" s="79">
        <f t="shared" si="95"/>
        <v>5.4205277848757743E-3</v>
      </c>
      <c r="F219" s="79">
        <f t="shared" si="95"/>
        <v>1.6113397701402101E-3</v>
      </c>
      <c r="G219" s="79">
        <f t="shared" si="95"/>
        <v>2.0504787582259687E-3</v>
      </c>
      <c r="H219" s="79">
        <f t="shared" ref="H219" si="96">H218/(H97)</f>
        <v>1.43051539012449E-3</v>
      </c>
    </row>
    <row r="220" spans="1:8" x14ac:dyDescent="0.35">
      <c r="B220" s="80"/>
      <c r="C220" s="80"/>
      <c r="D220" s="80"/>
      <c r="E220" s="80"/>
      <c r="F220" s="80"/>
      <c r="G220" s="80"/>
      <c r="H220" s="80"/>
    </row>
    <row r="221" spans="1:8" x14ac:dyDescent="0.35">
      <c r="A221" s="1" t="str">
        <f t="shared" ref="A221:G221" si="97">A1</f>
        <v>(MANN) - New Campus</v>
      </c>
      <c r="B221" s="1" t="str">
        <f t="shared" si="97"/>
        <v>FY24 (23-24)</v>
      </c>
      <c r="C221" s="1" t="str">
        <f t="shared" si="97"/>
        <v>FY25 (24-25)</v>
      </c>
      <c r="D221" s="1" t="str">
        <f t="shared" si="97"/>
        <v>FY26 (25-26)</v>
      </c>
      <c r="E221" s="1" t="str">
        <f t="shared" si="97"/>
        <v>FY27 (26-27)</v>
      </c>
      <c r="F221" s="1" t="str">
        <f t="shared" si="97"/>
        <v>FY28 (27-28)</v>
      </c>
      <c r="G221" s="1" t="str">
        <f t="shared" si="97"/>
        <v>FY29 (28-29)</v>
      </c>
      <c r="H221" s="1" t="str">
        <f t="shared" ref="H221" si="98">H1</f>
        <v>FY30 (29-30)</v>
      </c>
    </row>
    <row r="223" spans="1:8" x14ac:dyDescent="0.35">
      <c r="D223" s="81" t="b">
        <f>D218='FY26'!S218</f>
        <v>1</v>
      </c>
      <c r="E223" s="81" t="b">
        <f>E218='FY27'!S218</f>
        <v>1</v>
      </c>
      <c r="F223" s="81" t="b">
        <f>F218='FY28'!S218</f>
        <v>1</v>
      </c>
      <c r="G223" s="81" t="b">
        <f>G218='FY29'!S218</f>
        <v>1</v>
      </c>
      <c r="H223" s="81" t="b">
        <f>H218='FY30'!S218</f>
        <v>1</v>
      </c>
    </row>
    <row r="224" spans="1:8" x14ac:dyDescent="0.35">
      <c r="A224" s="82" t="s">
        <v>169</v>
      </c>
      <c r="B224" s="83">
        <f>B97-B210</f>
        <v>0</v>
      </c>
      <c r="C224" s="83">
        <f>C97-C210</f>
        <v>0</v>
      </c>
      <c r="D224" s="83">
        <f t="shared" ref="D224:G224" si="99">D97-D210</f>
        <v>1432170.8150000004</v>
      </c>
      <c r="E224" s="83">
        <f t="shared" si="99"/>
        <v>2044396.291336</v>
      </c>
      <c r="F224" s="83">
        <f t="shared" si="99"/>
        <v>2313454.5100670885</v>
      </c>
      <c r="G224" s="83">
        <f t="shared" si="99"/>
        <v>2728562.1464275457</v>
      </c>
      <c r="H224" s="83">
        <f t="shared" ref="H224" si="100">H97-H210</f>
        <v>2947684.9774918724</v>
      </c>
    </row>
    <row r="225" spans="1:10" x14ac:dyDescent="0.35">
      <c r="A225"/>
      <c r="B225" s="7"/>
      <c r="C225" s="7"/>
      <c r="D225" s="7"/>
      <c r="E225" s="7"/>
      <c r="F225" s="7"/>
      <c r="G225" s="7"/>
      <c r="H225" s="7"/>
    </row>
    <row r="226" spans="1:10" x14ac:dyDescent="0.35">
      <c r="A226" s="84" t="str">
        <f t="shared" ref="A226:C228" si="101">A212</f>
        <v>Scheduled Lease Payment</v>
      </c>
      <c r="B226" s="85">
        <f t="shared" si="101"/>
        <v>0</v>
      </c>
      <c r="C226" s="85">
        <f t="shared" si="101"/>
        <v>0</v>
      </c>
      <c r="D226" s="85">
        <f t="shared" ref="D226:G228" si="102">D212</f>
        <v>1418950</v>
      </c>
      <c r="E226" s="85">
        <f t="shared" si="102"/>
        <v>1980300</v>
      </c>
      <c r="F226" s="85">
        <f t="shared" si="102"/>
        <v>2290000</v>
      </c>
      <c r="G226" s="85">
        <f t="shared" si="102"/>
        <v>2693700</v>
      </c>
      <c r="H226" s="85">
        <f t="shared" ref="H226" si="103">H212</f>
        <v>2920000</v>
      </c>
    </row>
    <row r="227" spans="1:10" x14ac:dyDescent="0.35">
      <c r="A227" s="84" t="str">
        <f t="shared" si="101"/>
        <v>Scheduled Bond Payment - Principal</v>
      </c>
      <c r="B227" s="85">
        <f t="shared" si="101"/>
        <v>0</v>
      </c>
      <c r="C227" s="85">
        <f t="shared" si="101"/>
        <v>0</v>
      </c>
      <c r="D227" s="85">
        <f t="shared" si="102"/>
        <v>0</v>
      </c>
      <c r="E227" s="85">
        <f t="shared" si="102"/>
        <v>0</v>
      </c>
      <c r="F227" s="85">
        <f t="shared" si="102"/>
        <v>0</v>
      </c>
      <c r="G227" s="85">
        <f t="shared" si="102"/>
        <v>0</v>
      </c>
      <c r="H227" s="85">
        <f t="shared" ref="H227" si="104">H213</f>
        <v>0</v>
      </c>
    </row>
    <row r="228" spans="1:10" x14ac:dyDescent="0.35">
      <c r="A228" s="84" t="str">
        <f t="shared" si="101"/>
        <v>Scheduled Bond Payment - Interest</v>
      </c>
      <c r="B228" s="85">
        <f t="shared" si="101"/>
        <v>0</v>
      </c>
      <c r="C228" s="85">
        <f t="shared" si="101"/>
        <v>0</v>
      </c>
      <c r="D228" s="85">
        <f t="shared" si="102"/>
        <v>0</v>
      </c>
      <c r="E228" s="85">
        <f t="shared" si="102"/>
        <v>0</v>
      </c>
      <c r="F228" s="85">
        <f t="shared" si="102"/>
        <v>0</v>
      </c>
      <c r="G228" s="85">
        <f t="shared" si="102"/>
        <v>0</v>
      </c>
      <c r="H228" s="85">
        <f t="shared" ref="H228" si="105">H214</f>
        <v>0</v>
      </c>
    </row>
    <row r="229" spans="1:10" x14ac:dyDescent="0.35">
      <c r="A229"/>
      <c r="B229" s="85"/>
      <c r="C229" s="85"/>
      <c r="D229" s="85"/>
      <c r="E229" s="85"/>
      <c r="F229" s="85"/>
      <c r="G229" s="85"/>
      <c r="H229" s="85"/>
    </row>
    <row r="230" spans="1:10" x14ac:dyDescent="0.35">
      <c r="A230" s="82" t="s">
        <v>170</v>
      </c>
      <c r="B230" s="86">
        <f>SUM(B226:B228)</f>
        <v>0</v>
      </c>
      <c r="C230" s="86">
        <f>SUM(C226:C228)</f>
        <v>0</v>
      </c>
      <c r="D230" s="86">
        <f t="shared" ref="D230:G230" si="106">SUM(D226:D228)</f>
        <v>1418950</v>
      </c>
      <c r="E230" s="86">
        <f t="shared" si="106"/>
        <v>1980300</v>
      </c>
      <c r="F230" s="86">
        <f t="shared" si="106"/>
        <v>2290000</v>
      </c>
      <c r="G230" s="86">
        <f t="shared" si="106"/>
        <v>2693700</v>
      </c>
      <c r="H230" s="86">
        <f t="shared" ref="H230" si="107">SUM(H226:H228)</f>
        <v>2920000</v>
      </c>
    </row>
    <row r="231" spans="1:10" x14ac:dyDescent="0.35">
      <c r="A231" s="87" t="s">
        <v>171</v>
      </c>
      <c r="B231" s="88" t="e">
        <f>B224/B230</f>
        <v>#DIV/0!</v>
      </c>
      <c r="C231" s="88" t="e">
        <f>C224/C230</f>
        <v>#DIV/0!</v>
      </c>
      <c r="D231" s="88">
        <f t="shared" ref="D231:G231" si="108">D224/D230</f>
        <v>1.0093173226681704</v>
      </c>
      <c r="E231" s="88">
        <f t="shared" si="108"/>
        <v>1.0323669602262284</v>
      </c>
      <c r="F231" s="88">
        <f t="shared" si="108"/>
        <v>1.0102421441340999</v>
      </c>
      <c r="G231" s="88">
        <f t="shared" si="108"/>
        <v>1.0129421043277076</v>
      </c>
      <c r="H231" s="88">
        <f t="shared" ref="H231" si="109">H224/H230</f>
        <v>1.0094811566752988</v>
      </c>
    </row>
    <row r="232" spans="1:10" x14ac:dyDescent="0.35">
      <c r="A232"/>
      <c r="B232" s="7"/>
      <c r="C232" s="7"/>
      <c r="D232" s="7"/>
      <c r="E232" s="7"/>
      <c r="F232" s="7"/>
      <c r="G232" s="7"/>
      <c r="H232" s="7"/>
    </row>
    <row r="233" spans="1:10" x14ac:dyDescent="0.35">
      <c r="A233" s="90" t="s">
        <v>172</v>
      </c>
      <c r="B233" s="91"/>
      <c r="C233" s="91"/>
      <c r="D233" s="91"/>
      <c r="E233" s="91"/>
      <c r="F233" s="91"/>
      <c r="G233" s="91"/>
      <c r="H233" s="91"/>
    </row>
    <row r="234" spans="1:10" x14ac:dyDescent="0.35">
      <c r="A234" t="s">
        <v>173</v>
      </c>
      <c r="B234" s="93"/>
      <c r="C234" s="93"/>
      <c r="D234" s="93"/>
      <c r="E234" s="93"/>
      <c r="F234" s="93"/>
      <c r="G234" s="93"/>
      <c r="H234" s="93"/>
    </row>
    <row r="235" spans="1:10" x14ac:dyDescent="0.35">
      <c r="A235" s="7" t="s">
        <v>174</v>
      </c>
      <c r="B235" s="92"/>
      <c r="C235" s="92"/>
      <c r="D235" s="92"/>
      <c r="E235" s="92"/>
      <c r="F235" s="92"/>
      <c r="G235" s="92"/>
      <c r="H235" s="92"/>
    </row>
    <row r="236" spans="1:10" x14ac:dyDescent="0.35">
      <c r="A236" s="7" t="s">
        <v>175</v>
      </c>
      <c r="B236" s="92"/>
      <c r="C236" s="92"/>
      <c r="D236" s="92"/>
      <c r="E236" s="92"/>
      <c r="F236" s="92"/>
      <c r="G236" s="92"/>
      <c r="H236" s="92"/>
    </row>
    <row r="237" spans="1:10" x14ac:dyDescent="0.35">
      <c r="A237" s="94" t="s">
        <v>176</v>
      </c>
      <c r="B237" s="95">
        <f>SUM(B234:B236)</f>
        <v>0</v>
      </c>
      <c r="C237" s="95">
        <f>SUM(C234:C236)</f>
        <v>0</v>
      </c>
      <c r="D237" s="95">
        <f t="shared" ref="D237:G237" si="110">SUM(D234:D236)</f>
        <v>0</v>
      </c>
      <c r="E237" s="95">
        <f t="shared" si="110"/>
        <v>0</v>
      </c>
      <c r="F237" s="95">
        <f t="shared" si="110"/>
        <v>0</v>
      </c>
      <c r="G237" s="95">
        <f t="shared" si="110"/>
        <v>0</v>
      </c>
      <c r="H237" s="95">
        <f t="shared" ref="H237" si="111">SUM(H234:H236)</f>
        <v>0</v>
      </c>
    </row>
    <row r="238" spans="1:10" x14ac:dyDescent="0.35">
      <c r="A238" s="96" t="s">
        <v>177</v>
      </c>
      <c r="B238" s="97" t="e">
        <f>B237/((SUM(B210:B216))/365)</f>
        <v>#DIV/0!</v>
      </c>
      <c r="C238" s="97" t="e">
        <f>C237/((SUM(C210:C216))/365)</f>
        <v>#DIV/0!</v>
      </c>
      <c r="D238" s="97">
        <f t="shared" ref="D238:G238" si="112">D237/((SUM(D210:D216))/365)</f>
        <v>0</v>
      </c>
      <c r="E238" s="97">
        <f t="shared" si="112"/>
        <v>0</v>
      </c>
      <c r="F238" s="97">
        <f t="shared" si="112"/>
        <v>0</v>
      </c>
      <c r="G238" s="97">
        <f t="shared" si="112"/>
        <v>0</v>
      </c>
      <c r="H238" s="97">
        <f t="shared" ref="H238" si="113">H237/((SUM(H210:H216))/365)</f>
        <v>0</v>
      </c>
    </row>
    <row r="239" spans="1:10" x14ac:dyDescent="0.35">
      <c r="A239"/>
    </row>
    <row r="240" spans="1:10" x14ac:dyDescent="0.35">
      <c r="I240" s="7"/>
      <c r="J240" s="219" t="s">
        <v>368</v>
      </c>
    </row>
    <row r="241" spans="1:10" x14ac:dyDescent="0.35">
      <c r="A241" s="142" t="s">
        <v>369</v>
      </c>
      <c r="B241" s="153"/>
      <c r="C241" s="153"/>
      <c r="D241" s="153">
        <f t="shared" ref="D241:G241" si="114">D132/SUM(D210:D215)</f>
        <v>0.34504838763701773</v>
      </c>
      <c r="E241" s="153">
        <f t="shared" si="114"/>
        <v>0.34256935903718466</v>
      </c>
      <c r="F241" s="153">
        <f t="shared" si="114"/>
        <v>0.34740473481442224</v>
      </c>
      <c r="G241" s="153">
        <f t="shared" si="114"/>
        <v>0.34793140139108869</v>
      </c>
      <c r="H241" s="153">
        <f t="shared" ref="H241" si="115">H132/SUM(H210:H215)</f>
        <v>0.35784510279702553</v>
      </c>
      <c r="I241" s="7"/>
      <c r="J241" s="220">
        <f>AVERAGE(B241:G241)</f>
        <v>0.34573847071992836</v>
      </c>
    </row>
    <row r="242" spans="1:10" x14ac:dyDescent="0.35">
      <c r="A242" s="142" t="s">
        <v>370</v>
      </c>
      <c r="B242" s="153"/>
      <c r="C242" s="153"/>
      <c r="D242" s="153">
        <f t="shared" ref="D242:G242" si="116">(D141-D140)/SUM(D210:D215)</f>
        <v>0.16703490326754344</v>
      </c>
      <c r="E242" s="153">
        <f t="shared" si="116"/>
        <v>0.1708864327828726</v>
      </c>
      <c r="F242" s="153">
        <f t="shared" si="116"/>
        <v>0.17467668062260114</v>
      </c>
      <c r="G242" s="153">
        <f t="shared" si="116"/>
        <v>0.1774339464664558</v>
      </c>
      <c r="H242" s="153">
        <f t="shared" ref="H242" si="117">(H141-H140)/SUM(H210:H215)</f>
        <v>0.18436011712575501</v>
      </c>
      <c r="I242" s="7"/>
      <c r="J242" s="220">
        <f t="shared" ref="J242:J254" si="118">AVERAGE(B242:G242)</f>
        <v>0.17250799078486825</v>
      </c>
    </row>
    <row r="243" spans="1:10" x14ac:dyDescent="0.35">
      <c r="A243" s="142" t="s">
        <v>123</v>
      </c>
      <c r="B243" s="153"/>
      <c r="C243" s="153"/>
      <c r="D243" s="153">
        <f t="shared" ref="D243:G243" si="119">D161/SUM(D210:D215)</f>
        <v>2.4637657785278951E-3</v>
      </c>
      <c r="E243" s="153">
        <f t="shared" si="119"/>
        <v>2.1214838594824717E-3</v>
      </c>
      <c r="F243" s="153">
        <f t="shared" si="119"/>
        <v>1.9551071761837947E-3</v>
      </c>
      <c r="G243" s="153">
        <f t="shared" si="119"/>
        <v>2.2047089361428691E-3</v>
      </c>
      <c r="H243" s="153">
        <f t="shared" ref="H243" si="120">H161/SUM(H210:H215)</f>
        <v>2.3062835618378875E-3</v>
      </c>
      <c r="I243" s="153"/>
      <c r="J243" s="220">
        <f t="shared" si="118"/>
        <v>2.1862664375842575E-3</v>
      </c>
    </row>
    <row r="244" spans="1:10" x14ac:dyDescent="0.35">
      <c r="A244" s="142" t="s">
        <v>371</v>
      </c>
      <c r="B244" s="153"/>
      <c r="C244" s="153"/>
      <c r="D244" s="153">
        <f t="shared" ref="D244:G244" si="121">(D160+D167+D168)/SUM(D210:D215)</f>
        <v>5.4344644136883384E-2</v>
      </c>
      <c r="E244" s="153">
        <f t="shared" si="121"/>
        <v>4.7464170961734352E-2</v>
      </c>
      <c r="F244" s="153">
        <f t="shared" si="121"/>
        <v>4.6753502335515923E-2</v>
      </c>
      <c r="G244" s="153">
        <f t="shared" si="121"/>
        <v>4.6069129964956421E-2</v>
      </c>
      <c r="H244" s="153">
        <f t="shared" ref="H244" si="122">(H160+H167+H168)/SUM(H210:H215)</f>
        <v>4.5053800466882621E-2</v>
      </c>
      <c r="I244" s="7"/>
      <c r="J244" s="220">
        <f t="shared" si="118"/>
        <v>4.8657861849772527E-2</v>
      </c>
    </row>
    <row r="245" spans="1:10" x14ac:dyDescent="0.35">
      <c r="A245" s="142" t="s">
        <v>372</v>
      </c>
      <c r="B245" s="153"/>
      <c r="C245" s="153"/>
      <c r="D245" s="153">
        <f t="shared" ref="D245:G245" si="123">(D140+D157+D156)/SUM(D210:D215)</f>
        <v>3.5215953434718804E-2</v>
      </c>
      <c r="E245" s="153">
        <f t="shared" si="123"/>
        <v>3.5836918343045338E-2</v>
      </c>
      <c r="F245" s="153">
        <f t="shared" si="123"/>
        <v>4.0705631288729935E-2</v>
      </c>
      <c r="G245" s="153">
        <f t="shared" si="123"/>
        <v>3.9767447970776172E-2</v>
      </c>
      <c r="H245" s="153">
        <f t="shared" ref="H245" si="124">(H140+H157+H156)/SUM(H210:H215)</f>
        <v>4.1558516114521007E-2</v>
      </c>
      <c r="I245" s="7"/>
      <c r="J245" s="220">
        <f t="shared" si="118"/>
        <v>3.7881487759317566E-2</v>
      </c>
    </row>
    <row r="246" spans="1:10" x14ac:dyDescent="0.35">
      <c r="A246" s="142" t="s">
        <v>373</v>
      </c>
      <c r="B246" s="153"/>
      <c r="C246" s="153"/>
      <c r="D246" s="153">
        <f t="shared" ref="D246:G246" si="125">(D191+D192+D193+D146+D177)/SUM(D210:D215)</f>
        <v>3.3190950327341463E-2</v>
      </c>
      <c r="E246" s="153">
        <f t="shared" si="125"/>
        <v>4.1630060587862935E-2</v>
      </c>
      <c r="F246" s="153">
        <f t="shared" si="125"/>
        <v>4.1764598670562071E-2</v>
      </c>
      <c r="G246" s="153">
        <f t="shared" si="125"/>
        <v>4.1382046366659118E-2</v>
      </c>
      <c r="H246" s="153">
        <f t="shared" ref="H246" si="126">(H191+H192+H193+H146+H177)/SUM(H210:H215)</f>
        <v>2.6939844724744227E-2</v>
      </c>
      <c r="I246" s="7"/>
      <c r="J246" s="220">
        <f t="shared" si="118"/>
        <v>3.9491913988106399E-2</v>
      </c>
    </row>
    <row r="247" spans="1:10" x14ac:dyDescent="0.35">
      <c r="A247" s="142" t="s">
        <v>374</v>
      </c>
      <c r="B247" s="153"/>
      <c r="C247" s="153"/>
      <c r="D247" s="153">
        <f t="shared" ref="D247:G247" si="127">(D144+D147+D148+D149+D150+D151+D152+D153)/SUM(D210:D215)</f>
        <v>3.1027131685230403E-2</v>
      </c>
      <c r="E247" s="153">
        <f t="shared" si="127"/>
        <v>3.3782696043107928E-2</v>
      </c>
      <c r="F247" s="153">
        <f t="shared" si="127"/>
        <v>3.4103675058106485E-2</v>
      </c>
      <c r="G247" s="153">
        <f t="shared" si="127"/>
        <v>3.474590635799929E-2</v>
      </c>
      <c r="H247" s="153">
        <f t="shared" ref="H247" si="128">(H144+H147+H148+H149+H150+H151+H152+H153)/SUM(H210:H215)</f>
        <v>3.4687136061481237E-2</v>
      </c>
      <c r="I247" s="7"/>
      <c r="J247" s="220">
        <f t="shared" si="118"/>
        <v>3.3414852286111026E-2</v>
      </c>
    </row>
    <row r="248" spans="1:10" x14ac:dyDescent="0.35">
      <c r="A248" s="142" t="s">
        <v>2</v>
      </c>
      <c r="B248" s="153"/>
      <c r="C248" s="153"/>
      <c r="D248" s="153">
        <f t="shared" ref="D248:G248" si="129">(D182+D183)/SUM(D210:D215)</f>
        <v>8.8121973119091576E-2</v>
      </c>
      <c r="E248" s="153">
        <f t="shared" si="129"/>
        <v>7.8154113415664278E-2</v>
      </c>
      <c r="F248" s="153">
        <f t="shared" si="129"/>
        <v>7.8143113610321349E-2</v>
      </c>
      <c r="G248" s="153">
        <f t="shared" si="129"/>
        <v>7.8133281593700352E-2</v>
      </c>
      <c r="H248" s="153">
        <f t="shared" ref="H248" si="130">(H182+H183)/SUM(H210:H215)</f>
        <v>7.7512239719333229E-2</v>
      </c>
      <c r="I248" s="7"/>
      <c r="J248" s="220">
        <f t="shared" si="118"/>
        <v>8.0638120434694385E-2</v>
      </c>
    </row>
    <row r="249" spans="1:10" x14ac:dyDescent="0.35">
      <c r="A249" s="142" t="s">
        <v>375</v>
      </c>
      <c r="B249" s="153"/>
      <c r="C249" s="153"/>
      <c r="D249" s="153">
        <f t="shared" ref="D249:G249" si="131">(D208+D212)/SUM(D210:D215)</f>
        <v>0.2056647530269323</v>
      </c>
      <c r="E249" s="153">
        <f t="shared" si="131"/>
        <v>0.19759456026777808</v>
      </c>
      <c r="F249" s="153">
        <f t="shared" si="131"/>
        <v>0.19036361627993523</v>
      </c>
      <c r="G249" s="153">
        <f t="shared" si="131"/>
        <v>0.18983173099259629</v>
      </c>
      <c r="H249" s="153">
        <f t="shared" ref="H249" si="132">(H208+H212)/SUM(H210:H215)</f>
        <v>0.18069512436715054</v>
      </c>
      <c r="I249" s="7"/>
      <c r="J249" s="220">
        <f t="shared" si="118"/>
        <v>0.19586366514181047</v>
      </c>
    </row>
    <row r="250" spans="1:10" x14ac:dyDescent="0.35">
      <c r="A250" s="142" t="s">
        <v>376</v>
      </c>
      <c r="B250" s="153"/>
      <c r="C250" s="153"/>
      <c r="D250" s="153">
        <f t="shared" ref="D250:G250" si="133">(D179+D180+D181)/SUM(D210:D215)</f>
        <v>8.3985198196714229E-3</v>
      </c>
      <c r="E250" s="153">
        <f t="shared" si="133"/>
        <v>6.5472648168396919E-3</v>
      </c>
      <c r="F250" s="153">
        <f t="shared" si="133"/>
        <v>6.7435284915446335E-3</v>
      </c>
      <c r="G250" s="153">
        <f t="shared" si="133"/>
        <v>6.2827500526052215E-3</v>
      </c>
      <c r="H250" s="153">
        <f t="shared" ref="H250" si="134">(H179+H180+H181)/SUM(H210:H215)</f>
        <v>6.0490138743291245E-3</v>
      </c>
      <c r="I250" s="7"/>
      <c r="J250" s="220">
        <f t="shared" si="118"/>
        <v>6.9930157951652427E-3</v>
      </c>
    </row>
    <row r="251" spans="1:10" x14ac:dyDescent="0.35">
      <c r="A251" s="142" t="s">
        <v>377</v>
      </c>
      <c r="B251" s="153"/>
      <c r="C251" s="153"/>
      <c r="D251" s="153">
        <f t="shared" ref="D251:G251" si="135">D185/SUM(D210:D215)</f>
        <v>1.799682818501019E-4</v>
      </c>
      <c r="E251" s="153">
        <f t="shared" si="135"/>
        <v>1.785617677319916E-4</v>
      </c>
      <c r="F251" s="153">
        <f t="shared" si="135"/>
        <v>1.4450418196167072E-4</v>
      </c>
      <c r="G251" s="153">
        <f t="shared" si="135"/>
        <v>1.2376899728396779E-4</v>
      </c>
      <c r="H251" s="153">
        <f t="shared" ref="H251" si="136">H185/SUM(H210:H215)</f>
        <v>1.1901395988842589E-4</v>
      </c>
      <c r="I251" s="7"/>
      <c r="J251" s="220">
        <f t="shared" si="118"/>
        <v>1.5670080720693301E-4</v>
      </c>
    </row>
    <row r="252" spans="1:10" x14ac:dyDescent="0.35">
      <c r="A252" s="142" t="s">
        <v>378</v>
      </c>
      <c r="B252" s="153"/>
      <c r="C252" s="153"/>
      <c r="D252" s="153">
        <f t="shared" ref="D252:G252" si="137">(D162+D163)/SUM(D210:D215)</f>
        <v>7.7986255468377491E-4</v>
      </c>
      <c r="E252" s="153">
        <f t="shared" si="137"/>
        <v>3.9538677140655287E-3</v>
      </c>
      <c r="F252" s="153">
        <f t="shared" si="137"/>
        <v>3.337358488162395E-3</v>
      </c>
      <c r="G252" s="153">
        <f t="shared" si="137"/>
        <v>3.0647561232220594E-3</v>
      </c>
      <c r="H252" s="153">
        <f t="shared" ref="H252" si="138">(H162+H163)/SUM(H210:H215)</f>
        <v>2.8459859973319233E-3</v>
      </c>
      <c r="I252" s="7"/>
      <c r="J252" s="220">
        <f t="shared" si="118"/>
        <v>2.7839612200334395E-3</v>
      </c>
    </row>
    <row r="253" spans="1:10" x14ac:dyDescent="0.35">
      <c r="A253" s="142" t="s">
        <v>379</v>
      </c>
      <c r="B253" s="153"/>
      <c r="C253" s="153"/>
      <c r="D253" s="153">
        <f t="shared" ref="D253:G253" si="139">(D164+D165+D172+D173+D176+D178)/SUM(D210:D215)</f>
        <v>1.2582164481585273E-2</v>
      </c>
      <c r="E253" s="153">
        <f t="shared" si="139"/>
        <v>1.0966352462859952E-2</v>
      </c>
      <c r="F253" s="153">
        <f t="shared" si="139"/>
        <v>9.3959020982233854E-3</v>
      </c>
      <c r="G253" s="153">
        <f t="shared" si="139"/>
        <v>8.8381651395571005E-3</v>
      </c>
      <c r="H253" s="153">
        <f t="shared" ref="H253" si="140">(H164+H165+H172+H173+H176+H178)/SUM(H210:H215)</f>
        <v>8.253888180306793E-3</v>
      </c>
      <c r="I253" s="7"/>
      <c r="J253" s="220">
        <f t="shared" si="118"/>
        <v>1.0445646045556426E-2</v>
      </c>
    </row>
    <row r="254" spans="1:10" x14ac:dyDescent="0.35">
      <c r="A254" s="142" t="s">
        <v>277</v>
      </c>
      <c r="B254" s="153"/>
      <c r="C254" s="153"/>
      <c r="D254" s="153">
        <f t="shared" ref="D254:G254" si="141">(D166+D175+D184+D186+D187+D194+D195)/SUM(D210:D215)</f>
        <v>1.5947022448922536E-2</v>
      </c>
      <c r="E254" s="153">
        <f t="shared" si="141"/>
        <v>2.831415793977015E-2</v>
      </c>
      <c r="F254" s="153">
        <f t="shared" si="141"/>
        <v>2.4508046883729793E-2</v>
      </c>
      <c r="G254" s="153">
        <f t="shared" si="141"/>
        <v>2.4190959646956625E-2</v>
      </c>
      <c r="H254" s="153">
        <f t="shared" ref="H254" si="142">(H166+H175+H184+H186+H187+H194+H195)/SUM(H210:H215)</f>
        <v>3.1773933049412333E-2</v>
      </c>
      <c r="I254" s="7"/>
      <c r="J254" s="220">
        <f t="shared" si="118"/>
        <v>2.3240046729844775E-2</v>
      </c>
    </row>
    <row r="255" spans="1:10" x14ac:dyDescent="0.35">
      <c r="A255"/>
      <c r="B255"/>
      <c r="C255"/>
      <c r="D255"/>
      <c r="I255" s="7"/>
      <c r="J255" s="7"/>
    </row>
    <row r="256" spans="1:10" x14ac:dyDescent="0.35">
      <c r="A256"/>
      <c r="B256" s="221"/>
      <c r="C256" s="221"/>
      <c r="D256" s="221">
        <f t="shared" ref="D256:J256" si="143">SUM(D241:D255)</f>
        <v>1</v>
      </c>
      <c r="E256" s="221">
        <f t="shared" si="143"/>
        <v>0.99999999999999989</v>
      </c>
      <c r="F256" s="221">
        <f t="shared" si="143"/>
        <v>0.99999999999999989</v>
      </c>
      <c r="G256" s="221">
        <f t="shared" si="143"/>
        <v>1.0000000000000002</v>
      </c>
      <c r="H256" s="221">
        <f t="shared" ref="H256" si="144">SUM(H241:H255)</f>
        <v>0.99999999999999967</v>
      </c>
      <c r="I256" s="7"/>
      <c r="J256" s="221">
        <f t="shared" si="143"/>
        <v>1</v>
      </c>
    </row>
  </sheetData>
  <pageMargins left="0.7" right="0.7" top="0.75" bottom="0.75" header="0.3" footer="0.3"/>
  <pageSetup scale="53" orientation="portrait" horizontalDpi="100" verticalDpi="100" r:id="rId1"/>
  <rowBreaks count="2" manualBreakCount="2">
    <brk id="71" max="7" man="1"/>
    <brk id="15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zoomScale="85" zoomScaleNormal="85" zoomScaleSheetLayoutView="70" workbookViewId="0">
      <selection activeCell="M62" sqref="M62"/>
    </sheetView>
  </sheetViews>
  <sheetFormatPr defaultColWidth="9.08984375" defaultRowHeight="12.5" x14ac:dyDescent="0.25"/>
  <cols>
    <col min="1" max="1" width="3" style="223" customWidth="1"/>
    <col min="2" max="2" width="9.08984375" style="223"/>
    <col min="3" max="8" width="10.08984375" style="223" customWidth="1"/>
    <col min="9" max="9" width="3.54296875" style="223" customWidth="1"/>
    <col min="10" max="16384" width="9.08984375" style="223"/>
  </cols>
  <sheetData>
    <row r="1" spans="1:13" ht="15.5" x14ac:dyDescent="0.35">
      <c r="A1" s="255" t="s">
        <v>396</v>
      </c>
      <c r="B1" s="255"/>
      <c r="C1" s="255"/>
    </row>
    <row r="2" spans="1:13" ht="15.5" x14ac:dyDescent="0.35">
      <c r="A2" s="254"/>
      <c r="B2" s="253"/>
      <c r="C2" s="253"/>
    </row>
    <row r="3" spans="1:13" ht="13" x14ac:dyDescent="0.3">
      <c r="A3" s="252" t="s">
        <v>395</v>
      </c>
    </row>
    <row r="4" spans="1:13" x14ac:dyDescent="0.25">
      <c r="A4" s="251" t="s">
        <v>394</v>
      </c>
    </row>
    <row r="5" spans="1:13" x14ac:dyDescent="0.25">
      <c r="A5" s="250"/>
    </row>
    <row r="6" spans="1:13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3" ht="14" x14ac:dyDescent="0.25">
      <c r="A7" s="232"/>
      <c r="B7" s="249" t="s">
        <v>393</v>
      </c>
      <c r="C7" s="232"/>
      <c r="D7" s="232"/>
      <c r="E7" s="232"/>
      <c r="F7" s="232"/>
      <c r="G7" s="232"/>
      <c r="H7" s="232"/>
      <c r="I7" s="232"/>
      <c r="J7" s="232"/>
      <c r="K7" s="232"/>
    </row>
    <row r="8" spans="1:13" ht="14" x14ac:dyDescent="0.25">
      <c r="A8" s="232"/>
      <c r="B8" s="249" t="s">
        <v>392</v>
      </c>
      <c r="C8" s="232"/>
      <c r="D8" s="232"/>
      <c r="E8" s="232"/>
      <c r="F8" s="232"/>
      <c r="G8" s="232"/>
      <c r="H8" s="232"/>
      <c r="I8" s="232"/>
      <c r="J8" s="232"/>
      <c r="K8" s="232"/>
    </row>
    <row r="9" spans="1:13" ht="14" x14ac:dyDescent="0.25">
      <c r="A9" s="232"/>
      <c r="B9" s="249"/>
      <c r="C9" s="232"/>
      <c r="D9" s="232"/>
      <c r="E9" s="232"/>
      <c r="F9" s="232"/>
      <c r="G9" s="232"/>
      <c r="H9" s="232"/>
      <c r="I9" s="232"/>
      <c r="J9" s="232"/>
      <c r="K9" s="232"/>
    </row>
    <row r="10" spans="1:13" ht="14" x14ac:dyDescent="0.3">
      <c r="A10" s="232"/>
      <c r="B10" s="243" t="s">
        <v>391</v>
      </c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3" ht="14" x14ac:dyDescent="0.3">
      <c r="A11" s="232"/>
      <c r="B11" s="248" t="s">
        <v>390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3" ht="13" thickBot="1" x14ac:dyDescent="0.3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4" x14ac:dyDescent="0.25">
      <c r="A13" s="232"/>
      <c r="B13" s="313" t="s">
        <v>385</v>
      </c>
      <c r="C13" s="316" t="s">
        <v>384</v>
      </c>
      <c r="D13" s="317"/>
      <c r="E13" s="317"/>
      <c r="F13" s="317"/>
      <c r="G13" s="317"/>
      <c r="H13" s="318"/>
      <c r="I13" s="232"/>
      <c r="J13" s="232"/>
      <c r="K13" s="232"/>
      <c r="L13" s="232"/>
      <c r="M13" s="232"/>
    </row>
    <row r="14" spans="1:13" ht="14" x14ac:dyDescent="0.25">
      <c r="A14" s="232"/>
      <c r="B14" s="314"/>
      <c r="C14" s="247">
        <v>2024</v>
      </c>
      <c r="D14" s="239">
        <f>+C15</f>
        <v>2025</v>
      </c>
      <c r="E14" s="239">
        <f>+D15</f>
        <v>2026</v>
      </c>
      <c r="F14" s="239">
        <f>+E15</f>
        <v>2027</v>
      </c>
      <c r="G14" s="238">
        <f>+F15</f>
        <v>2028</v>
      </c>
      <c r="H14" s="238">
        <f>+G15</f>
        <v>2029</v>
      </c>
      <c r="I14" s="232"/>
      <c r="J14" s="232"/>
      <c r="K14" s="232"/>
      <c r="L14" s="232"/>
      <c r="M14" s="232"/>
    </row>
    <row r="15" spans="1:13" ht="14.5" thickBot="1" x14ac:dyDescent="0.3">
      <c r="A15" s="232"/>
      <c r="B15" s="315"/>
      <c r="C15" s="237">
        <f t="shared" ref="C15:H15" si="0">+C14+1</f>
        <v>2025</v>
      </c>
      <c r="D15" s="236">
        <f t="shared" si="0"/>
        <v>2026</v>
      </c>
      <c r="E15" s="236">
        <f t="shared" si="0"/>
        <v>2027</v>
      </c>
      <c r="F15" s="236">
        <f t="shared" si="0"/>
        <v>2028</v>
      </c>
      <c r="G15" s="235">
        <f t="shared" si="0"/>
        <v>2029</v>
      </c>
      <c r="H15" s="235">
        <f t="shared" si="0"/>
        <v>2030</v>
      </c>
      <c r="I15" s="232"/>
      <c r="J15" s="232"/>
      <c r="K15" s="232"/>
      <c r="L15" s="232"/>
      <c r="M15" s="232"/>
    </row>
    <row r="16" spans="1:13" ht="14" x14ac:dyDescent="0.25">
      <c r="A16" s="232"/>
      <c r="B16" s="233" t="s">
        <v>383</v>
      </c>
      <c r="C16" s="234"/>
      <c r="D16" s="234"/>
      <c r="E16" s="234"/>
      <c r="F16" s="234"/>
      <c r="G16" s="234"/>
      <c r="H16" s="234"/>
      <c r="I16" s="232"/>
      <c r="J16" s="232"/>
      <c r="K16" s="232"/>
      <c r="L16" s="232"/>
      <c r="M16" s="232"/>
    </row>
    <row r="17" spans="1:14" ht="14" x14ac:dyDescent="0.25">
      <c r="A17" s="232"/>
      <c r="B17" s="233" t="s">
        <v>382</v>
      </c>
      <c r="C17" s="245">
        <f t="shared" ref="C17:H29" si="1">ROUND(C38*0.95,0)</f>
        <v>48</v>
      </c>
      <c r="D17" s="245">
        <f t="shared" si="1"/>
        <v>166</v>
      </c>
      <c r="E17" s="245">
        <f t="shared" si="1"/>
        <v>166</v>
      </c>
      <c r="F17" s="245">
        <f t="shared" si="1"/>
        <v>166</v>
      </c>
      <c r="G17" s="245">
        <f t="shared" si="1"/>
        <v>166</v>
      </c>
      <c r="H17" s="245">
        <f t="shared" si="1"/>
        <v>166</v>
      </c>
      <c r="I17" s="232"/>
      <c r="J17" s="232"/>
      <c r="K17" s="232"/>
      <c r="L17" s="232"/>
      <c r="M17" s="232"/>
    </row>
    <row r="18" spans="1:14" ht="14" x14ac:dyDescent="0.25">
      <c r="A18" s="232"/>
      <c r="B18" s="230">
        <v>1</v>
      </c>
      <c r="C18" s="245">
        <f t="shared" si="1"/>
        <v>49</v>
      </c>
      <c r="D18" s="245">
        <f t="shared" si="1"/>
        <v>173</v>
      </c>
      <c r="E18" s="245">
        <f t="shared" si="1"/>
        <v>173</v>
      </c>
      <c r="F18" s="245">
        <f t="shared" si="1"/>
        <v>173</v>
      </c>
      <c r="G18" s="245">
        <f t="shared" si="1"/>
        <v>173</v>
      </c>
      <c r="H18" s="245">
        <f t="shared" si="1"/>
        <v>173</v>
      </c>
      <c r="I18" s="232"/>
      <c r="J18" s="232"/>
      <c r="K18" s="232"/>
      <c r="L18" s="232"/>
      <c r="M18" s="232"/>
    </row>
    <row r="19" spans="1:14" ht="14" x14ac:dyDescent="0.25">
      <c r="A19" s="232"/>
      <c r="B19" s="230">
        <v>2</v>
      </c>
      <c r="C19" s="245">
        <f t="shared" si="1"/>
        <v>49</v>
      </c>
      <c r="D19" s="245">
        <f t="shared" si="1"/>
        <v>173</v>
      </c>
      <c r="E19" s="245">
        <f t="shared" si="1"/>
        <v>173</v>
      </c>
      <c r="F19" s="245">
        <f t="shared" si="1"/>
        <v>173</v>
      </c>
      <c r="G19" s="245">
        <f t="shared" si="1"/>
        <v>173</v>
      </c>
      <c r="H19" s="245">
        <f t="shared" si="1"/>
        <v>173</v>
      </c>
      <c r="I19" s="232"/>
      <c r="J19" s="232"/>
      <c r="K19" s="232"/>
      <c r="L19" s="232"/>
      <c r="M19" s="232"/>
    </row>
    <row r="20" spans="1:14" ht="14" x14ac:dyDescent="0.25">
      <c r="A20" s="232"/>
      <c r="B20" s="230">
        <v>3</v>
      </c>
      <c r="C20" s="245">
        <f t="shared" si="1"/>
        <v>49</v>
      </c>
      <c r="D20" s="245">
        <f t="shared" si="1"/>
        <v>148</v>
      </c>
      <c r="E20" s="245">
        <f t="shared" si="1"/>
        <v>173</v>
      </c>
      <c r="F20" s="245">
        <f t="shared" si="1"/>
        <v>173</v>
      </c>
      <c r="G20" s="245">
        <f t="shared" si="1"/>
        <v>173</v>
      </c>
      <c r="H20" s="245">
        <f t="shared" si="1"/>
        <v>173</v>
      </c>
      <c r="I20" s="232"/>
      <c r="J20" s="232"/>
      <c r="K20" s="232"/>
      <c r="L20" s="232"/>
      <c r="M20" s="232"/>
    </row>
    <row r="21" spans="1:14" ht="14" x14ac:dyDescent="0.25">
      <c r="A21" s="232"/>
      <c r="B21" s="230">
        <v>4</v>
      </c>
      <c r="C21" s="245">
        <f t="shared" si="1"/>
        <v>49</v>
      </c>
      <c r="D21" s="245">
        <f t="shared" si="1"/>
        <v>124</v>
      </c>
      <c r="E21" s="245">
        <f t="shared" si="1"/>
        <v>148</v>
      </c>
      <c r="F21" s="245">
        <f t="shared" si="1"/>
        <v>173</v>
      </c>
      <c r="G21" s="245">
        <f t="shared" si="1"/>
        <v>173</v>
      </c>
      <c r="H21" s="245">
        <f t="shared" si="1"/>
        <v>173</v>
      </c>
      <c r="I21" s="232"/>
      <c r="J21" s="232"/>
      <c r="K21" s="232"/>
      <c r="L21" s="232"/>
      <c r="M21" s="232"/>
    </row>
    <row r="22" spans="1:14" ht="14" x14ac:dyDescent="0.25">
      <c r="A22" s="232"/>
      <c r="B22" s="230">
        <v>5</v>
      </c>
      <c r="C22" s="245">
        <f t="shared" si="1"/>
        <v>51</v>
      </c>
      <c r="D22" s="245">
        <f t="shared" si="1"/>
        <v>124</v>
      </c>
      <c r="E22" s="245">
        <f t="shared" si="1"/>
        <v>124</v>
      </c>
      <c r="F22" s="245">
        <f t="shared" si="1"/>
        <v>148</v>
      </c>
      <c r="G22" s="245">
        <f t="shared" si="1"/>
        <v>173</v>
      </c>
      <c r="H22" s="245">
        <f t="shared" si="1"/>
        <v>173</v>
      </c>
      <c r="I22" s="232"/>
      <c r="J22" s="232"/>
      <c r="K22" s="232"/>
      <c r="L22" s="232"/>
      <c r="M22" s="232"/>
    </row>
    <row r="23" spans="1:14" ht="14" x14ac:dyDescent="0.25">
      <c r="A23" s="232"/>
      <c r="B23" s="230">
        <v>6</v>
      </c>
      <c r="C23" s="245">
        <f t="shared" si="1"/>
        <v>59</v>
      </c>
      <c r="D23" s="245">
        <f t="shared" si="1"/>
        <v>118</v>
      </c>
      <c r="E23" s="245">
        <f t="shared" si="1"/>
        <v>118</v>
      </c>
      <c r="F23" s="245">
        <f t="shared" si="1"/>
        <v>143</v>
      </c>
      <c r="G23" s="245">
        <f t="shared" si="1"/>
        <v>143</v>
      </c>
      <c r="H23" s="245">
        <f t="shared" si="1"/>
        <v>143</v>
      </c>
      <c r="I23" s="232"/>
      <c r="J23" s="232"/>
      <c r="K23" s="232"/>
      <c r="L23" s="232"/>
      <c r="M23" s="232"/>
    </row>
    <row r="24" spans="1:14" ht="14" x14ac:dyDescent="0.25">
      <c r="A24" s="232"/>
      <c r="B24" s="230">
        <v>7</v>
      </c>
      <c r="C24" s="245">
        <f t="shared" si="1"/>
        <v>59</v>
      </c>
      <c r="D24" s="245">
        <f t="shared" si="1"/>
        <v>88</v>
      </c>
      <c r="E24" s="245">
        <f t="shared" si="1"/>
        <v>118</v>
      </c>
      <c r="F24" s="245">
        <f t="shared" si="1"/>
        <v>118</v>
      </c>
      <c r="G24" s="245">
        <f t="shared" si="1"/>
        <v>143</v>
      </c>
      <c r="H24" s="245">
        <f t="shared" si="1"/>
        <v>143</v>
      </c>
      <c r="I24" s="232"/>
      <c r="J24" s="232"/>
      <c r="K24" s="232"/>
      <c r="L24" s="232"/>
      <c r="M24" s="232"/>
    </row>
    <row r="25" spans="1:14" ht="14" x14ac:dyDescent="0.25">
      <c r="A25" s="232"/>
      <c r="B25" s="230">
        <v>8</v>
      </c>
      <c r="C25" s="245">
        <f t="shared" si="1"/>
        <v>59</v>
      </c>
      <c r="D25" s="245">
        <f t="shared" si="1"/>
        <v>57</v>
      </c>
      <c r="E25" s="245">
        <f t="shared" si="1"/>
        <v>88</v>
      </c>
      <c r="F25" s="245">
        <f t="shared" si="1"/>
        <v>118</v>
      </c>
      <c r="G25" s="245">
        <f t="shared" si="1"/>
        <v>118</v>
      </c>
      <c r="H25" s="245">
        <f t="shared" si="1"/>
        <v>143</v>
      </c>
      <c r="I25" s="232"/>
      <c r="J25" s="232"/>
      <c r="K25" s="232"/>
      <c r="L25" s="232"/>
      <c r="M25" s="232"/>
    </row>
    <row r="26" spans="1:14" ht="14" x14ac:dyDescent="0.25">
      <c r="A26" s="232"/>
      <c r="B26" s="230">
        <v>9</v>
      </c>
      <c r="C26" s="245">
        <f t="shared" si="1"/>
        <v>0</v>
      </c>
      <c r="D26" s="245">
        <f t="shared" si="1"/>
        <v>0</v>
      </c>
      <c r="E26" s="245">
        <f t="shared" si="1"/>
        <v>57</v>
      </c>
      <c r="F26" s="245">
        <f t="shared" si="1"/>
        <v>88</v>
      </c>
      <c r="G26" s="245">
        <f t="shared" si="1"/>
        <v>114</v>
      </c>
      <c r="H26" s="245">
        <f t="shared" si="1"/>
        <v>114</v>
      </c>
      <c r="I26" s="232"/>
      <c r="J26" s="232"/>
      <c r="K26" s="232"/>
      <c r="L26" s="232"/>
      <c r="M26" s="232"/>
    </row>
    <row r="27" spans="1:14" ht="14" x14ac:dyDescent="0.25">
      <c r="A27" s="232"/>
      <c r="B27" s="230">
        <v>10</v>
      </c>
      <c r="C27" s="245">
        <f t="shared" si="1"/>
        <v>0</v>
      </c>
      <c r="D27" s="245">
        <f t="shared" si="1"/>
        <v>0</v>
      </c>
      <c r="E27" s="245">
        <f t="shared" si="1"/>
        <v>0</v>
      </c>
      <c r="F27" s="245">
        <f t="shared" si="1"/>
        <v>57</v>
      </c>
      <c r="G27" s="245">
        <f t="shared" si="1"/>
        <v>86</v>
      </c>
      <c r="H27" s="245">
        <f t="shared" si="1"/>
        <v>114</v>
      </c>
      <c r="I27" s="232"/>
      <c r="J27" s="232"/>
      <c r="K27" s="232"/>
      <c r="L27" s="232"/>
      <c r="M27" s="232"/>
    </row>
    <row r="28" spans="1:14" ht="14" x14ac:dyDescent="0.25">
      <c r="A28" s="232"/>
      <c r="B28" s="230">
        <v>11</v>
      </c>
      <c r="C28" s="245">
        <f t="shared" si="1"/>
        <v>0</v>
      </c>
      <c r="D28" s="245">
        <f t="shared" si="1"/>
        <v>0</v>
      </c>
      <c r="E28" s="245">
        <f t="shared" si="1"/>
        <v>0</v>
      </c>
      <c r="F28" s="245">
        <f t="shared" si="1"/>
        <v>0</v>
      </c>
      <c r="G28" s="245">
        <f t="shared" si="1"/>
        <v>57</v>
      </c>
      <c r="H28" s="245">
        <f t="shared" si="1"/>
        <v>86</v>
      </c>
      <c r="I28" s="232"/>
      <c r="J28" s="232"/>
      <c r="K28" s="232"/>
      <c r="L28" s="232"/>
      <c r="M28" s="232"/>
    </row>
    <row r="29" spans="1:14" ht="14" x14ac:dyDescent="0.25">
      <c r="A29" s="232"/>
      <c r="B29" s="229">
        <v>12</v>
      </c>
      <c r="C29" s="245">
        <f t="shared" si="1"/>
        <v>0</v>
      </c>
      <c r="D29" s="245">
        <f t="shared" si="1"/>
        <v>0</v>
      </c>
      <c r="E29" s="245">
        <f t="shared" si="1"/>
        <v>0</v>
      </c>
      <c r="F29" s="245">
        <f t="shared" si="1"/>
        <v>0</v>
      </c>
      <c r="G29" s="245">
        <f t="shared" si="1"/>
        <v>0</v>
      </c>
      <c r="H29" s="245">
        <f t="shared" si="1"/>
        <v>57</v>
      </c>
      <c r="I29" s="232"/>
      <c r="J29" s="232"/>
      <c r="K29" s="232"/>
      <c r="L29" s="232"/>
      <c r="M29" s="232"/>
    </row>
    <row r="30" spans="1:14" ht="14" x14ac:dyDescent="0.3">
      <c r="A30" s="232"/>
      <c r="B30" s="226" t="s">
        <v>249</v>
      </c>
      <c r="C30" s="225">
        <f t="shared" ref="C30:H30" si="2">SUM(C16:C29)</f>
        <v>472</v>
      </c>
      <c r="D30" s="225">
        <f t="shared" si="2"/>
        <v>1171</v>
      </c>
      <c r="E30" s="225">
        <f t="shared" si="2"/>
        <v>1338</v>
      </c>
      <c r="F30" s="225">
        <f t="shared" si="2"/>
        <v>1530</v>
      </c>
      <c r="G30" s="225">
        <f t="shared" si="2"/>
        <v>1692</v>
      </c>
      <c r="H30" s="225">
        <f t="shared" si="2"/>
        <v>1831</v>
      </c>
      <c r="I30" s="232"/>
      <c r="J30" s="224">
        <f>D30/$D$51</f>
        <v>0.95048701298701299</v>
      </c>
      <c r="K30" s="224">
        <f>E30/$E$51</f>
        <v>0.95028409090909094</v>
      </c>
      <c r="L30" s="224">
        <f>F30/$F$51</f>
        <v>0.9503105590062112</v>
      </c>
      <c r="M30" s="224">
        <f>G30/$G$51</f>
        <v>0.95109612141652611</v>
      </c>
      <c r="N30" s="224">
        <f>H30/$H$51</f>
        <v>0.95116883116883122</v>
      </c>
    </row>
    <row r="31" spans="1:14" ht="13" x14ac:dyDescent="0.3">
      <c r="A31" s="232"/>
      <c r="B31" s="232"/>
      <c r="C31" s="232"/>
      <c r="D31" s="232"/>
      <c r="E31" s="232"/>
      <c r="F31" s="232"/>
      <c r="G31" s="232"/>
      <c r="H31" s="232"/>
      <c r="I31" s="232"/>
      <c r="J31" s="231"/>
      <c r="K31" s="231"/>
      <c r="L31" s="231"/>
      <c r="M31" s="231"/>
      <c r="N31" s="227"/>
    </row>
    <row r="32" spans="1:14" ht="14" x14ac:dyDescent="0.3">
      <c r="A32" s="232"/>
      <c r="B32" s="246" t="s">
        <v>389</v>
      </c>
      <c r="C32" s="232"/>
      <c r="D32" s="232"/>
      <c r="E32" s="232"/>
      <c r="F32" s="232"/>
      <c r="G32" s="232"/>
      <c r="H32" s="232"/>
      <c r="I32" s="232"/>
      <c r="J32" s="231"/>
      <c r="K32" s="231"/>
      <c r="L32" s="231"/>
      <c r="M32" s="231"/>
      <c r="N32" s="227"/>
    </row>
    <row r="33" spans="1:14" ht="13.5" thickBot="1" x14ac:dyDescent="0.35">
      <c r="A33" s="232"/>
      <c r="B33" s="232"/>
      <c r="C33" s="232"/>
      <c r="D33" s="232"/>
      <c r="E33" s="232"/>
      <c r="F33" s="232"/>
      <c r="G33" s="232"/>
      <c r="H33" s="232"/>
      <c r="I33" s="232"/>
      <c r="J33" s="231"/>
      <c r="K33" s="231"/>
      <c r="L33" s="231"/>
      <c r="M33" s="231"/>
      <c r="N33" s="227"/>
    </row>
    <row r="34" spans="1:14" ht="15.75" customHeight="1" x14ac:dyDescent="0.3">
      <c r="A34" s="232"/>
      <c r="B34" s="313" t="s">
        <v>385</v>
      </c>
      <c r="C34" s="316" t="s">
        <v>384</v>
      </c>
      <c r="D34" s="317"/>
      <c r="E34" s="317"/>
      <c r="F34" s="317"/>
      <c r="G34" s="317"/>
      <c r="H34" s="318"/>
      <c r="I34" s="232"/>
      <c r="J34" s="231"/>
      <c r="K34" s="231"/>
      <c r="L34" s="231"/>
      <c r="M34" s="231"/>
      <c r="N34" s="227"/>
    </row>
    <row r="35" spans="1:14" ht="14" x14ac:dyDescent="0.3">
      <c r="A35" s="232"/>
      <c r="B35" s="314"/>
      <c r="C35" s="310">
        <f>+C14</f>
        <v>2024</v>
      </c>
      <c r="D35" s="239">
        <f>+C36</f>
        <v>2025</v>
      </c>
      <c r="E35" s="239">
        <f>+D36</f>
        <v>2026</v>
      </c>
      <c r="F35" s="239">
        <f>+E36</f>
        <v>2027</v>
      </c>
      <c r="G35" s="239">
        <f>+F36</f>
        <v>2028</v>
      </c>
      <c r="H35" s="238">
        <f>+G36</f>
        <v>2029</v>
      </c>
      <c r="I35" s="232"/>
      <c r="J35" s="231"/>
      <c r="K35" s="231"/>
      <c r="L35" s="231"/>
      <c r="M35" s="231"/>
      <c r="N35" s="227"/>
    </row>
    <row r="36" spans="1:14" ht="14.5" thickBot="1" x14ac:dyDescent="0.35">
      <c r="A36" s="232"/>
      <c r="B36" s="315"/>
      <c r="C36" s="309">
        <f t="shared" ref="C36:H36" si="3">+C35+1</f>
        <v>2025</v>
      </c>
      <c r="D36" s="236">
        <f t="shared" si="3"/>
        <v>2026</v>
      </c>
      <c r="E36" s="236">
        <f t="shared" si="3"/>
        <v>2027</v>
      </c>
      <c r="F36" s="236">
        <f t="shared" si="3"/>
        <v>2028</v>
      </c>
      <c r="G36" s="236">
        <f t="shared" si="3"/>
        <v>2029</v>
      </c>
      <c r="H36" s="235">
        <f t="shared" si="3"/>
        <v>2030</v>
      </c>
      <c r="I36" s="232"/>
      <c r="J36" s="231"/>
      <c r="K36" s="231"/>
      <c r="L36" s="231"/>
      <c r="M36" s="231"/>
      <c r="N36" s="227"/>
    </row>
    <row r="37" spans="1:14" ht="14" x14ac:dyDescent="0.3">
      <c r="A37" s="232"/>
      <c r="B37" s="233" t="s">
        <v>383</v>
      </c>
      <c r="C37" s="234"/>
      <c r="D37" s="234"/>
      <c r="E37" s="234"/>
      <c r="F37" s="234"/>
      <c r="G37" s="234"/>
      <c r="H37" s="234"/>
      <c r="I37" s="232"/>
      <c r="J37" s="231"/>
      <c r="K37" s="231"/>
      <c r="L37" s="231"/>
      <c r="M37" s="231"/>
      <c r="N37" s="227"/>
    </row>
    <row r="38" spans="1:14" ht="14" x14ac:dyDescent="0.3">
      <c r="A38" s="232"/>
      <c r="B38" s="233" t="s">
        <v>382</v>
      </c>
      <c r="C38" s="245">
        <f>'System 6-Year'!C4</f>
        <v>50</v>
      </c>
      <c r="D38" s="245">
        <f>'System 6-Year'!D4</f>
        <v>175</v>
      </c>
      <c r="E38" s="245">
        <f>'System 6-Year'!E4</f>
        <v>175</v>
      </c>
      <c r="F38" s="245">
        <f>'System 6-Year'!F4</f>
        <v>175</v>
      </c>
      <c r="G38" s="245">
        <f>'System 6-Year'!G4</f>
        <v>175</v>
      </c>
      <c r="H38" s="245">
        <f>'System 6-Year'!H4</f>
        <v>175</v>
      </c>
      <c r="I38" s="232"/>
      <c r="J38" s="231"/>
      <c r="K38" s="231"/>
      <c r="L38" s="231"/>
      <c r="M38" s="231"/>
      <c r="N38" s="227"/>
    </row>
    <row r="39" spans="1:14" ht="14" x14ac:dyDescent="0.3">
      <c r="A39" s="232"/>
      <c r="B39" s="230">
        <v>1</v>
      </c>
      <c r="C39" s="245">
        <f>'System 6-Year'!C5</f>
        <v>52</v>
      </c>
      <c r="D39" s="245">
        <f>'System 6-Year'!D5</f>
        <v>182</v>
      </c>
      <c r="E39" s="245">
        <f>'System 6-Year'!E5</f>
        <v>182</v>
      </c>
      <c r="F39" s="245">
        <f>'System 6-Year'!F5</f>
        <v>182</v>
      </c>
      <c r="G39" s="245">
        <f>'System 6-Year'!G5</f>
        <v>182</v>
      </c>
      <c r="H39" s="245">
        <f>'System 6-Year'!H5</f>
        <v>182</v>
      </c>
      <c r="I39" s="232"/>
      <c r="J39" s="231"/>
      <c r="K39" s="231"/>
      <c r="L39" s="231"/>
      <c r="M39" s="231"/>
      <c r="N39" s="227"/>
    </row>
    <row r="40" spans="1:14" ht="14" x14ac:dyDescent="0.3">
      <c r="A40" s="232"/>
      <c r="B40" s="230">
        <v>2</v>
      </c>
      <c r="C40" s="245">
        <f>'System 6-Year'!C6</f>
        <v>52</v>
      </c>
      <c r="D40" s="245">
        <f>'System 6-Year'!D6</f>
        <v>182</v>
      </c>
      <c r="E40" s="245">
        <f>'System 6-Year'!E6</f>
        <v>182</v>
      </c>
      <c r="F40" s="245">
        <f>'System 6-Year'!F6</f>
        <v>182</v>
      </c>
      <c r="G40" s="245">
        <f>'System 6-Year'!G6</f>
        <v>182</v>
      </c>
      <c r="H40" s="245">
        <f>'System 6-Year'!H6</f>
        <v>182</v>
      </c>
      <c r="I40" s="232"/>
      <c r="J40" s="231"/>
      <c r="K40" s="231"/>
      <c r="L40" s="231"/>
      <c r="M40" s="231"/>
      <c r="N40" s="227"/>
    </row>
    <row r="41" spans="1:14" ht="14" x14ac:dyDescent="0.3">
      <c r="A41" s="232"/>
      <c r="B41" s="230">
        <v>3</v>
      </c>
      <c r="C41" s="245">
        <f>'System 6-Year'!C7</f>
        <v>52</v>
      </c>
      <c r="D41" s="245">
        <f>'System 6-Year'!D7</f>
        <v>156</v>
      </c>
      <c r="E41" s="245">
        <f>'System 6-Year'!E7</f>
        <v>182</v>
      </c>
      <c r="F41" s="245">
        <f>'System 6-Year'!F7</f>
        <v>182</v>
      </c>
      <c r="G41" s="245">
        <f>'System 6-Year'!G7</f>
        <v>182</v>
      </c>
      <c r="H41" s="245">
        <f>'System 6-Year'!H7</f>
        <v>182</v>
      </c>
      <c r="I41" s="232"/>
      <c r="J41" s="231"/>
      <c r="K41" s="231"/>
      <c r="L41" s="231"/>
      <c r="M41" s="231"/>
      <c r="N41" s="227"/>
    </row>
    <row r="42" spans="1:14" ht="14" x14ac:dyDescent="0.3">
      <c r="A42" s="232"/>
      <c r="B42" s="230">
        <v>4</v>
      </c>
      <c r="C42" s="245">
        <f>'System 6-Year'!C8</f>
        <v>52</v>
      </c>
      <c r="D42" s="245">
        <f>'System 6-Year'!D8</f>
        <v>130</v>
      </c>
      <c r="E42" s="245">
        <f>'System 6-Year'!E8</f>
        <v>156</v>
      </c>
      <c r="F42" s="245">
        <f>'System 6-Year'!F8</f>
        <v>182</v>
      </c>
      <c r="G42" s="245">
        <f>'System 6-Year'!G8</f>
        <v>182</v>
      </c>
      <c r="H42" s="245">
        <f>'System 6-Year'!H8</f>
        <v>182</v>
      </c>
      <c r="I42" s="232"/>
      <c r="J42" s="231"/>
      <c r="K42" s="231"/>
      <c r="L42" s="231"/>
      <c r="M42" s="231"/>
      <c r="N42" s="227"/>
    </row>
    <row r="43" spans="1:14" ht="14" x14ac:dyDescent="0.3">
      <c r="A43" s="232"/>
      <c r="B43" s="230">
        <v>5</v>
      </c>
      <c r="C43" s="245">
        <f>'System 6-Year'!C9</f>
        <v>54</v>
      </c>
      <c r="D43" s="245">
        <f>'System 6-Year'!D9</f>
        <v>130</v>
      </c>
      <c r="E43" s="245">
        <f>'System 6-Year'!E9</f>
        <v>130</v>
      </c>
      <c r="F43" s="245">
        <f>'System 6-Year'!F9</f>
        <v>156</v>
      </c>
      <c r="G43" s="245">
        <f>'System 6-Year'!G9</f>
        <v>182</v>
      </c>
      <c r="H43" s="245">
        <f>'System 6-Year'!H9</f>
        <v>182</v>
      </c>
      <c r="I43" s="232"/>
      <c r="J43" s="231"/>
      <c r="K43" s="231"/>
      <c r="L43" s="231"/>
      <c r="M43" s="231"/>
      <c r="N43" s="227"/>
    </row>
    <row r="44" spans="1:14" ht="14" x14ac:dyDescent="0.3">
      <c r="A44" s="232"/>
      <c r="B44" s="230">
        <v>6</v>
      </c>
      <c r="C44" s="245">
        <f>'System 6-Year'!C10</f>
        <v>62</v>
      </c>
      <c r="D44" s="245">
        <f>'System 6-Year'!D10</f>
        <v>124</v>
      </c>
      <c r="E44" s="245">
        <f>'System 6-Year'!E10</f>
        <v>124</v>
      </c>
      <c r="F44" s="245">
        <f>'System 6-Year'!F10</f>
        <v>150</v>
      </c>
      <c r="G44" s="245">
        <f>'System 6-Year'!G10</f>
        <v>150</v>
      </c>
      <c r="H44" s="245">
        <f>'System 6-Year'!H10</f>
        <v>150</v>
      </c>
      <c r="I44" s="232"/>
      <c r="J44" s="231"/>
      <c r="K44" s="231"/>
      <c r="L44" s="231"/>
      <c r="M44" s="231"/>
      <c r="N44" s="227"/>
    </row>
    <row r="45" spans="1:14" ht="14" x14ac:dyDescent="0.3">
      <c r="A45" s="232"/>
      <c r="B45" s="230">
        <v>7</v>
      </c>
      <c r="C45" s="245">
        <f>'System 6-Year'!C11</f>
        <v>62</v>
      </c>
      <c r="D45" s="245">
        <f>'System 6-Year'!D11</f>
        <v>93</v>
      </c>
      <c r="E45" s="245">
        <f>'System 6-Year'!E11</f>
        <v>124</v>
      </c>
      <c r="F45" s="245">
        <f>'System 6-Year'!F11</f>
        <v>124</v>
      </c>
      <c r="G45" s="245">
        <f>'System 6-Year'!G11</f>
        <v>150</v>
      </c>
      <c r="H45" s="245">
        <f>'System 6-Year'!H11</f>
        <v>150</v>
      </c>
      <c r="I45" s="232"/>
      <c r="J45" s="231"/>
      <c r="K45" s="231"/>
      <c r="L45" s="231"/>
      <c r="M45" s="231"/>
      <c r="N45" s="227"/>
    </row>
    <row r="46" spans="1:14" ht="14" x14ac:dyDescent="0.3">
      <c r="A46" s="232"/>
      <c r="B46" s="230">
        <v>8</v>
      </c>
      <c r="C46" s="245">
        <f>'System 6-Year'!C12</f>
        <v>62</v>
      </c>
      <c r="D46" s="245">
        <f>'System 6-Year'!D12</f>
        <v>60</v>
      </c>
      <c r="E46" s="245">
        <f>'System 6-Year'!E12</f>
        <v>93</v>
      </c>
      <c r="F46" s="245">
        <f>'System 6-Year'!F12</f>
        <v>124</v>
      </c>
      <c r="G46" s="245">
        <f>'System 6-Year'!G12</f>
        <v>124</v>
      </c>
      <c r="H46" s="245">
        <f>'System 6-Year'!H12</f>
        <v>150</v>
      </c>
      <c r="I46" s="232"/>
      <c r="J46" s="231"/>
      <c r="K46" s="231"/>
      <c r="L46" s="231"/>
      <c r="M46" s="231"/>
      <c r="N46" s="227"/>
    </row>
    <row r="47" spans="1:14" ht="14" x14ac:dyDescent="0.3">
      <c r="A47" s="232"/>
      <c r="B47" s="230">
        <v>9</v>
      </c>
      <c r="C47" s="245">
        <f>'System 6-Year'!C13</f>
        <v>0</v>
      </c>
      <c r="D47" s="245">
        <f>'System 6-Year'!D13</f>
        <v>0</v>
      </c>
      <c r="E47" s="245">
        <f>'System 6-Year'!E13</f>
        <v>60</v>
      </c>
      <c r="F47" s="245">
        <f>'System 6-Year'!F13</f>
        <v>93</v>
      </c>
      <c r="G47" s="245">
        <f>'System 6-Year'!G13</f>
        <v>120</v>
      </c>
      <c r="H47" s="245">
        <f>'System 6-Year'!H13</f>
        <v>120</v>
      </c>
      <c r="I47" s="232"/>
      <c r="J47" s="231"/>
      <c r="K47" s="231"/>
      <c r="L47" s="231"/>
      <c r="M47" s="231"/>
      <c r="N47" s="227"/>
    </row>
    <row r="48" spans="1:14" ht="14" x14ac:dyDescent="0.3">
      <c r="A48" s="232"/>
      <c r="B48" s="230">
        <v>10</v>
      </c>
      <c r="C48" s="245">
        <f>'System 6-Year'!C14</f>
        <v>0</v>
      </c>
      <c r="D48" s="245">
        <f>'System 6-Year'!D14</f>
        <v>0</v>
      </c>
      <c r="E48" s="245">
        <f>'System 6-Year'!E14</f>
        <v>0</v>
      </c>
      <c r="F48" s="245">
        <f>'System 6-Year'!F14</f>
        <v>60</v>
      </c>
      <c r="G48" s="245">
        <f>'System 6-Year'!G14</f>
        <v>90</v>
      </c>
      <c r="H48" s="245">
        <f>'System 6-Year'!H14</f>
        <v>120</v>
      </c>
      <c r="I48" s="232"/>
      <c r="J48" s="231"/>
      <c r="K48" s="231"/>
      <c r="L48" s="231"/>
      <c r="M48" s="231"/>
      <c r="N48" s="227"/>
    </row>
    <row r="49" spans="1:14" ht="14" x14ac:dyDescent="0.3">
      <c r="A49" s="232"/>
      <c r="B49" s="230">
        <v>11</v>
      </c>
      <c r="C49" s="245">
        <f>'System 6-Year'!C15</f>
        <v>0</v>
      </c>
      <c r="D49" s="245">
        <f>'System 6-Year'!D15</f>
        <v>0</v>
      </c>
      <c r="E49" s="245">
        <f>'System 6-Year'!E15</f>
        <v>0</v>
      </c>
      <c r="F49" s="245">
        <f>'System 6-Year'!F15</f>
        <v>0</v>
      </c>
      <c r="G49" s="245">
        <f>'System 6-Year'!G15</f>
        <v>60</v>
      </c>
      <c r="H49" s="245">
        <f>'System 6-Year'!H15</f>
        <v>90</v>
      </c>
      <c r="I49" s="232"/>
      <c r="J49" s="231"/>
      <c r="K49" s="231"/>
      <c r="L49" s="231"/>
      <c r="M49" s="231"/>
      <c r="N49" s="227"/>
    </row>
    <row r="50" spans="1:14" ht="14" x14ac:dyDescent="0.3">
      <c r="A50" s="232"/>
      <c r="B50" s="229">
        <v>12</v>
      </c>
      <c r="C50" s="245">
        <f>'System 6-Year'!C16</f>
        <v>0</v>
      </c>
      <c r="D50" s="245">
        <f>'System 6-Year'!D16</f>
        <v>0</v>
      </c>
      <c r="E50" s="245">
        <f>'System 6-Year'!E16</f>
        <v>0</v>
      </c>
      <c r="F50" s="245">
        <f>'System 6-Year'!F16</f>
        <v>0</v>
      </c>
      <c r="G50" s="245">
        <f>'System 6-Year'!G16</f>
        <v>0</v>
      </c>
      <c r="H50" s="245">
        <f>'System 6-Year'!H16</f>
        <v>60</v>
      </c>
      <c r="I50" s="232"/>
      <c r="J50" s="231"/>
      <c r="K50" s="231"/>
      <c r="L50" s="231"/>
      <c r="M50" s="231"/>
      <c r="N50" s="227"/>
    </row>
    <row r="51" spans="1:14" ht="14" x14ac:dyDescent="0.3">
      <c r="A51" s="232"/>
      <c r="B51" s="226" t="s">
        <v>249</v>
      </c>
      <c r="C51" s="225">
        <f t="shared" ref="C51:H51" si="4">SUM(C37:C50)</f>
        <v>498</v>
      </c>
      <c r="D51" s="225">
        <f t="shared" si="4"/>
        <v>1232</v>
      </c>
      <c r="E51" s="225">
        <f t="shared" si="4"/>
        <v>1408</v>
      </c>
      <c r="F51" s="225">
        <f t="shared" si="4"/>
        <v>1610</v>
      </c>
      <c r="G51" s="225">
        <f t="shared" si="4"/>
        <v>1779</v>
      </c>
      <c r="H51" s="225">
        <f t="shared" si="4"/>
        <v>1925</v>
      </c>
      <c r="I51" s="232"/>
      <c r="J51" s="244">
        <f>D51/$D$51</f>
        <v>1</v>
      </c>
      <c r="K51" s="244">
        <f>E51/$E$51</f>
        <v>1</v>
      </c>
      <c r="L51" s="244">
        <f>F51/$F$51</f>
        <v>1</v>
      </c>
      <c r="M51" s="244">
        <f>G51/$G$51</f>
        <v>1</v>
      </c>
      <c r="N51" s="244">
        <f>H51/$H$51</f>
        <v>1</v>
      </c>
    </row>
    <row r="52" spans="1:14" ht="13" x14ac:dyDescent="0.3">
      <c r="A52" s="232"/>
      <c r="B52" s="232"/>
      <c r="C52" s="232"/>
      <c r="D52" s="232"/>
      <c r="E52" s="232"/>
      <c r="F52" s="232"/>
      <c r="G52" s="232"/>
      <c r="H52" s="232"/>
      <c r="I52" s="232"/>
      <c r="J52" s="231"/>
      <c r="K52" s="231"/>
      <c r="L52" s="231"/>
      <c r="M52" s="231"/>
      <c r="N52" s="227"/>
    </row>
    <row r="53" spans="1:14" ht="14" x14ac:dyDescent="0.3">
      <c r="A53" s="232"/>
      <c r="B53" s="243" t="s">
        <v>388</v>
      </c>
      <c r="C53" s="241"/>
      <c r="D53" s="241"/>
      <c r="E53" s="241"/>
      <c r="F53" s="241"/>
      <c r="G53" s="241"/>
      <c r="H53" s="241"/>
      <c r="I53" s="232"/>
      <c r="J53" s="231"/>
      <c r="K53" s="231"/>
      <c r="L53" s="231"/>
      <c r="M53" s="231"/>
      <c r="N53" s="227"/>
    </row>
    <row r="54" spans="1:14" ht="14" x14ac:dyDescent="0.3">
      <c r="A54" s="232"/>
      <c r="B54" s="243" t="s">
        <v>387</v>
      </c>
      <c r="C54" s="241"/>
      <c r="D54" s="241"/>
      <c r="E54" s="241"/>
      <c r="F54" s="241"/>
      <c r="G54" s="241"/>
      <c r="H54" s="241"/>
      <c r="I54" s="232"/>
      <c r="J54" s="231"/>
      <c r="K54" s="231"/>
      <c r="L54" s="231"/>
      <c r="M54" s="231"/>
      <c r="N54" s="227"/>
    </row>
    <row r="55" spans="1:14" ht="13" x14ac:dyDescent="0.3">
      <c r="A55" s="232"/>
      <c r="B55" s="242" t="s">
        <v>386</v>
      </c>
      <c r="C55" s="241"/>
      <c r="D55" s="241"/>
      <c r="E55" s="241"/>
      <c r="F55" s="241"/>
      <c r="G55" s="241"/>
      <c r="H55" s="241"/>
      <c r="I55" s="232"/>
      <c r="J55" s="231"/>
      <c r="K55" s="231"/>
      <c r="L55" s="231"/>
      <c r="M55" s="231"/>
      <c r="N55" s="227"/>
    </row>
    <row r="56" spans="1:14" ht="13.5" thickBot="1" x14ac:dyDescent="0.35">
      <c r="A56" s="232"/>
      <c r="B56" s="232"/>
      <c r="C56" s="232"/>
      <c r="D56" s="232"/>
      <c r="E56" s="232"/>
      <c r="F56" s="232"/>
      <c r="G56" s="232"/>
      <c r="H56" s="232"/>
      <c r="I56" s="232"/>
      <c r="J56" s="231"/>
      <c r="K56" s="231"/>
      <c r="L56" s="231"/>
      <c r="M56" s="231"/>
      <c r="N56" s="227"/>
    </row>
    <row r="57" spans="1:14" ht="15.75" customHeight="1" x14ac:dyDescent="0.3">
      <c r="A57" s="232"/>
      <c r="B57" s="313" t="s">
        <v>385</v>
      </c>
      <c r="C57" s="316" t="s">
        <v>384</v>
      </c>
      <c r="D57" s="317"/>
      <c r="E57" s="317"/>
      <c r="F57" s="317"/>
      <c r="G57" s="317"/>
      <c r="H57" s="318"/>
      <c r="I57" s="232"/>
      <c r="J57" s="231"/>
      <c r="K57" s="231"/>
      <c r="L57" s="231"/>
      <c r="M57" s="231"/>
      <c r="N57" s="227"/>
    </row>
    <row r="58" spans="1:14" ht="14" x14ac:dyDescent="0.3">
      <c r="A58" s="232"/>
      <c r="B58" s="314"/>
      <c r="C58" s="240">
        <f>+C14</f>
        <v>2024</v>
      </c>
      <c r="D58" s="239">
        <f>+C59</f>
        <v>2025</v>
      </c>
      <c r="E58" s="239">
        <f>+D59</f>
        <v>2026</v>
      </c>
      <c r="F58" s="239">
        <f>+E59</f>
        <v>2027</v>
      </c>
      <c r="G58" s="239">
        <f>+F59</f>
        <v>2028</v>
      </c>
      <c r="H58" s="238">
        <f>+G59</f>
        <v>2029</v>
      </c>
      <c r="I58" s="232"/>
      <c r="J58" s="231"/>
      <c r="K58" s="231"/>
      <c r="L58" s="231"/>
      <c r="M58" s="231"/>
      <c r="N58" s="227"/>
    </row>
    <row r="59" spans="1:14" ht="14.5" thickBot="1" x14ac:dyDescent="0.35">
      <c r="A59" s="232"/>
      <c r="B59" s="315"/>
      <c r="C59" s="237">
        <f t="shared" ref="C59:H59" si="5">+C58+1</f>
        <v>2025</v>
      </c>
      <c r="D59" s="236">
        <f t="shared" si="5"/>
        <v>2026</v>
      </c>
      <c r="E59" s="236">
        <f t="shared" si="5"/>
        <v>2027</v>
      </c>
      <c r="F59" s="236">
        <f t="shared" si="5"/>
        <v>2028</v>
      </c>
      <c r="G59" s="236">
        <f t="shared" si="5"/>
        <v>2029</v>
      </c>
      <c r="H59" s="235">
        <f t="shared" si="5"/>
        <v>2030</v>
      </c>
      <c r="I59" s="232"/>
      <c r="J59" s="231"/>
      <c r="K59" s="231"/>
      <c r="L59" s="231"/>
      <c r="M59" s="231"/>
      <c r="N59" s="227"/>
    </row>
    <row r="60" spans="1:14" ht="14" x14ac:dyDescent="0.3">
      <c r="A60" s="232"/>
      <c r="B60" s="233" t="s">
        <v>383</v>
      </c>
      <c r="C60" s="234"/>
      <c r="D60" s="234"/>
      <c r="E60" s="234"/>
      <c r="F60" s="234"/>
      <c r="G60" s="234"/>
      <c r="H60" s="234"/>
      <c r="I60" s="232"/>
      <c r="J60" s="231"/>
      <c r="K60" s="231"/>
      <c r="L60" s="231"/>
      <c r="M60" s="231"/>
      <c r="N60" s="227"/>
    </row>
    <row r="61" spans="1:14" ht="14" x14ac:dyDescent="0.3">
      <c r="A61" s="232"/>
      <c r="B61" s="233" t="s">
        <v>382</v>
      </c>
      <c r="C61" s="228">
        <f t="shared" ref="C61:H73" si="6">ROUND(C38*1.05,0)</f>
        <v>53</v>
      </c>
      <c r="D61" s="228">
        <f t="shared" si="6"/>
        <v>184</v>
      </c>
      <c r="E61" s="228">
        <f t="shared" si="6"/>
        <v>184</v>
      </c>
      <c r="F61" s="228">
        <f t="shared" si="6"/>
        <v>184</v>
      </c>
      <c r="G61" s="228">
        <f t="shared" si="6"/>
        <v>184</v>
      </c>
      <c r="H61" s="228">
        <f t="shared" si="6"/>
        <v>184</v>
      </c>
      <c r="I61" s="232"/>
      <c r="J61" s="231"/>
      <c r="K61" s="231"/>
      <c r="L61" s="231"/>
      <c r="M61" s="231"/>
      <c r="N61" s="227"/>
    </row>
    <row r="62" spans="1:14" ht="14" x14ac:dyDescent="0.3">
      <c r="A62" s="232"/>
      <c r="B62" s="230">
        <v>1</v>
      </c>
      <c r="C62" s="228">
        <f t="shared" si="6"/>
        <v>55</v>
      </c>
      <c r="D62" s="228">
        <f t="shared" si="6"/>
        <v>191</v>
      </c>
      <c r="E62" s="228">
        <f t="shared" si="6"/>
        <v>191</v>
      </c>
      <c r="F62" s="228">
        <f t="shared" si="6"/>
        <v>191</v>
      </c>
      <c r="G62" s="228">
        <f t="shared" si="6"/>
        <v>191</v>
      </c>
      <c r="H62" s="228">
        <f t="shared" si="6"/>
        <v>191</v>
      </c>
      <c r="I62" s="232"/>
      <c r="J62" s="231"/>
      <c r="K62" s="231"/>
      <c r="L62" s="231"/>
      <c r="M62" s="231"/>
      <c r="N62" s="227"/>
    </row>
    <row r="63" spans="1:14" ht="14" x14ac:dyDescent="0.3">
      <c r="A63" s="232"/>
      <c r="B63" s="230">
        <v>2</v>
      </c>
      <c r="C63" s="228">
        <f t="shared" si="6"/>
        <v>55</v>
      </c>
      <c r="D63" s="228">
        <f t="shared" si="6"/>
        <v>191</v>
      </c>
      <c r="E63" s="228">
        <f t="shared" si="6"/>
        <v>191</v>
      </c>
      <c r="F63" s="228">
        <f t="shared" si="6"/>
        <v>191</v>
      </c>
      <c r="G63" s="228">
        <f t="shared" si="6"/>
        <v>191</v>
      </c>
      <c r="H63" s="228">
        <f t="shared" si="6"/>
        <v>191</v>
      </c>
      <c r="I63" s="232"/>
      <c r="J63" s="231"/>
      <c r="K63" s="231"/>
      <c r="L63" s="231"/>
      <c r="M63" s="231"/>
      <c r="N63" s="227"/>
    </row>
    <row r="64" spans="1:14" ht="14" x14ac:dyDescent="0.3">
      <c r="A64" s="232"/>
      <c r="B64" s="230">
        <v>3</v>
      </c>
      <c r="C64" s="228">
        <f t="shared" si="6"/>
        <v>55</v>
      </c>
      <c r="D64" s="228">
        <f t="shared" si="6"/>
        <v>164</v>
      </c>
      <c r="E64" s="228">
        <f t="shared" si="6"/>
        <v>191</v>
      </c>
      <c r="F64" s="228">
        <f t="shared" si="6"/>
        <v>191</v>
      </c>
      <c r="G64" s="228">
        <f t="shared" si="6"/>
        <v>191</v>
      </c>
      <c r="H64" s="228">
        <f t="shared" si="6"/>
        <v>191</v>
      </c>
      <c r="I64" s="232"/>
      <c r="J64" s="231"/>
      <c r="K64" s="231"/>
      <c r="L64" s="231"/>
      <c r="M64" s="231"/>
      <c r="N64" s="227"/>
    </row>
    <row r="65" spans="2:14" ht="14" x14ac:dyDescent="0.3">
      <c r="B65" s="230">
        <v>4</v>
      </c>
      <c r="C65" s="228">
        <f t="shared" si="6"/>
        <v>55</v>
      </c>
      <c r="D65" s="228">
        <f t="shared" si="6"/>
        <v>137</v>
      </c>
      <c r="E65" s="228">
        <f t="shared" si="6"/>
        <v>164</v>
      </c>
      <c r="F65" s="228">
        <f t="shared" si="6"/>
        <v>191</v>
      </c>
      <c r="G65" s="228">
        <f t="shared" si="6"/>
        <v>191</v>
      </c>
      <c r="H65" s="228">
        <f t="shared" si="6"/>
        <v>191</v>
      </c>
      <c r="J65" s="227"/>
      <c r="K65" s="227"/>
      <c r="L65" s="227"/>
      <c r="M65" s="227"/>
      <c r="N65" s="227"/>
    </row>
    <row r="66" spans="2:14" ht="14" x14ac:dyDescent="0.3">
      <c r="B66" s="230">
        <v>5</v>
      </c>
      <c r="C66" s="228">
        <f t="shared" si="6"/>
        <v>57</v>
      </c>
      <c r="D66" s="228">
        <f t="shared" si="6"/>
        <v>137</v>
      </c>
      <c r="E66" s="228">
        <f t="shared" si="6"/>
        <v>137</v>
      </c>
      <c r="F66" s="228">
        <f t="shared" si="6"/>
        <v>164</v>
      </c>
      <c r="G66" s="228">
        <f t="shared" si="6"/>
        <v>191</v>
      </c>
      <c r="H66" s="228">
        <f t="shared" si="6"/>
        <v>191</v>
      </c>
      <c r="J66" s="227"/>
      <c r="K66" s="227"/>
      <c r="L66" s="227"/>
      <c r="M66" s="227"/>
      <c r="N66" s="227"/>
    </row>
    <row r="67" spans="2:14" ht="14" x14ac:dyDescent="0.3">
      <c r="B67" s="230">
        <v>6</v>
      </c>
      <c r="C67" s="228">
        <f t="shared" si="6"/>
        <v>65</v>
      </c>
      <c r="D67" s="228">
        <f t="shared" si="6"/>
        <v>130</v>
      </c>
      <c r="E67" s="228">
        <f t="shared" si="6"/>
        <v>130</v>
      </c>
      <c r="F67" s="228">
        <f t="shared" si="6"/>
        <v>158</v>
      </c>
      <c r="G67" s="228">
        <f t="shared" si="6"/>
        <v>158</v>
      </c>
      <c r="H67" s="228">
        <f t="shared" si="6"/>
        <v>158</v>
      </c>
      <c r="J67" s="227"/>
      <c r="K67" s="227"/>
      <c r="L67" s="227"/>
      <c r="M67" s="227"/>
      <c r="N67" s="227"/>
    </row>
    <row r="68" spans="2:14" ht="14" x14ac:dyDescent="0.3">
      <c r="B68" s="230">
        <v>7</v>
      </c>
      <c r="C68" s="228">
        <f t="shared" si="6"/>
        <v>65</v>
      </c>
      <c r="D68" s="228">
        <f t="shared" si="6"/>
        <v>98</v>
      </c>
      <c r="E68" s="228">
        <f t="shared" si="6"/>
        <v>130</v>
      </c>
      <c r="F68" s="228">
        <f t="shared" si="6"/>
        <v>130</v>
      </c>
      <c r="G68" s="228">
        <f t="shared" si="6"/>
        <v>158</v>
      </c>
      <c r="H68" s="228">
        <f t="shared" si="6"/>
        <v>158</v>
      </c>
      <c r="J68" s="227"/>
      <c r="K68" s="227"/>
      <c r="L68" s="227"/>
      <c r="M68" s="227"/>
      <c r="N68" s="227"/>
    </row>
    <row r="69" spans="2:14" ht="14" x14ac:dyDescent="0.3">
      <c r="B69" s="230">
        <v>8</v>
      </c>
      <c r="C69" s="228">
        <f t="shared" si="6"/>
        <v>65</v>
      </c>
      <c r="D69" s="228">
        <f t="shared" si="6"/>
        <v>63</v>
      </c>
      <c r="E69" s="228">
        <f t="shared" si="6"/>
        <v>98</v>
      </c>
      <c r="F69" s="228">
        <f t="shared" si="6"/>
        <v>130</v>
      </c>
      <c r="G69" s="228">
        <f t="shared" si="6"/>
        <v>130</v>
      </c>
      <c r="H69" s="228">
        <f t="shared" si="6"/>
        <v>158</v>
      </c>
      <c r="J69" s="227"/>
      <c r="K69" s="227"/>
      <c r="L69" s="227"/>
      <c r="M69" s="227"/>
      <c r="N69" s="227"/>
    </row>
    <row r="70" spans="2:14" ht="14" x14ac:dyDescent="0.3">
      <c r="B70" s="230">
        <v>9</v>
      </c>
      <c r="C70" s="228">
        <f t="shared" si="6"/>
        <v>0</v>
      </c>
      <c r="D70" s="228">
        <f t="shared" si="6"/>
        <v>0</v>
      </c>
      <c r="E70" s="228">
        <f t="shared" si="6"/>
        <v>63</v>
      </c>
      <c r="F70" s="228">
        <f t="shared" si="6"/>
        <v>98</v>
      </c>
      <c r="G70" s="228">
        <f t="shared" si="6"/>
        <v>126</v>
      </c>
      <c r="H70" s="228">
        <f t="shared" si="6"/>
        <v>126</v>
      </c>
      <c r="J70" s="227"/>
      <c r="K70" s="227"/>
      <c r="L70" s="227"/>
      <c r="M70" s="227"/>
      <c r="N70" s="227"/>
    </row>
    <row r="71" spans="2:14" ht="14" x14ac:dyDescent="0.3">
      <c r="B71" s="230">
        <v>10</v>
      </c>
      <c r="C71" s="228">
        <f t="shared" si="6"/>
        <v>0</v>
      </c>
      <c r="D71" s="228">
        <f t="shared" si="6"/>
        <v>0</v>
      </c>
      <c r="E71" s="228">
        <f t="shared" si="6"/>
        <v>0</v>
      </c>
      <c r="F71" s="228">
        <f t="shared" si="6"/>
        <v>63</v>
      </c>
      <c r="G71" s="228">
        <f t="shared" si="6"/>
        <v>95</v>
      </c>
      <c r="H71" s="228">
        <f t="shared" si="6"/>
        <v>126</v>
      </c>
      <c r="J71" s="227"/>
      <c r="K71" s="227"/>
      <c r="L71" s="227"/>
      <c r="M71" s="227"/>
      <c r="N71" s="227"/>
    </row>
    <row r="72" spans="2:14" ht="14" x14ac:dyDescent="0.3">
      <c r="B72" s="230">
        <v>11</v>
      </c>
      <c r="C72" s="228">
        <f t="shared" si="6"/>
        <v>0</v>
      </c>
      <c r="D72" s="228">
        <f t="shared" si="6"/>
        <v>0</v>
      </c>
      <c r="E72" s="228">
        <f t="shared" si="6"/>
        <v>0</v>
      </c>
      <c r="F72" s="228">
        <f t="shared" si="6"/>
        <v>0</v>
      </c>
      <c r="G72" s="228">
        <f t="shared" si="6"/>
        <v>63</v>
      </c>
      <c r="H72" s="228">
        <f t="shared" si="6"/>
        <v>95</v>
      </c>
      <c r="J72" s="227"/>
      <c r="K72" s="227"/>
      <c r="L72" s="227"/>
      <c r="M72" s="227"/>
      <c r="N72" s="227"/>
    </row>
    <row r="73" spans="2:14" ht="14" x14ac:dyDescent="0.3">
      <c r="B73" s="229">
        <v>12</v>
      </c>
      <c r="C73" s="228">
        <f t="shared" si="6"/>
        <v>0</v>
      </c>
      <c r="D73" s="228">
        <f t="shared" si="6"/>
        <v>0</v>
      </c>
      <c r="E73" s="228">
        <f t="shared" si="6"/>
        <v>0</v>
      </c>
      <c r="F73" s="228">
        <f t="shared" si="6"/>
        <v>0</v>
      </c>
      <c r="G73" s="228">
        <f t="shared" si="6"/>
        <v>0</v>
      </c>
      <c r="H73" s="228">
        <f t="shared" si="6"/>
        <v>63</v>
      </c>
      <c r="J73" s="227"/>
      <c r="K73" s="227"/>
      <c r="L73" s="227"/>
      <c r="M73" s="227"/>
      <c r="N73" s="227"/>
    </row>
    <row r="74" spans="2:14" ht="14" x14ac:dyDescent="0.3">
      <c r="B74" s="226" t="s">
        <v>249</v>
      </c>
      <c r="C74" s="225">
        <f t="shared" ref="C74:H74" si="7">SUM(C60:C73)</f>
        <v>525</v>
      </c>
      <c r="D74" s="225">
        <f t="shared" si="7"/>
        <v>1295</v>
      </c>
      <c r="E74" s="225">
        <f t="shared" si="7"/>
        <v>1479</v>
      </c>
      <c r="F74" s="225">
        <f t="shared" si="7"/>
        <v>1691</v>
      </c>
      <c r="G74" s="225">
        <f t="shared" si="7"/>
        <v>1869</v>
      </c>
      <c r="H74" s="225">
        <f t="shared" si="7"/>
        <v>2023</v>
      </c>
      <c r="J74" s="224">
        <f>D74/$D$51</f>
        <v>1.0511363636363635</v>
      </c>
      <c r="K74" s="224">
        <f>E74/$E$51</f>
        <v>1.0504261363636365</v>
      </c>
      <c r="L74" s="224">
        <f>F74/$F$51</f>
        <v>1.0503105590062112</v>
      </c>
      <c r="M74" s="224">
        <f>G74/$G$51</f>
        <v>1.0505902192242833</v>
      </c>
      <c r="N74" s="224">
        <f>H74/$H$51</f>
        <v>1.050909090909091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zoomScale="85" zoomScaleNormal="85" zoomScaleSheetLayoutView="70" workbookViewId="0">
      <selection activeCell="C35" sqref="C35:C36"/>
    </sheetView>
  </sheetViews>
  <sheetFormatPr defaultColWidth="9.08984375" defaultRowHeight="12.5" x14ac:dyDescent="0.25"/>
  <cols>
    <col min="1" max="1" width="3" style="223" customWidth="1"/>
    <col min="2" max="2" width="9.08984375" style="223"/>
    <col min="3" max="8" width="10.08984375" style="223" customWidth="1"/>
    <col min="9" max="9" width="3.54296875" style="223" customWidth="1"/>
    <col min="10" max="16384" width="9.08984375" style="223"/>
  </cols>
  <sheetData>
    <row r="1" spans="1:13" ht="15.5" x14ac:dyDescent="0.35">
      <c r="A1" s="255" t="s">
        <v>396</v>
      </c>
      <c r="B1" s="255"/>
      <c r="C1" s="255"/>
    </row>
    <row r="2" spans="1:13" ht="15.5" x14ac:dyDescent="0.35">
      <c r="A2" s="254"/>
      <c r="B2" s="253"/>
      <c r="C2" s="253"/>
    </row>
    <row r="3" spans="1:13" ht="13" x14ac:dyDescent="0.3">
      <c r="A3" s="252" t="s">
        <v>395</v>
      </c>
    </row>
    <row r="4" spans="1:13" x14ac:dyDescent="0.25">
      <c r="A4" s="251" t="s">
        <v>394</v>
      </c>
    </row>
    <row r="5" spans="1:13" x14ac:dyDescent="0.25">
      <c r="A5" s="250"/>
    </row>
    <row r="6" spans="1:13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3" ht="14" x14ac:dyDescent="0.25">
      <c r="A7" s="232"/>
      <c r="B7" s="249" t="s">
        <v>393</v>
      </c>
      <c r="C7" s="232"/>
      <c r="D7" s="232"/>
      <c r="E7" s="232"/>
      <c r="F7" s="232"/>
      <c r="G7" s="232"/>
      <c r="H7" s="232"/>
      <c r="I7" s="232"/>
      <c r="J7" s="232"/>
      <c r="K7" s="232"/>
    </row>
    <row r="8" spans="1:13" ht="14" x14ac:dyDescent="0.25">
      <c r="A8" s="232"/>
      <c r="B8" s="249" t="s">
        <v>392</v>
      </c>
      <c r="C8" s="232"/>
      <c r="D8" s="232"/>
      <c r="E8" s="232"/>
      <c r="F8" s="232"/>
      <c r="G8" s="232"/>
      <c r="H8" s="232"/>
      <c r="I8" s="232"/>
      <c r="J8" s="232"/>
      <c r="K8" s="232"/>
    </row>
    <row r="9" spans="1:13" ht="14" x14ac:dyDescent="0.25">
      <c r="A9" s="232"/>
      <c r="B9" s="249"/>
      <c r="C9" s="232"/>
      <c r="D9" s="232"/>
      <c r="E9" s="232"/>
      <c r="F9" s="232"/>
      <c r="G9" s="232"/>
      <c r="H9" s="232"/>
      <c r="I9" s="232"/>
      <c r="J9" s="232"/>
      <c r="K9" s="232"/>
    </row>
    <row r="10" spans="1:13" ht="14" x14ac:dyDescent="0.3">
      <c r="A10" s="232"/>
      <c r="B10" s="243" t="s">
        <v>391</v>
      </c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3" ht="14" x14ac:dyDescent="0.3">
      <c r="A11" s="232"/>
      <c r="B11" s="248" t="s">
        <v>390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3" ht="13" thickBot="1" x14ac:dyDescent="0.3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4" x14ac:dyDescent="0.25">
      <c r="A13" s="232"/>
      <c r="B13" s="313" t="s">
        <v>385</v>
      </c>
      <c r="C13" s="316" t="s">
        <v>384</v>
      </c>
      <c r="D13" s="317"/>
      <c r="E13" s="317"/>
      <c r="F13" s="317"/>
      <c r="G13" s="317"/>
      <c r="H13" s="318"/>
      <c r="I13" s="232"/>
      <c r="J13" s="232"/>
      <c r="K13" s="232"/>
      <c r="L13" s="232"/>
      <c r="M13" s="232"/>
    </row>
    <row r="14" spans="1:13" ht="14" x14ac:dyDescent="0.25">
      <c r="A14" s="232"/>
      <c r="B14" s="314"/>
      <c r="C14" s="247">
        <v>2024</v>
      </c>
      <c r="D14" s="239">
        <f>+C15</f>
        <v>2025</v>
      </c>
      <c r="E14" s="239">
        <f>+D15</f>
        <v>2026</v>
      </c>
      <c r="F14" s="239">
        <f>+E15</f>
        <v>2027</v>
      </c>
      <c r="G14" s="238">
        <f>+F15</f>
        <v>2028</v>
      </c>
      <c r="H14" s="238">
        <f>+G15</f>
        <v>2029</v>
      </c>
      <c r="I14" s="232"/>
      <c r="J14" s="232"/>
      <c r="K14" s="232"/>
      <c r="L14" s="232"/>
      <c r="M14" s="232"/>
    </row>
    <row r="15" spans="1:13" ht="14.5" thickBot="1" x14ac:dyDescent="0.3">
      <c r="A15" s="232"/>
      <c r="B15" s="315"/>
      <c r="C15" s="237">
        <f t="shared" ref="C15:H15" si="0">+C14+1</f>
        <v>2025</v>
      </c>
      <c r="D15" s="236">
        <f t="shared" si="0"/>
        <v>2026</v>
      </c>
      <c r="E15" s="236">
        <f t="shared" si="0"/>
        <v>2027</v>
      </c>
      <c r="F15" s="236">
        <f t="shared" si="0"/>
        <v>2028</v>
      </c>
      <c r="G15" s="235">
        <f t="shared" si="0"/>
        <v>2029</v>
      </c>
      <c r="H15" s="235">
        <f t="shared" si="0"/>
        <v>2030</v>
      </c>
      <c r="I15" s="232"/>
      <c r="J15" s="232"/>
      <c r="K15" s="232"/>
      <c r="L15" s="232"/>
      <c r="M15" s="232"/>
    </row>
    <row r="16" spans="1:13" ht="14" x14ac:dyDescent="0.25">
      <c r="A16" s="232"/>
      <c r="B16" s="233" t="s">
        <v>383</v>
      </c>
      <c r="C16" s="234"/>
      <c r="D16" s="234"/>
      <c r="E16" s="234"/>
      <c r="F16" s="234"/>
      <c r="G16" s="234"/>
      <c r="H16" s="234"/>
      <c r="I16" s="232"/>
      <c r="J16" s="232"/>
      <c r="K16" s="232"/>
      <c r="L16" s="232"/>
      <c r="M16" s="232"/>
    </row>
    <row r="17" spans="1:14" ht="14" x14ac:dyDescent="0.25">
      <c r="A17" s="232"/>
      <c r="B17" s="233" t="s">
        <v>382</v>
      </c>
      <c r="C17" s="245">
        <f t="shared" ref="C17:H29" si="1">ROUND(C38*0.95,0)</f>
        <v>0</v>
      </c>
      <c r="D17" s="245">
        <f t="shared" si="1"/>
        <v>95</v>
      </c>
      <c r="E17" s="245">
        <f t="shared" si="1"/>
        <v>95</v>
      </c>
      <c r="F17" s="245">
        <f t="shared" si="1"/>
        <v>95</v>
      </c>
      <c r="G17" s="245">
        <f t="shared" si="1"/>
        <v>95</v>
      </c>
      <c r="H17" s="245">
        <f t="shared" si="1"/>
        <v>95</v>
      </c>
      <c r="I17" s="232"/>
      <c r="J17" s="232"/>
      <c r="K17" s="232"/>
      <c r="L17" s="232"/>
      <c r="M17" s="232"/>
    </row>
    <row r="18" spans="1:14" ht="14" x14ac:dyDescent="0.25">
      <c r="A18" s="232"/>
      <c r="B18" s="230">
        <v>1</v>
      </c>
      <c r="C18" s="245">
        <f t="shared" si="1"/>
        <v>0</v>
      </c>
      <c r="D18" s="245">
        <f t="shared" si="1"/>
        <v>99</v>
      </c>
      <c r="E18" s="245">
        <f t="shared" si="1"/>
        <v>99</v>
      </c>
      <c r="F18" s="245">
        <f t="shared" si="1"/>
        <v>99</v>
      </c>
      <c r="G18" s="245">
        <f t="shared" si="1"/>
        <v>99</v>
      </c>
      <c r="H18" s="245">
        <f t="shared" si="1"/>
        <v>99</v>
      </c>
      <c r="I18" s="232"/>
      <c r="J18" s="232"/>
      <c r="K18" s="232"/>
      <c r="L18" s="232"/>
      <c r="M18" s="232"/>
    </row>
    <row r="19" spans="1:14" ht="14" x14ac:dyDescent="0.25">
      <c r="A19" s="232"/>
      <c r="B19" s="230">
        <v>2</v>
      </c>
      <c r="C19" s="245">
        <f t="shared" si="1"/>
        <v>0</v>
      </c>
      <c r="D19" s="245">
        <f t="shared" si="1"/>
        <v>99</v>
      </c>
      <c r="E19" s="245">
        <f t="shared" si="1"/>
        <v>99</v>
      </c>
      <c r="F19" s="245">
        <f t="shared" si="1"/>
        <v>99</v>
      </c>
      <c r="G19" s="245">
        <f t="shared" si="1"/>
        <v>99</v>
      </c>
      <c r="H19" s="245">
        <f t="shared" si="1"/>
        <v>99</v>
      </c>
      <c r="I19" s="232"/>
      <c r="J19" s="232"/>
      <c r="K19" s="232"/>
      <c r="L19" s="232"/>
      <c r="M19" s="232"/>
    </row>
    <row r="20" spans="1:14" ht="14" x14ac:dyDescent="0.25">
      <c r="A20" s="232"/>
      <c r="B20" s="230">
        <v>3</v>
      </c>
      <c r="C20" s="245">
        <f t="shared" si="1"/>
        <v>0</v>
      </c>
      <c r="D20" s="245">
        <f t="shared" si="1"/>
        <v>74</v>
      </c>
      <c r="E20" s="245">
        <f t="shared" si="1"/>
        <v>99</v>
      </c>
      <c r="F20" s="245">
        <f t="shared" si="1"/>
        <v>99</v>
      </c>
      <c r="G20" s="245">
        <f t="shared" si="1"/>
        <v>99</v>
      </c>
      <c r="H20" s="245">
        <f t="shared" si="1"/>
        <v>99</v>
      </c>
      <c r="I20" s="232"/>
      <c r="J20" s="232"/>
      <c r="K20" s="232"/>
      <c r="L20" s="232"/>
      <c r="M20" s="232"/>
    </row>
    <row r="21" spans="1:14" ht="14" x14ac:dyDescent="0.25">
      <c r="A21" s="232"/>
      <c r="B21" s="230">
        <v>4</v>
      </c>
      <c r="C21" s="245">
        <f t="shared" si="1"/>
        <v>0</v>
      </c>
      <c r="D21" s="245">
        <f t="shared" si="1"/>
        <v>49</v>
      </c>
      <c r="E21" s="245">
        <f t="shared" si="1"/>
        <v>74</v>
      </c>
      <c r="F21" s="245">
        <f t="shared" si="1"/>
        <v>99</v>
      </c>
      <c r="G21" s="245">
        <f t="shared" si="1"/>
        <v>99</v>
      </c>
      <c r="H21" s="245">
        <f t="shared" si="1"/>
        <v>99</v>
      </c>
      <c r="I21" s="232"/>
      <c r="J21" s="232"/>
      <c r="K21" s="232"/>
      <c r="L21" s="232"/>
      <c r="M21" s="232"/>
    </row>
    <row r="22" spans="1:14" ht="14" x14ac:dyDescent="0.25">
      <c r="A22" s="232"/>
      <c r="B22" s="230">
        <v>5</v>
      </c>
      <c r="C22" s="245">
        <f t="shared" si="1"/>
        <v>0</v>
      </c>
      <c r="D22" s="245">
        <f t="shared" si="1"/>
        <v>49</v>
      </c>
      <c r="E22" s="245">
        <f t="shared" si="1"/>
        <v>49</v>
      </c>
      <c r="F22" s="245">
        <f t="shared" si="1"/>
        <v>74</v>
      </c>
      <c r="G22" s="245">
        <f t="shared" si="1"/>
        <v>99</v>
      </c>
      <c r="H22" s="245">
        <f t="shared" si="1"/>
        <v>99</v>
      </c>
      <c r="I22" s="232"/>
      <c r="J22" s="232"/>
      <c r="K22" s="232"/>
      <c r="L22" s="232"/>
      <c r="M22" s="232"/>
    </row>
    <row r="23" spans="1:14" ht="14" x14ac:dyDescent="0.25">
      <c r="A23" s="232"/>
      <c r="B23" s="230">
        <v>6</v>
      </c>
      <c r="C23" s="245">
        <f t="shared" si="1"/>
        <v>0</v>
      </c>
      <c r="D23" s="245">
        <f t="shared" si="1"/>
        <v>118</v>
      </c>
      <c r="E23" s="245">
        <f t="shared" si="1"/>
        <v>118</v>
      </c>
      <c r="F23" s="245">
        <f t="shared" si="1"/>
        <v>143</v>
      </c>
      <c r="G23" s="245">
        <f t="shared" si="1"/>
        <v>143</v>
      </c>
      <c r="H23" s="245">
        <f t="shared" si="1"/>
        <v>143</v>
      </c>
      <c r="I23" s="232"/>
      <c r="J23" s="232"/>
      <c r="K23" s="232"/>
      <c r="L23" s="232"/>
      <c r="M23" s="232"/>
    </row>
    <row r="24" spans="1:14" ht="14" x14ac:dyDescent="0.25">
      <c r="A24" s="232"/>
      <c r="B24" s="230">
        <v>7</v>
      </c>
      <c r="C24" s="245">
        <f t="shared" si="1"/>
        <v>0</v>
      </c>
      <c r="D24" s="245">
        <f t="shared" si="1"/>
        <v>88</v>
      </c>
      <c r="E24" s="245">
        <f t="shared" si="1"/>
        <v>118</v>
      </c>
      <c r="F24" s="245">
        <f t="shared" si="1"/>
        <v>118</v>
      </c>
      <c r="G24" s="245">
        <f t="shared" si="1"/>
        <v>143</v>
      </c>
      <c r="H24" s="245">
        <f t="shared" si="1"/>
        <v>143</v>
      </c>
      <c r="I24" s="232"/>
      <c r="J24" s="232"/>
      <c r="K24" s="232"/>
      <c r="L24" s="232"/>
      <c r="M24" s="232"/>
    </row>
    <row r="25" spans="1:14" ht="14" x14ac:dyDescent="0.25">
      <c r="A25" s="232"/>
      <c r="B25" s="230">
        <v>8</v>
      </c>
      <c r="C25" s="245">
        <f t="shared" si="1"/>
        <v>0</v>
      </c>
      <c r="D25" s="245">
        <f t="shared" si="1"/>
        <v>57</v>
      </c>
      <c r="E25" s="245">
        <f t="shared" si="1"/>
        <v>88</v>
      </c>
      <c r="F25" s="245">
        <f t="shared" si="1"/>
        <v>118</v>
      </c>
      <c r="G25" s="245">
        <f t="shared" si="1"/>
        <v>118</v>
      </c>
      <c r="H25" s="245">
        <f t="shared" si="1"/>
        <v>143</v>
      </c>
      <c r="I25" s="232"/>
      <c r="J25" s="232"/>
      <c r="K25" s="232"/>
      <c r="L25" s="232"/>
      <c r="M25" s="232"/>
    </row>
    <row r="26" spans="1:14" ht="14" x14ac:dyDescent="0.25">
      <c r="A26" s="232"/>
      <c r="B26" s="230">
        <v>9</v>
      </c>
      <c r="C26" s="245">
        <f t="shared" si="1"/>
        <v>0</v>
      </c>
      <c r="D26" s="245">
        <f t="shared" si="1"/>
        <v>0</v>
      </c>
      <c r="E26" s="245">
        <f t="shared" si="1"/>
        <v>57</v>
      </c>
      <c r="F26" s="245">
        <f t="shared" si="1"/>
        <v>88</v>
      </c>
      <c r="G26" s="245">
        <f t="shared" si="1"/>
        <v>114</v>
      </c>
      <c r="H26" s="245">
        <f t="shared" si="1"/>
        <v>114</v>
      </c>
      <c r="I26" s="232"/>
      <c r="J26" s="232"/>
      <c r="K26" s="232"/>
      <c r="L26" s="232"/>
      <c r="M26" s="232"/>
    </row>
    <row r="27" spans="1:14" ht="14" x14ac:dyDescent="0.25">
      <c r="A27" s="232"/>
      <c r="B27" s="230">
        <v>10</v>
      </c>
      <c r="C27" s="245">
        <f t="shared" si="1"/>
        <v>0</v>
      </c>
      <c r="D27" s="245">
        <f t="shared" si="1"/>
        <v>0</v>
      </c>
      <c r="E27" s="245">
        <f t="shared" si="1"/>
        <v>0</v>
      </c>
      <c r="F27" s="245">
        <f t="shared" si="1"/>
        <v>57</v>
      </c>
      <c r="G27" s="245">
        <f t="shared" si="1"/>
        <v>86</v>
      </c>
      <c r="H27" s="245">
        <f t="shared" si="1"/>
        <v>114</v>
      </c>
      <c r="I27" s="232"/>
      <c r="J27" s="232"/>
      <c r="K27" s="232"/>
      <c r="L27" s="232"/>
      <c r="M27" s="232"/>
    </row>
    <row r="28" spans="1:14" ht="14" x14ac:dyDescent="0.25">
      <c r="A28" s="232"/>
      <c r="B28" s="230">
        <v>11</v>
      </c>
      <c r="C28" s="245">
        <f t="shared" si="1"/>
        <v>0</v>
      </c>
      <c r="D28" s="245">
        <f t="shared" si="1"/>
        <v>0</v>
      </c>
      <c r="E28" s="245">
        <f t="shared" si="1"/>
        <v>0</v>
      </c>
      <c r="F28" s="245">
        <f t="shared" si="1"/>
        <v>0</v>
      </c>
      <c r="G28" s="245">
        <f t="shared" si="1"/>
        <v>57</v>
      </c>
      <c r="H28" s="245">
        <f t="shared" si="1"/>
        <v>86</v>
      </c>
      <c r="I28" s="232"/>
      <c r="J28" s="232"/>
      <c r="K28" s="232"/>
      <c r="L28" s="232"/>
      <c r="M28" s="232"/>
    </row>
    <row r="29" spans="1:14" ht="14" x14ac:dyDescent="0.25">
      <c r="A29" s="232"/>
      <c r="B29" s="229">
        <v>12</v>
      </c>
      <c r="C29" s="245">
        <f t="shared" si="1"/>
        <v>0</v>
      </c>
      <c r="D29" s="245">
        <f t="shared" si="1"/>
        <v>0</v>
      </c>
      <c r="E29" s="245">
        <f t="shared" si="1"/>
        <v>0</v>
      </c>
      <c r="F29" s="245">
        <f t="shared" si="1"/>
        <v>0</v>
      </c>
      <c r="G29" s="245">
        <f t="shared" si="1"/>
        <v>0</v>
      </c>
      <c r="H29" s="245">
        <f t="shared" si="1"/>
        <v>57</v>
      </c>
      <c r="I29" s="232"/>
      <c r="J29" s="232"/>
      <c r="K29" s="232"/>
      <c r="L29" s="232"/>
      <c r="M29" s="232"/>
    </row>
    <row r="30" spans="1:14" ht="14" x14ac:dyDescent="0.3">
      <c r="A30" s="232"/>
      <c r="B30" s="226" t="s">
        <v>249</v>
      </c>
      <c r="C30" s="225">
        <f t="shared" ref="C30:H30" si="2">SUM(C16:C29)</f>
        <v>0</v>
      </c>
      <c r="D30" s="225">
        <f t="shared" si="2"/>
        <v>728</v>
      </c>
      <c r="E30" s="225">
        <f t="shared" si="2"/>
        <v>896</v>
      </c>
      <c r="F30" s="225">
        <f t="shared" si="2"/>
        <v>1089</v>
      </c>
      <c r="G30" s="225">
        <f t="shared" si="2"/>
        <v>1251</v>
      </c>
      <c r="H30" s="225">
        <f t="shared" si="2"/>
        <v>1390</v>
      </c>
      <c r="I30" s="232"/>
      <c r="J30" s="224">
        <f>D30/$D$51</f>
        <v>0.94915254237288138</v>
      </c>
      <c r="K30" s="224">
        <f>E30/$E$51</f>
        <v>0.95015906680805939</v>
      </c>
      <c r="L30" s="224">
        <f>F30/$F$51</f>
        <v>0.9510917030567686</v>
      </c>
      <c r="M30" s="224">
        <f>G30/$G$51</f>
        <v>0.95205479452054798</v>
      </c>
      <c r="N30" s="224">
        <f>H30/$H$51</f>
        <v>0.95205479452054798</v>
      </c>
    </row>
    <row r="31" spans="1:14" ht="13" x14ac:dyDescent="0.3">
      <c r="A31" s="232"/>
      <c r="B31" s="232"/>
      <c r="C31" s="232"/>
      <c r="D31" s="232"/>
      <c r="E31" s="232"/>
      <c r="F31" s="232"/>
      <c r="G31" s="232"/>
      <c r="H31" s="232"/>
      <c r="I31" s="232"/>
      <c r="J31" s="231"/>
      <c r="K31" s="231"/>
      <c r="L31" s="231"/>
      <c r="M31" s="231"/>
      <c r="N31" s="227"/>
    </row>
    <row r="32" spans="1:14" ht="14" x14ac:dyDescent="0.3">
      <c r="A32" s="232"/>
      <c r="B32" s="246" t="s">
        <v>389</v>
      </c>
      <c r="C32" s="232"/>
      <c r="D32" s="232"/>
      <c r="E32" s="232"/>
      <c r="F32" s="232"/>
      <c r="G32" s="232"/>
      <c r="H32" s="232"/>
      <c r="I32" s="232"/>
      <c r="J32" s="231"/>
      <c r="K32" s="231"/>
      <c r="L32" s="231"/>
      <c r="M32" s="231"/>
      <c r="N32" s="227"/>
    </row>
    <row r="33" spans="1:14" ht="13.5" thickBot="1" x14ac:dyDescent="0.35">
      <c r="A33" s="232"/>
      <c r="B33" s="232"/>
      <c r="C33" s="232"/>
      <c r="D33" s="232"/>
      <c r="E33" s="232"/>
      <c r="F33" s="232"/>
      <c r="G33" s="232"/>
      <c r="H33" s="232"/>
      <c r="I33" s="232"/>
      <c r="J33" s="231"/>
      <c r="K33" s="231"/>
      <c r="L33" s="231"/>
      <c r="M33" s="231"/>
      <c r="N33" s="227"/>
    </row>
    <row r="34" spans="1:14" ht="15.75" customHeight="1" x14ac:dyDescent="0.3">
      <c r="A34" s="232"/>
      <c r="B34" s="313" t="s">
        <v>385</v>
      </c>
      <c r="C34" s="316" t="s">
        <v>384</v>
      </c>
      <c r="D34" s="317"/>
      <c r="E34" s="317"/>
      <c r="F34" s="317"/>
      <c r="G34" s="317"/>
      <c r="H34" s="318"/>
      <c r="I34" s="232"/>
      <c r="J34" s="231"/>
      <c r="K34" s="231"/>
      <c r="L34" s="231"/>
      <c r="M34" s="231"/>
      <c r="N34" s="227"/>
    </row>
    <row r="35" spans="1:14" ht="14" x14ac:dyDescent="0.3">
      <c r="A35" s="232"/>
      <c r="B35" s="314"/>
      <c r="C35" s="310">
        <f>+C14</f>
        <v>2024</v>
      </c>
      <c r="D35" s="239">
        <f>+C36</f>
        <v>2025</v>
      </c>
      <c r="E35" s="239">
        <f>+D36</f>
        <v>2026</v>
      </c>
      <c r="F35" s="239">
        <f>+E36</f>
        <v>2027</v>
      </c>
      <c r="G35" s="239">
        <f>+F36</f>
        <v>2028</v>
      </c>
      <c r="H35" s="238">
        <f>+G36</f>
        <v>2029</v>
      </c>
      <c r="I35" s="232"/>
      <c r="J35" s="231"/>
      <c r="K35" s="231"/>
      <c r="L35" s="231"/>
      <c r="M35" s="231"/>
      <c r="N35" s="227"/>
    </row>
    <row r="36" spans="1:14" ht="14.5" thickBot="1" x14ac:dyDescent="0.35">
      <c r="A36" s="232"/>
      <c r="B36" s="315"/>
      <c r="C36" s="309">
        <f t="shared" ref="C36:H36" si="3">+C35+1</f>
        <v>2025</v>
      </c>
      <c r="D36" s="236">
        <f t="shared" si="3"/>
        <v>2026</v>
      </c>
      <c r="E36" s="236">
        <f t="shared" si="3"/>
        <v>2027</v>
      </c>
      <c r="F36" s="236">
        <f t="shared" si="3"/>
        <v>2028</v>
      </c>
      <c r="G36" s="236">
        <f t="shared" si="3"/>
        <v>2029</v>
      </c>
      <c r="H36" s="235">
        <f t="shared" si="3"/>
        <v>2030</v>
      </c>
      <c r="I36" s="232"/>
      <c r="J36" s="231"/>
      <c r="K36" s="231"/>
      <c r="L36" s="231"/>
      <c r="M36" s="231"/>
      <c r="N36" s="227"/>
    </row>
    <row r="37" spans="1:14" ht="14" x14ac:dyDescent="0.3">
      <c r="A37" s="232"/>
      <c r="B37" s="233" t="s">
        <v>383</v>
      </c>
      <c r="C37" s="234"/>
      <c r="D37" s="234"/>
      <c r="E37" s="234"/>
      <c r="F37" s="234"/>
      <c r="G37" s="234"/>
      <c r="H37" s="234"/>
      <c r="I37" s="232"/>
      <c r="J37" s="231"/>
      <c r="K37" s="231"/>
      <c r="L37" s="231"/>
      <c r="M37" s="231"/>
      <c r="N37" s="227"/>
    </row>
    <row r="38" spans="1:14" ht="14" x14ac:dyDescent="0.3">
      <c r="A38" s="232"/>
      <c r="B38" s="233" t="s">
        <v>382</v>
      </c>
      <c r="C38" s="245">
        <f>'New Campus 6-Year'!C4</f>
        <v>0</v>
      </c>
      <c r="D38" s="245">
        <f>'New Campus 6-Year'!D4</f>
        <v>100</v>
      </c>
      <c r="E38" s="245">
        <f>'New Campus 6-Year'!E4</f>
        <v>100</v>
      </c>
      <c r="F38" s="245">
        <f>'New Campus 6-Year'!F4</f>
        <v>100</v>
      </c>
      <c r="G38" s="245">
        <f>'New Campus 6-Year'!G4</f>
        <v>100</v>
      </c>
      <c r="H38" s="245">
        <f>'New Campus 6-Year'!H4</f>
        <v>100</v>
      </c>
      <c r="I38" s="232"/>
      <c r="J38" s="231"/>
      <c r="K38" s="231"/>
      <c r="L38" s="231"/>
      <c r="M38" s="231"/>
      <c r="N38" s="227"/>
    </row>
    <row r="39" spans="1:14" ht="14" x14ac:dyDescent="0.3">
      <c r="A39" s="232"/>
      <c r="B39" s="230">
        <v>1</v>
      </c>
      <c r="C39" s="245">
        <f>'New Campus 6-Year'!C5</f>
        <v>0</v>
      </c>
      <c r="D39" s="245">
        <f>'New Campus 6-Year'!D5</f>
        <v>104</v>
      </c>
      <c r="E39" s="245">
        <f>'New Campus 6-Year'!E5</f>
        <v>104</v>
      </c>
      <c r="F39" s="245">
        <f>'New Campus 6-Year'!F5</f>
        <v>104</v>
      </c>
      <c r="G39" s="245">
        <f>'New Campus 6-Year'!G5</f>
        <v>104</v>
      </c>
      <c r="H39" s="245">
        <f>'New Campus 6-Year'!H5</f>
        <v>104</v>
      </c>
      <c r="I39" s="232"/>
      <c r="J39" s="231"/>
      <c r="K39" s="231"/>
      <c r="L39" s="231"/>
      <c r="M39" s="231"/>
      <c r="N39" s="227"/>
    </row>
    <row r="40" spans="1:14" ht="14" x14ac:dyDescent="0.3">
      <c r="A40" s="232"/>
      <c r="B40" s="230">
        <v>2</v>
      </c>
      <c r="C40" s="245">
        <f>'New Campus 6-Year'!C6</f>
        <v>0</v>
      </c>
      <c r="D40" s="245">
        <f>'New Campus 6-Year'!D6</f>
        <v>104</v>
      </c>
      <c r="E40" s="245">
        <f>'New Campus 6-Year'!E6</f>
        <v>104</v>
      </c>
      <c r="F40" s="245">
        <f>'New Campus 6-Year'!F6</f>
        <v>104</v>
      </c>
      <c r="G40" s="245">
        <f>'New Campus 6-Year'!G6</f>
        <v>104</v>
      </c>
      <c r="H40" s="245">
        <f>'New Campus 6-Year'!H6</f>
        <v>104</v>
      </c>
      <c r="I40" s="232"/>
      <c r="J40" s="231"/>
      <c r="K40" s="231"/>
      <c r="L40" s="231"/>
      <c r="M40" s="231"/>
      <c r="N40" s="227"/>
    </row>
    <row r="41" spans="1:14" ht="14" x14ac:dyDescent="0.3">
      <c r="A41" s="232"/>
      <c r="B41" s="230">
        <v>3</v>
      </c>
      <c r="C41" s="245">
        <f>'New Campus 6-Year'!C7</f>
        <v>0</v>
      </c>
      <c r="D41" s="245">
        <f>'New Campus 6-Year'!D7</f>
        <v>78</v>
      </c>
      <c r="E41" s="245">
        <f>'New Campus 6-Year'!E7</f>
        <v>104</v>
      </c>
      <c r="F41" s="245">
        <f>'New Campus 6-Year'!F7</f>
        <v>104</v>
      </c>
      <c r="G41" s="245">
        <f>'New Campus 6-Year'!G7</f>
        <v>104</v>
      </c>
      <c r="H41" s="245">
        <f>'New Campus 6-Year'!H7</f>
        <v>104</v>
      </c>
      <c r="I41" s="232"/>
      <c r="J41" s="231"/>
      <c r="K41" s="231"/>
      <c r="L41" s="231"/>
      <c r="M41" s="231"/>
      <c r="N41" s="227"/>
    </row>
    <row r="42" spans="1:14" ht="14" x14ac:dyDescent="0.3">
      <c r="A42" s="232"/>
      <c r="B42" s="230">
        <v>4</v>
      </c>
      <c r="C42" s="245">
        <f>'New Campus 6-Year'!C8</f>
        <v>0</v>
      </c>
      <c r="D42" s="245">
        <f>'New Campus 6-Year'!D8</f>
        <v>52</v>
      </c>
      <c r="E42" s="245">
        <f>'New Campus 6-Year'!E8</f>
        <v>78</v>
      </c>
      <c r="F42" s="245">
        <f>'New Campus 6-Year'!F8</f>
        <v>104</v>
      </c>
      <c r="G42" s="245">
        <f>'New Campus 6-Year'!G8</f>
        <v>104</v>
      </c>
      <c r="H42" s="245">
        <f>'New Campus 6-Year'!H8</f>
        <v>104</v>
      </c>
      <c r="I42" s="232"/>
      <c r="J42" s="231"/>
      <c r="K42" s="231"/>
      <c r="L42" s="231"/>
      <c r="M42" s="231"/>
      <c r="N42" s="227"/>
    </row>
    <row r="43" spans="1:14" ht="14" x14ac:dyDescent="0.3">
      <c r="A43" s="232"/>
      <c r="B43" s="230">
        <v>5</v>
      </c>
      <c r="C43" s="245">
        <f>'New Campus 6-Year'!C9</f>
        <v>0</v>
      </c>
      <c r="D43" s="245">
        <f>'New Campus 6-Year'!D9</f>
        <v>52</v>
      </c>
      <c r="E43" s="245">
        <f>'New Campus 6-Year'!E9</f>
        <v>52</v>
      </c>
      <c r="F43" s="245">
        <f>'New Campus 6-Year'!F9</f>
        <v>78</v>
      </c>
      <c r="G43" s="245">
        <f>'New Campus 6-Year'!G9</f>
        <v>104</v>
      </c>
      <c r="H43" s="245">
        <f>'New Campus 6-Year'!H9</f>
        <v>104</v>
      </c>
      <c r="I43" s="232"/>
      <c r="J43" s="231"/>
      <c r="K43" s="231"/>
      <c r="L43" s="231"/>
      <c r="M43" s="231"/>
      <c r="N43" s="227"/>
    </row>
    <row r="44" spans="1:14" ht="14" x14ac:dyDescent="0.3">
      <c r="A44" s="232"/>
      <c r="B44" s="230">
        <v>6</v>
      </c>
      <c r="C44" s="245">
        <f>'New Campus 6-Year'!C10</f>
        <v>0</v>
      </c>
      <c r="D44" s="245">
        <f>'New Campus 6-Year'!D10</f>
        <v>124</v>
      </c>
      <c r="E44" s="245">
        <f>'New Campus 6-Year'!E10</f>
        <v>124</v>
      </c>
      <c r="F44" s="245">
        <f>'New Campus 6-Year'!F10</f>
        <v>150</v>
      </c>
      <c r="G44" s="245">
        <f>'New Campus 6-Year'!G10</f>
        <v>150</v>
      </c>
      <c r="H44" s="245">
        <f>'New Campus 6-Year'!H10</f>
        <v>150</v>
      </c>
      <c r="I44" s="232"/>
      <c r="J44" s="231"/>
      <c r="K44" s="231"/>
      <c r="L44" s="231"/>
      <c r="M44" s="231"/>
      <c r="N44" s="227"/>
    </row>
    <row r="45" spans="1:14" ht="14" x14ac:dyDescent="0.3">
      <c r="A45" s="232"/>
      <c r="B45" s="230">
        <v>7</v>
      </c>
      <c r="C45" s="245">
        <f>'New Campus 6-Year'!C11</f>
        <v>0</v>
      </c>
      <c r="D45" s="245">
        <f>'New Campus 6-Year'!D11</f>
        <v>93</v>
      </c>
      <c r="E45" s="245">
        <f>'New Campus 6-Year'!E11</f>
        <v>124</v>
      </c>
      <c r="F45" s="245">
        <f>'New Campus 6-Year'!F11</f>
        <v>124</v>
      </c>
      <c r="G45" s="245">
        <f>'New Campus 6-Year'!G11</f>
        <v>150</v>
      </c>
      <c r="H45" s="245">
        <f>'New Campus 6-Year'!H11</f>
        <v>150</v>
      </c>
      <c r="I45" s="232"/>
      <c r="J45" s="231"/>
      <c r="K45" s="231"/>
      <c r="L45" s="231"/>
      <c r="M45" s="231"/>
      <c r="N45" s="227"/>
    </row>
    <row r="46" spans="1:14" ht="14" x14ac:dyDescent="0.3">
      <c r="A46" s="232"/>
      <c r="B46" s="230">
        <v>8</v>
      </c>
      <c r="C46" s="245">
        <f>'New Campus 6-Year'!C12</f>
        <v>0</v>
      </c>
      <c r="D46" s="245">
        <f>'New Campus 6-Year'!D12</f>
        <v>60</v>
      </c>
      <c r="E46" s="245">
        <f>'New Campus 6-Year'!E12</f>
        <v>93</v>
      </c>
      <c r="F46" s="245">
        <f>'New Campus 6-Year'!F12</f>
        <v>124</v>
      </c>
      <c r="G46" s="245">
        <f>'New Campus 6-Year'!G12</f>
        <v>124</v>
      </c>
      <c r="H46" s="245">
        <f>'New Campus 6-Year'!H12</f>
        <v>150</v>
      </c>
      <c r="I46" s="232"/>
      <c r="J46" s="231"/>
      <c r="K46" s="231"/>
      <c r="L46" s="231"/>
      <c r="M46" s="231"/>
      <c r="N46" s="227"/>
    </row>
    <row r="47" spans="1:14" ht="14" x14ac:dyDescent="0.3">
      <c r="A47" s="232"/>
      <c r="B47" s="230">
        <v>9</v>
      </c>
      <c r="C47" s="245">
        <f>'New Campus 6-Year'!C13</f>
        <v>0</v>
      </c>
      <c r="D47" s="245">
        <f>'New Campus 6-Year'!D13</f>
        <v>0</v>
      </c>
      <c r="E47" s="245">
        <f>'New Campus 6-Year'!E13</f>
        <v>60</v>
      </c>
      <c r="F47" s="245">
        <f>'New Campus 6-Year'!F13</f>
        <v>93</v>
      </c>
      <c r="G47" s="245">
        <f>'New Campus 6-Year'!G13</f>
        <v>120</v>
      </c>
      <c r="H47" s="245">
        <f>'New Campus 6-Year'!H13</f>
        <v>120</v>
      </c>
      <c r="I47" s="232"/>
      <c r="J47" s="231"/>
      <c r="K47" s="231"/>
      <c r="L47" s="231"/>
      <c r="M47" s="231"/>
      <c r="N47" s="227"/>
    </row>
    <row r="48" spans="1:14" ht="14" x14ac:dyDescent="0.3">
      <c r="A48" s="232"/>
      <c r="B48" s="230">
        <v>10</v>
      </c>
      <c r="C48" s="245">
        <f>'New Campus 6-Year'!C14</f>
        <v>0</v>
      </c>
      <c r="D48" s="245">
        <f>'New Campus 6-Year'!D14</f>
        <v>0</v>
      </c>
      <c r="E48" s="245">
        <f>'New Campus 6-Year'!E14</f>
        <v>0</v>
      </c>
      <c r="F48" s="245">
        <f>'New Campus 6-Year'!F14</f>
        <v>60</v>
      </c>
      <c r="G48" s="245">
        <f>'New Campus 6-Year'!G14</f>
        <v>90</v>
      </c>
      <c r="H48" s="245">
        <f>'New Campus 6-Year'!H14</f>
        <v>120</v>
      </c>
      <c r="I48" s="232"/>
      <c r="J48" s="231"/>
      <c r="K48" s="231"/>
      <c r="L48" s="231"/>
      <c r="M48" s="231"/>
      <c r="N48" s="227"/>
    </row>
    <row r="49" spans="1:14" ht="14" x14ac:dyDescent="0.3">
      <c r="A49" s="232"/>
      <c r="B49" s="230">
        <v>11</v>
      </c>
      <c r="C49" s="245">
        <f>'New Campus 6-Year'!C15</f>
        <v>0</v>
      </c>
      <c r="D49" s="245">
        <f>'New Campus 6-Year'!D15</f>
        <v>0</v>
      </c>
      <c r="E49" s="245">
        <f>'New Campus 6-Year'!E15</f>
        <v>0</v>
      </c>
      <c r="F49" s="245">
        <f>'New Campus 6-Year'!F15</f>
        <v>0</v>
      </c>
      <c r="G49" s="245">
        <f>'New Campus 6-Year'!G15</f>
        <v>60</v>
      </c>
      <c r="H49" s="245">
        <f>'New Campus 6-Year'!H15</f>
        <v>90</v>
      </c>
      <c r="I49" s="232"/>
      <c r="J49" s="231"/>
      <c r="K49" s="231"/>
      <c r="L49" s="231"/>
      <c r="M49" s="231"/>
      <c r="N49" s="227"/>
    </row>
    <row r="50" spans="1:14" ht="14" x14ac:dyDescent="0.3">
      <c r="A50" s="232"/>
      <c r="B50" s="229">
        <v>12</v>
      </c>
      <c r="C50" s="245">
        <f>'New Campus 6-Year'!C16</f>
        <v>0</v>
      </c>
      <c r="D50" s="245">
        <f>'New Campus 6-Year'!D16</f>
        <v>0</v>
      </c>
      <c r="E50" s="245">
        <f>'New Campus 6-Year'!E16</f>
        <v>0</v>
      </c>
      <c r="F50" s="245">
        <f>'New Campus 6-Year'!F16</f>
        <v>0</v>
      </c>
      <c r="G50" s="245">
        <f>'New Campus 6-Year'!G16</f>
        <v>0</v>
      </c>
      <c r="H50" s="245">
        <f>'New Campus 6-Year'!H16</f>
        <v>60</v>
      </c>
      <c r="I50" s="232"/>
      <c r="J50" s="231"/>
      <c r="K50" s="231"/>
      <c r="L50" s="231"/>
      <c r="M50" s="231"/>
      <c r="N50" s="227"/>
    </row>
    <row r="51" spans="1:14" ht="14" x14ac:dyDescent="0.3">
      <c r="A51" s="232"/>
      <c r="B51" s="226" t="s">
        <v>249</v>
      </c>
      <c r="C51" s="225">
        <f t="shared" ref="C51:H51" si="4">SUM(C37:C50)</f>
        <v>0</v>
      </c>
      <c r="D51" s="225">
        <f t="shared" si="4"/>
        <v>767</v>
      </c>
      <c r="E51" s="225">
        <f t="shared" si="4"/>
        <v>943</v>
      </c>
      <c r="F51" s="225">
        <f t="shared" si="4"/>
        <v>1145</v>
      </c>
      <c r="G51" s="225">
        <f t="shared" si="4"/>
        <v>1314</v>
      </c>
      <c r="H51" s="225">
        <f t="shared" si="4"/>
        <v>1460</v>
      </c>
      <c r="I51" s="232"/>
      <c r="J51" s="244">
        <f>D51/$D$51</f>
        <v>1</v>
      </c>
      <c r="K51" s="244">
        <f>E51/$E$51</f>
        <v>1</v>
      </c>
      <c r="L51" s="244">
        <f>F51/$F$51</f>
        <v>1</v>
      </c>
      <c r="M51" s="244">
        <f>G51/$G$51</f>
        <v>1</v>
      </c>
      <c r="N51" s="244">
        <f>H51/$H$51</f>
        <v>1</v>
      </c>
    </row>
    <row r="52" spans="1:14" ht="13" x14ac:dyDescent="0.3">
      <c r="A52" s="232"/>
      <c r="B52" s="232"/>
      <c r="C52" s="232"/>
      <c r="D52" s="232"/>
      <c r="E52" s="232"/>
      <c r="F52" s="232"/>
      <c r="G52" s="232"/>
      <c r="H52" s="232"/>
      <c r="I52" s="232"/>
      <c r="J52" s="231"/>
      <c r="K52" s="231"/>
      <c r="L52" s="231"/>
      <c r="M52" s="231"/>
      <c r="N52" s="227"/>
    </row>
    <row r="53" spans="1:14" ht="14" x14ac:dyDescent="0.3">
      <c r="A53" s="232"/>
      <c r="B53" s="243" t="s">
        <v>388</v>
      </c>
      <c r="C53" s="241"/>
      <c r="D53" s="241"/>
      <c r="E53" s="241"/>
      <c r="F53" s="241"/>
      <c r="G53" s="241"/>
      <c r="H53" s="241"/>
      <c r="I53" s="232"/>
      <c r="J53" s="231"/>
      <c r="K53" s="231"/>
      <c r="L53" s="231"/>
      <c r="M53" s="231"/>
      <c r="N53" s="227"/>
    </row>
    <row r="54" spans="1:14" ht="14" x14ac:dyDescent="0.3">
      <c r="A54" s="232"/>
      <c r="B54" s="243" t="s">
        <v>387</v>
      </c>
      <c r="C54" s="241"/>
      <c r="D54" s="241"/>
      <c r="E54" s="241"/>
      <c r="F54" s="241"/>
      <c r="G54" s="241"/>
      <c r="H54" s="241"/>
      <c r="I54" s="232"/>
      <c r="J54" s="231"/>
      <c r="K54" s="231"/>
      <c r="L54" s="231"/>
      <c r="M54" s="231"/>
      <c r="N54" s="227"/>
    </row>
    <row r="55" spans="1:14" ht="13" x14ac:dyDescent="0.3">
      <c r="A55" s="232"/>
      <c r="B55" s="242" t="s">
        <v>386</v>
      </c>
      <c r="C55" s="241"/>
      <c r="D55" s="241"/>
      <c r="E55" s="241"/>
      <c r="F55" s="241"/>
      <c r="G55" s="241"/>
      <c r="H55" s="241"/>
      <c r="I55" s="232"/>
      <c r="J55" s="231"/>
      <c r="K55" s="231"/>
      <c r="L55" s="231"/>
      <c r="M55" s="231"/>
      <c r="N55" s="227"/>
    </row>
    <row r="56" spans="1:14" ht="13.5" thickBot="1" x14ac:dyDescent="0.35">
      <c r="A56" s="232"/>
      <c r="B56" s="232"/>
      <c r="C56" s="232"/>
      <c r="D56" s="232"/>
      <c r="E56" s="232"/>
      <c r="F56" s="232"/>
      <c r="G56" s="232"/>
      <c r="H56" s="232"/>
      <c r="I56" s="232"/>
      <c r="J56" s="231"/>
      <c r="K56" s="231"/>
      <c r="L56" s="231"/>
      <c r="M56" s="231"/>
      <c r="N56" s="227"/>
    </row>
    <row r="57" spans="1:14" ht="15.75" customHeight="1" x14ac:dyDescent="0.3">
      <c r="A57" s="232"/>
      <c r="B57" s="313" t="s">
        <v>385</v>
      </c>
      <c r="C57" s="316" t="s">
        <v>384</v>
      </c>
      <c r="D57" s="317"/>
      <c r="E57" s="317"/>
      <c r="F57" s="317"/>
      <c r="G57" s="317"/>
      <c r="H57" s="318"/>
      <c r="I57" s="232"/>
      <c r="J57" s="231"/>
      <c r="K57" s="231"/>
      <c r="L57" s="231"/>
      <c r="M57" s="231"/>
      <c r="N57" s="227"/>
    </row>
    <row r="58" spans="1:14" ht="14" x14ac:dyDescent="0.3">
      <c r="A58" s="232"/>
      <c r="B58" s="314"/>
      <c r="C58" s="240">
        <f>+C14</f>
        <v>2024</v>
      </c>
      <c r="D58" s="239">
        <f>+C59</f>
        <v>2025</v>
      </c>
      <c r="E58" s="239">
        <f>+D59</f>
        <v>2026</v>
      </c>
      <c r="F58" s="239">
        <f>+E59</f>
        <v>2027</v>
      </c>
      <c r="G58" s="239">
        <f>+F59</f>
        <v>2028</v>
      </c>
      <c r="H58" s="238">
        <f>+G59</f>
        <v>2029</v>
      </c>
      <c r="I58" s="232"/>
      <c r="J58" s="231"/>
      <c r="K58" s="231"/>
      <c r="L58" s="231"/>
      <c r="M58" s="231"/>
      <c r="N58" s="227"/>
    </row>
    <row r="59" spans="1:14" ht="14.5" thickBot="1" x14ac:dyDescent="0.35">
      <c r="A59" s="232"/>
      <c r="B59" s="315"/>
      <c r="C59" s="237">
        <f t="shared" ref="C59:H59" si="5">+C58+1</f>
        <v>2025</v>
      </c>
      <c r="D59" s="236">
        <f t="shared" si="5"/>
        <v>2026</v>
      </c>
      <c r="E59" s="236">
        <f t="shared" si="5"/>
        <v>2027</v>
      </c>
      <c r="F59" s="236">
        <f t="shared" si="5"/>
        <v>2028</v>
      </c>
      <c r="G59" s="236">
        <f t="shared" si="5"/>
        <v>2029</v>
      </c>
      <c r="H59" s="235">
        <f t="shared" si="5"/>
        <v>2030</v>
      </c>
      <c r="I59" s="232"/>
      <c r="J59" s="231"/>
      <c r="K59" s="231"/>
      <c r="L59" s="231"/>
      <c r="M59" s="231"/>
      <c r="N59" s="227"/>
    </row>
    <row r="60" spans="1:14" ht="14" x14ac:dyDescent="0.3">
      <c r="A60" s="232"/>
      <c r="B60" s="233" t="s">
        <v>383</v>
      </c>
      <c r="C60" s="234"/>
      <c r="D60" s="234"/>
      <c r="E60" s="234"/>
      <c r="F60" s="234"/>
      <c r="G60" s="234"/>
      <c r="H60" s="234"/>
      <c r="I60" s="232"/>
      <c r="J60" s="231"/>
      <c r="K60" s="231"/>
      <c r="L60" s="231"/>
      <c r="M60" s="231"/>
      <c r="N60" s="227"/>
    </row>
    <row r="61" spans="1:14" ht="14" x14ac:dyDescent="0.3">
      <c r="A61" s="232"/>
      <c r="B61" s="233" t="s">
        <v>382</v>
      </c>
      <c r="C61" s="228">
        <f t="shared" ref="C61:H73" si="6">ROUND(C38*1.05,0)</f>
        <v>0</v>
      </c>
      <c r="D61" s="228">
        <f t="shared" si="6"/>
        <v>105</v>
      </c>
      <c r="E61" s="228">
        <f t="shared" si="6"/>
        <v>105</v>
      </c>
      <c r="F61" s="228">
        <f t="shared" si="6"/>
        <v>105</v>
      </c>
      <c r="G61" s="228">
        <f t="shared" si="6"/>
        <v>105</v>
      </c>
      <c r="H61" s="228">
        <f t="shared" si="6"/>
        <v>105</v>
      </c>
      <c r="I61" s="232"/>
      <c r="J61" s="231"/>
      <c r="K61" s="231"/>
      <c r="L61" s="231"/>
      <c r="M61" s="231"/>
      <c r="N61" s="227"/>
    </row>
    <row r="62" spans="1:14" ht="14" x14ac:dyDescent="0.3">
      <c r="A62" s="232"/>
      <c r="B62" s="230">
        <v>1</v>
      </c>
      <c r="C62" s="228">
        <f t="shared" si="6"/>
        <v>0</v>
      </c>
      <c r="D62" s="228">
        <f t="shared" si="6"/>
        <v>109</v>
      </c>
      <c r="E62" s="228">
        <f t="shared" si="6"/>
        <v>109</v>
      </c>
      <c r="F62" s="228">
        <f t="shared" si="6"/>
        <v>109</v>
      </c>
      <c r="G62" s="228">
        <f t="shared" si="6"/>
        <v>109</v>
      </c>
      <c r="H62" s="228">
        <f t="shared" si="6"/>
        <v>109</v>
      </c>
      <c r="I62" s="232"/>
      <c r="J62" s="231"/>
      <c r="K62" s="231"/>
      <c r="L62" s="231"/>
      <c r="M62" s="231"/>
      <c r="N62" s="227"/>
    </row>
    <row r="63" spans="1:14" ht="14" x14ac:dyDescent="0.3">
      <c r="A63" s="232"/>
      <c r="B63" s="230">
        <v>2</v>
      </c>
      <c r="C63" s="228">
        <f t="shared" si="6"/>
        <v>0</v>
      </c>
      <c r="D63" s="228">
        <f t="shared" si="6"/>
        <v>109</v>
      </c>
      <c r="E63" s="228">
        <f t="shared" si="6"/>
        <v>109</v>
      </c>
      <c r="F63" s="228">
        <f t="shared" si="6"/>
        <v>109</v>
      </c>
      <c r="G63" s="228">
        <f t="shared" si="6"/>
        <v>109</v>
      </c>
      <c r="H63" s="228">
        <f t="shared" si="6"/>
        <v>109</v>
      </c>
      <c r="I63" s="232"/>
      <c r="J63" s="231"/>
      <c r="K63" s="231"/>
      <c r="L63" s="231"/>
      <c r="M63" s="231"/>
      <c r="N63" s="227"/>
    </row>
    <row r="64" spans="1:14" ht="14" x14ac:dyDescent="0.3">
      <c r="A64" s="232"/>
      <c r="B64" s="230">
        <v>3</v>
      </c>
      <c r="C64" s="228">
        <f t="shared" si="6"/>
        <v>0</v>
      </c>
      <c r="D64" s="228">
        <f t="shared" si="6"/>
        <v>82</v>
      </c>
      <c r="E64" s="228">
        <f t="shared" si="6"/>
        <v>109</v>
      </c>
      <c r="F64" s="228">
        <f t="shared" si="6"/>
        <v>109</v>
      </c>
      <c r="G64" s="228">
        <f t="shared" si="6"/>
        <v>109</v>
      </c>
      <c r="H64" s="228">
        <f t="shared" si="6"/>
        <v>109</v>
      </c>
      <c r="I64" s="232"/>
      <c r="J64" s="231"/>
      <c r="K64" s="231"/>
      <c r="L64" s="231"/>
      <c r="M64" s="231"/>
      <c r="N64" s="227"/>
    </row>
    <row r="65" spans="2:14" ht="14" x14ac:dyDescent="0.3">
      <c r="B65" s="230">
        <v>4</v>
      </c>
      <c r="C65" s="228">
        <f t="shared" si="6"/>
        <v>0</v>
      </c>
      <c r="D65" s="228">
        <f t="shared" si="6"/>
        <v>55</v>
      </c>
      <c r="E65" s="228">
        <f t="shared" si="6"/>
        <v>82</v>
      </c>
      <c r="F65" s="228">
        <f t="shared" si="6"/>
        <v>109</v>
      </c>
      <c r="G65" s="228">
        <f t="shared" si="6"/>
        <v>109</v>
      </c>
      <c r="H65" s="228">
        <f t="shared" si="6"/>
        <v>109</v>
      </c>
      <c r="J65" s="227"/>
      <c r="K65" s="227"/>
      <c r="L65" s="227"/>
      <c r="M65" s="227"/>
      <c r="N65" s="227"/>
    </row>
    <row r="66" spans="2:14" ht="14" x14ac:dyDescent="0.3">
      <c r="B66" s="230">
        <v>5</v>
      </c>
      <c r="C66" s="228">
        <f t="shared" si="6"/>
        <v>0</v>
      </c>
      <c r="D66" s="228">
        <f t="shared" si="6"/>
        <v>55</v>
      </c>
      <c r="E66" s="228">
        <f t="shared" si="6"/>
        <v>55</v>
      </c>
      <c r="F66" s="228">
        <f t="shared" si="6"/>
        <v>82</v>
      </c>
      <c r="G66" s="228">
        <f t="shared" si="6"/>
        <v>109</v>
      </c>
      <c r="H66" s="228">
        <f t="shared" si="6"/>
        <v>109</v>
      </c>
      <c r="J66" s="227"/>
      <c r="K66" s="227"/>
      <c r="L66" s="227"/>
      <c r="M66" s="227"/>
      <c r="N66" s="227"/>
    </row>
    <row r="67" spans="2:14" ht="14" x14ac:dyDescent="0.3">
      <c r="B67" s="230">
        <v>6</v>
      </c>
      <c r="C67" s="228">
        <f t="shared" si="6"/>
        <v>0</v>
      </c>
      <c r="D67" s="228">
        <f t="shared" si="6"/>
        <v>130</v>
      </c>
      <c r="E67" s="228">
        <f t="shared" si="6"/>
        <v>130</v>
      </c>
      <c r="F67" s="228">
        <f t="shared" si="6"/>
        <v>158</v>
      </c>
      <c r="G67" s="228">
        <f t="shared" si="6"/>
        <v>158</v>
      </c>
      <c r="H67" s="228">
        <f t="shared" si="6"/>
        <v>158</v>
      </c>
      <c r="J67" s="227"/>
      <c r="K67" s="227"/>
      <c r="L67" s="227"/>
      <c r="M67" s="227"/>
      <c r="N67" s="227"/>
    </row>
    <row r="68" spans="2:14" ht="14" x14ac:dyDescent="0.3">
      <c r="B68" s="230">
        <v>7</v>
      </c>
      <c r="C68" s="228">
        <f t="shared" si="6"/>
        <v>0</v>
      </c>
      <c r="D68" s="228">
        <f t="shared" si="6"/>
        <v>98</v>
      </c>
      <c r="E68" s="228">
        <f t="shared" si="6"/>
        <v>130</v>
      </c>
      <c r="F68" s="228">
        <f t="shared" si="6"/>
        <v>130</v>
      </c>
      <c r="G68" s="228">
        <f t="shared" si="6"/>
        <v>158</v>
      </c>
      <c r="H68" s="228">
        <f t="shared" si="6"/>
        <v>158</v>
      </c>
      <c r="J68" s="227"/>
      <c r="K68" s="227"/>
      <c r="L68" s="227"/>
      <c r="M68" s="227"/>
      <c r="N68" s="227"/>
    </row>
    <row r="69" spans="2:14" ht="14" x14ac:dyDescent="0.3">
      <c r="B69" s="230">
        <v>8</v>
      </c>
      <c r="C69" s="228">
        <f t="shared" si="6"/>
        <v>0</v>
      </c>
      <c r="D69" s="228">
        <f t="shared" si="6"/>
        <v>63</v>
      </c>
      <c r="E69" s="228">
        <f t="shared" si="6"/>
        <v>98</v>
      </c>
      <c r="F69" s="228">
        <f t="shared" si="6"/>
        <v>130</v>
      </c>
      <c r="G69" s="228">
        <f t="shared" si="6"/>
        <v>130</v>
      </c>
      <c r="H69" s="228">
        <f t="shared" si="6"/>
        <v>158</v>
      </c>
      <c r="J69" s="227"/>
      <c r="K69" s="227"/>
      <c r="L69" s="227"/>
      <c r="M69" s="227"/>
      <c r="N69" s="227"/>
    </row>
    <row r="70" spans="2:14" ht="14" x14ac:dyDescent="0.3">
      <c r="B70" s="230">
        <v>9</v>
      </c>
      <c r="C70" s="228">
        <f t="shared" si="6"/>
        <v>0</v>
      </c>
      <c r="D70" s="228">
        <f t="shared" si="6"/>
        <v>0</v>
      </c>
      <c r="E70" s="228">
        <f t="shared" si="6"/>
        <v>63</v>
      </c>
      <c r="F70" s="228">
        <f t="shared" si="6"/>
        <v>98</v>
      </c>
      <c r="G70" s="228">
        <f t="shared" si="6"/>
        <v>126</v>
      </c>
      <c r="H70" s="228">
        <f t="shared" si="6"/>
        <v>126</v>
      </c>
      <c r="J70" s="227"/>
      <c r="K70" s="227"/>
      <c r="L70" s="227"/>
      <c r="M70" s="227"/>
      <c r="N70" s="227"/>
    </row>
    <row r="71" spans="2:14" ht="14" x14ac:dyDescent="0.3">
      <c r="B71" s="230">
        <v>10</v>
      </c>
      <c r="C71" s="228">
        <f t="shared" si="6"/>
        <v>0</v>
      </c>
      <c r="D71" s="228">
        <f t="shared" si="6"/>
        <v>0</v>
      </c>
      <c r="E71" s="228">
        <f t="shared" si="6"/>
        <v>0</v>
      </c>
      <c r="F71" s="228">
        <f t="shared" si="6"/>
        <v>63</v>
      </c>
      <c r="G71" s="228">
        <f t="shared" si="6"/>
        <v>95</v>
      </c>
      <c r="H71" s="228">
        <f t="shared" si="6"/>
        <v>126</v>
      </c>
      <c r="J71" s="227"/>
      <c r="K71" s="227"/>
      <c r="L71" s="227"/>
      <c r="M71" s="227"/>
      <c r="N71" s="227"/>
    </row>
    <row r="72" spans="2:14" ht="14" x14ac:dyDescent="0.3">
      <c r="B72" s="230">
        <v>11</v>
      </c>
      <c r="C72" s="228">
        <f t="shared" si="6"/>
        <v>0</v>
      </c>
      <c r="D72" s="228">
        <f t="shared" si="6"/>
        <v>0</v>
      </c>
      <c r="E72" s="228">
        <f t="shared" si="6"/>
        <v>0</v>
      </c>
      <c r="F72" s="228">
        <f t="shared" si="6"/>
        <v>0</v>
      </c>
      <c r="G72" s="228">
        <f t="shared" si="6"/>
        <v>63</v>
      </c>
      <c r="H72" s="228">
        <f t="shared" si="6"/>
        <v>95</v>
      </c>
      <c r="J72" s="227"/>
      <c r="K72" s="227"/>
      <c r="L72" s="227"/>
      <c r="M72" s="227"/>
      <c r="N72" s="227"/>
    </row>
    <row r="73" spans="2:14" ht="14" x14ac:dyDescent="0.3">
      <c r="B73" s="229">
        <v>12</v>
      </c>
      <c r="C73" s="228">
        <f t="shared" si="6"/>
        <v>0</v>
      </c>
      <c r="D73" s="228">
        <f t="shared" si="6"/>
        <v>0</v>
      </c>
      <c r="E73" s="228">
        <f t="shared" si="6"/>
        <v>0</v>
      </c>
      <c r="F73" s="228">
        <f t="shared" si="6"/>
        <v>0</v>
      </c>
      <c r="G73" s="228">
        <f t="shared" si="6"/>
        <v>0</v>
      </c>
      <c r="H73" s="228">
        <f t="shared" si="6"/>
        <v>63</v>
      </c>
      <c r="J73" s="227"/>
      <c r="K73" s="227"/>
      <c r="L73" s="227"/>
      <c r="M73" s="227"/>
      <c r="N73" s="227"/>
    </row>
    <row r="74" spans="2:14" ht="14" x14ac:dyDescent="0.3">
      <c r="B74" s="226" t="s">
        <v>249</v>
      </c>
      <c r="C74" s="225">
        <f t="shared" ref="C74:H74" si="7">SUM(C60:C73)</f>
        <v>0</v>
      </c>
      <c r="D74" s="225">
        <f t="shared" si="7"/>
        <v>806</v>
      </c>
      <c r="E74" s="225">
        <f t="shared" si="7"/>
        <v>990</v>
      </c>
      <c r="F74" s="225">
        <f t="shared" si="7"/>
        <v>1202</v>
      </c>
      <c r="G74" s="225">
        <f t="shared" si="7"/>
        <v>1380</v>
      </c>
      <c r="H74" s="225">
        <f t="shared" si="7"/>
        <v>1534</v>
      </c>
      <c r="J74" s="224">
        <f>D74/$D$51</f>
        <v>1.0508474576271187</v>
      </c>
      <c r="K74" s="224">
        <f>E74/$E$51</f>
        <v>1.0498409331919407</v>
      </c>
      <c r="L74" s="224">
        <f>F74/$F$51</f>
        <v>1.0497816593886462</v>
      </c>
      <c r="M74" s="224">
        <f>G74/$G$51</f>
        <v>1.0502283105022832</v>
      </c>
      <c r="N74" s="224">
        <f>H74/$H$51</f>
        <v>1.0506849315068494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137"/>
  <sheetViews>
    <sheetView showGridLines="0" zoomScale="75" zoomScaleNormal="75" zoomScaleSheetLayoutView="100" workbookViewId="0">
      <selection activeCell="P20" sqref="P20"/>
    </sheetView>
  </sheetViews>
  <sheetFormatPr defaultColWidth="8.90625" defaultRowHeight="12.5" x14ac:dyDescent="0.25"/>
  <cols>
    <col min="1" max="1" width="2.54296875" style="223" customWidth="1"/>
    <col min="2" max="2" width="43.08984375" style="223" customWidth="1"/>
    <col min="3" max="8" width="8.90625" style="223"/>
    <col min="9" max="9" width="2.90625" style="223" customWidth="1"/>
    <col min="10" max="18" width="8.90625" style="223"/>
    <col min="19" max="19" width="43.08984375" style="223" customWidth="1"/>
    <col min="20" max="16384" width="8.90625" style="223"/>
  </cols>
  <sheetData>
    <row r="1" spans="1:16" ht="15.5" x14ac:dyDescent="0.35">
      <c r="A1" s="255" t="s">
        <v>455</v>
      </c>
      <c r="B1" s="255"/>
      <c r="C1" s="255"/>
    </row>
    <row r="2" spans="1:16" ht="15.5" x14ac:dyDescent="0.35">
      <c r="A2" s="254"/>
      <c r="B2" s="253"/>
      <c r="C2" s="253"/>
    </row>
    <row r="3" spans="1:16" ht="13" x14ac:dyDescent="0.3">
      <c r="A3" s="252" t="s">
        <v>395</v>
      </c>
    </row>
    <row r="4" spans="1:16" x14ac:dyDescent="0.25">
      <c r="A4" s="251" t="s">
        <v>394</v>
      </c>
    </row>
    <row r="5" spans="1:16" ht="13" x14ac:dyDescent="0.3">
      <c r="A5" s="302"/>
    </row>
    <row r="6" spans="1:16" ht="13" x14ac:dyDescent="0.3">
      <c r="A6" s="302"/>
    </row>
    <row r="7" spans="1:16" ht="14" x14ac:dyDescent="0.3">
      <c r="A7" s="302"/>
      <c r="B7" s="249" t="s">
        <v>393</v>
      </c>
    </row>
    <row r="8" spans="1:16" ht="13" x14ac:dyDescent="0.3">
      <c r="A8" s="302"/>
    </row>
    <row r="9" spans="1:16" ht="13" x14ac:dyDescent="0.3">
      <c r="A9" s="302"/>
    </row>
    <row r="10" spans="1:16" ht="13" x14ac:dyDescent="0.3">
      <c r="A10" s="302"/>
    </row>
    <row r="11" spans="1:16" ht="13" x14ac:dyDescent="0.3">
      <c r="A11" s="232"/>
      <c r="B11" s="232"/>
      <c r="C11" s="301" t="s">
        <v>454</v>
      </c>
      <c r="D11" s="300"/>
      <c r="E11" s="300"/>
      <c r="F11" s="300"/>
      <c r="G11" s="300"/>
      <c r="H11" s="299"/>
      <c r="I11" s="232"/>
      <c r="J11" s="232"/>
      <c r="K11" s="232"/>
      <c r="L11" s="232"/>
      <c r="M11" s="232"/>
      <c r="N11" s="232"/>
      <c r="O11" s="232"/>
      <c r="P11" s="232"/>
    </row>
    <row r="12" spans="1:16" ht="13" x14ac:dyDescent="0.3">
      <c r="A12" s="232"/>
      <c r="B12" s="298" t="s">
        <v>453</v>
      </c>
      <c r="C12" s="297">
        <v>2024</v>
      </c>
      <c r="D12" s="296">
        <f>+C13</f>
        <v>2025</v>
      </c>
      <c r="E12" s="296">
        <f>+D13</f>
        <v>2026</v>
      </c>
      <c r="F12" s="296">
        <f>+E13</f>
        <v>2027</v>
      </c>
      <c r="G12" s="296">
        <f>+F13</f>
        <v>2028</v>
      </c>
      <c r="H12" s="295">
        <f>+G13</f>
        <v>2029</v>
      </c>
      <c r="I12" s="232"/>
      <c r="J12" s="232"/>
      <c r="K12" s="232"/>
      <c r="L12" s="232"/>
      <c r="M12" s="232"/>
      <c r="N12" s="232"/>
      <c r="O12" s="232"/>
      <c r="P12" s="232"/>
    </row>
    <row r="13" spans="1:16" ht="13" x14ac:dyDescent="0.3">
      <c r="A13" s="232"/>
      <c r="B13" s="232"/>
      <c r="C13" s="294">
        <f t="shared" ref="C13:H13" si="0">+C12+1</f>
        <v>2025</v>
      </c>
      <c r="D13" s="293">
        <f t="shared" si="0"/>
        <v>2026</v>
      </c>
      <c r="E13" s="293">
        <f t="shared" si="0"/>
        <v>2027</v>
      </c>
      <c r="F13" s="293">
        <f t="shared" si="0"/>
        <v>2028</v>
      </c>
      <c r="G13" s="293">
        <f t="shared" si="0"/>
        <v>2029</v>
      </c>
      <c r="H13" s="292">
        <f t="shared" si="0"/>
        <v>2030</v>
      </c>
      <c r="I13" s="232"/>
      <c r="J13" s="232"/>
      <c r="K13" s="232"/>
      <c r="L13" s="232"/>
      <c r="M13" s="232"/>
      <c r="N13" s="232"/>
      <c r="O13" s="232"/>
      <c r="P13" s="232"/>
    </row>
    <row r="14" spans="1:16" ht="14" x14ac:dyDescent="0.3">
      <c r="A14" s="232"/>
      <c r="B14" s="288" t="s">
        <v>452</v>
      </c>
      <c r="K14" s="232"/>
      <c r="L14" s="232"/>
      <c r="M14" s="232"/>
      <c r="N14" s="232"/>
      <c r="O14" s="232"/>
      <c r="P14" s="232"/>
    </row>
    <row r="15" spans="1:16" ht="14" x14ac:dyDescent="0.25">
      <c r="A15" s="232"/>
      <c r="B15" s="325" t="s">
        <v>426</v>
      </c>
      <c r="C15" s="326"/>
      <c r="D15" s="326"/>
      <c r="E15" s="326"/>
      <c r="F15" s="326"/>
      <c r="G15" s="326"/>
      <c r="H15" s="327"/>
      <c r="K15" s="232"/>
      <c r="L15" s="232"/>
      <c r="M15" s="232"/>
      <c r="N15" s="232"/>
      <c r="O15" s="232"/>
      <c r="P15" s="232"/>
    </row>
    <row r="16" spans="1:16" ht="14" x14ac:dyDescent="0.25">
      <c r="A16" s="232"/>
      <c r="B16" s="279" t="s">
        <v>451</v>
      </c>
      <c r="C16" s="278">
        <v>1</v>
      </c>
      <c r="D16" s="278">
        <v>1</v>
      </c>
      <c r="E16" s="278">
        <v>1</v>
      </c>
      <c r="F16" s="278">
        <v>1</v>
      </c>
      <c r="G16" s="278">
        <v>1</v>
      </c>
      <c r="H16" s="278">
        <v>1</v>
      </c>
      <c r="K16" s="232"/>
      <c r="L16" s="232"/>
      <c r="M16" s="232"/>
      <c r="N16" s="232"/>
      <c r="O16" s="232"/>
      <c r="P16" s="232"/>
    </row>
    <row r="17" spans="1:25" ht="14" x14ac:dyDescent="0.25">
      <c r="A17" s="232"/>
      <c r="B17" s="230" t="s">
        <v>450</v>
      </c>
      <c r="C17" s="278">
        <v>1</v>
      </c>
      <c r="D17" s="278">
        <v>1</v>
      </c>
      <c r="E17" s="278">
        <v>1</v>
      </c>
      <c r="F17" s="278">
        <v>1</v>
      </c>
      <c r="G17" s="278">
        <v>1</v>
      </c>
      <c r="H17" s="278">
        <v>1</v>
      </c>
      <c r="K17" s="232"/>
      <c r="L17" s="232"/>
      <c r="M17" s="232"/>
      <c r="N17" s="232"/>
      <c r="O17" s="232"/>
      <c r="P17" s="232"/>
    </row>
    <row r="18" spans="1:25" ht="14" x14ac:dyDescent="0.25">
      <c r="A18" s="232"/>
      <c r="B18" s="230" t="s">
        <v>449</v>
      </c>
      <c r="C18" s="278">
        <v>1</v>
      </c>
      <c r="D18" s="278">
        <v>1</v>
      </c>
      <c r="E18" s="278">
        <v>1</v>
      </c>
      <c r="F18" s="278">
        <v>1</v>
      </c>
      <c r="G18" s="278">
        <v>1</v>
      </c>
      <c r="H18" s="278">
        <v>1</v>
      </c>
      <c r="K18" s="232"/>
      <c r="L18" s="232"/>
      <c r="M18" s="232"/>
      <c r="N18" s="232"/>
      <c r="O18" s="232"/>
      <c r="P18" s="232"/>
    </row>
    <row r="19" spans="1:25" ht="14" x14ac:dyDescent="0.25">
      <c r="A19" s="232"/>
      <c r="B19" s="230" t="s">
        <v>448</v>
      </c>
      <c r="C19" s="278">
        <v>1</v>
      </c>
      <c r="D19" s="278">
        <v>1</v>
      </c>
      <c r="E19" s="278">
        <v>1</v>
      </c>
      <c r="F19" s="278">
        <v>1</v>
      </c>
      <c r="G19" s="278">
        <v>1</v>
      </c>
      <c r="H19" s="278">
        <v>1</v>
      </c>
      <c r="K19" s="232"/>
      <c r="L19" s="232"/>
      <c r="M19" s="232"/>
      <c r="N19" s="232"/>
      <c r="O19" s="232"/>
      <c r="P19" s="232"/>
    </row>
    <row r="20" spans="1:25" ht="14" x14ac:dyDescent="0.25">
      <c r="A20" s="232"/>
      <c r="B20" s="230" t="s">
        <v>447</v>
      </c>
      <c r="C20" s="278">
        <v>1</v>
      </c>
      <c r="D20" s="278">
        <v>1</v>
      </c>
      <c r="E20" s="278">
        <v>1</v>
      </c>
      <c r="F20" s="278">
        <v>1</v>
      </c>
      <c r="G20" s="278">
        <v>1</v>
      </c>
      <c r="H20" s="278">
        <v>1</v>
      </c>
      <c r="K20" s="232"/>
      <c r="L20" s="232"/>
      <c r="M20" s="232"/>
      <c r="N20" s="232"/>
      <c r="O20" s="232"/>
      <c r="P20" s="232"/>
    </row>
    <row r="21" spans="1:25" ht="14" x14ac:dyDescent="0.25">
      <c r="A21" s="232"/>
      <c r="B21" s="230" t="s">
        <v>446</v>
      </c>
      <c r="C21" s="278">
        <v>1</v>
      </c>
      <c r="D21" s="278">
        <v>1</v>
      </c>
      <c r="E21" s="278">
        <v>1</v>
      </c>
      <c r="F21" s="278">
        <v>1</v>
      </c>
      <c r="G21" s="278">
        <v>1</v>
      </c>
      <c r="H21" s="278">
        <v>1</v>
      </c>
      <c r="K21" s="232"/>
      <c r="L21" s="232"/>
      <c r="M21" s="232"/>
      <c r="N21" s="232"/>
      <c r="O21" s="232"/>
      <c r="P21" s="232"/>
    </row>
    <row r="22" spans="1:25" ht="14" x14ac:dyDescent="0.25">
      <c r="A22" s="232"/>
      <c r="B22" s="230" t="s">
        <v>445</v>
      </c>
      <c r="C22" s="268">
        <v>2</v>
      </c>
      <c r="D22" s="278">
        <v>2</v>
      </c>
      <c r="E22" s="278">
        <v>2</v>
      </c>
      <c r="F22" s="278">
        <v>2</v>
      </c>
      <c r="G22" s="278">
        <v>2</v>
      </c>
      <c r="H22" s="278">
        <v>2</v>
      </c>
      <c r="K22" s="232"/>
      <c r="L22" s="232"/>
      <c r="M22" s="232"/>
      <c r="N22" s="232"/>
      <c r="O22" s="232"/>
      <c r="P22" s="232"/>
    </row>
    <row r="23" spans="1:25" ht="14" x14ac:dyDescent="0.25">
      <c r="A23" s="232"/>
      <c r="B23" s="229" t="s">
        <v>444</v>
      </c>
      <c r="C23" s="278">
        <v>1</v>
      </c>
      <c r="D23" s="278">
        <v>1</v>
      </c>
      <c r="E23" s="278">
        <v>1</v>
      </c>
      <c r="F23" s="278">
        <v>1</v>
      </c>
      <c r="G23" s="278">
        <v>1</v>
      </c>
      <c r="H23" s="278">
        <v>1</v>
      </c>
      <c r="K23" s="232"/>
      <c r="L23" s="232"/>
      <c r="M23" s="232"/>
      <c r="N23" s="232"/>
      <c r="O23" s="232"/>
      <c r="P23" s="232"/>
    </row>
    <row r="24" spans="1:25" ht="14.5" thickBot="1" x14ac:dyDescent="0.3">
      <c r="A24" s="232"/>
      <c r="B24" s="283" t="s">
        <v>417</v>
      </c>
      <c r="C24" s="291">
        <f t="shared" ref="C24:H24" si="1">SUM(C16:C23)</f>
        <v>9</v>
      </c>
      <c r="D24" s="291">
        <f t="shared" si="1"/>
        <v>9</v>
      </c>
      <c r="E24" s="291">
        <f t="shared" si="1"/>
        <v>9</v>
      </c>
      <c r="F24" s="291">
        <f t="shared" si="1"/>
        <v>9</v>
      </c>
      <c r="G24" s="291">
        <f t="shared" si="1"/>
        <v>9</v>
      </c>
      <c r="H24" s="291">
        <f t="shared" si="1"/>
        <v>9</v>
      </c>
      <c r="K24" s="232"/>
      <c r="L24" s="232"/>
      <c r="M24" s="232"/>
      <c r="N24" s="232"/>
      <c r="O24" s="232"/>
      <c r="P24" s="232"/>
    </row>
    <row r="25" spans="1:25" ht="15" thickTop="1" thickBot="1" x14ac:dyDescent="0.3">
      <c r="A25" s="232"/>
      <c r="B25" s="271"/>
      <c r="C25" s="290"/>
      <c r="D25" s="290"/>
      <c r="E25" s="290"/>
      <c r="F25" s="290"/>
      <c r="G25" s="290"/>
      <c r="H25" s="290"/>
      <c r="K25" s="232"/>
      <c r="L25" s="232"/>
      <c r="M25" s="232"/>
      <c r="N25" s="232"/>
      <c r="O25" s="232"/>
      <c r="P25" s="232"/>
      <c r="T25" s="286" t="s">
        <v>436</v>
      </c>
      <c r="U25" s="286" t="s">
        <v>435</v>
      </c>
      <c r="V25" s="285" t="s">
        <v>434</v>
      </c>
      <c r="W25" s="285" t="s">
        <v>433</v>
      </c>
      <c r="X25" s="285" t="s">
        <v>432</v>
      </c>
      <c r="Y25" s="285" t="s">
        <v>483</v>
      </c>
    </row>
    <row r="26" spans="1:25" ht="13.75" customHeight="1" thickTop="1" x14ac:dyDescent="0.25">
      <c r="A26" s="232"/>
      <c r="B26" s="325" t="s">
        <v>443</v>
      </c>
      <c r="C26" s="326"/>
      <c r="D26" s="326"/>
      <c r="E26" s="326"/>
      <c r="F26" s="326"/>
      <c r="G26" s="326"/>
      <c r="H26" s="327"/>
      <c r="K26" s="232"/>
      <c r="L26" s="232"/>
      <c r="M26" s="232"/>
      <c r="N26" s="232"/>
      <c r="O26" s="232"/>
      <c r="P26" s="232"/>
      <c r="S26" s="325" t="s">
        <v>456</v>
      </c>
      <c r="T26" s="326"/>
      <c r="U26" s="326"/>
      <c r="V26" s="326"/>
      <c r="W26" s="326"/>
      <c r="X26" s="326"/>
      <c r="Y26" s="327"/>
    </row>
    <row r="27" spans="1:25" ht="14" x14ac:dyDescent="0.25">
      <c r="A27" s="232"/>
      <c r="B27" s="230" t="s">
        <v>411</v>
      </c>
      <c r="C27" s="268">
        <f>'New Campus 6-Year'!C39</f>
        <v>0</v>
      </c>
      <c r="D27" s="268">
        <f>'New Campus 6-Year'!D39</f>
        <v>1</v>
      </c>
      <c r="E27" s="268">
        <f>'New Campus 6-Year'!E39</f>
        <v>1</v>
      </c>
      <c r="F27" s="268">
        <f>'New Campus 6-Year'!F39</f>
        <v>1</v>
      </c>
      <c r="G27" s="268">
        <f>'New Campus 6-Year'!G39</f>
        <v>1</v>
      </c>
      <c r="H27" s="268">
        <f>'New Campus 6-Year'!H39</f>
        <v>1</v>
      </c>
      <c r="K27" s="232"/>
      <c r="L27" s="232"/>
      <c r="M27" s="232"/>
      <c r="N27" s="232"/>
      <c r="O27" s="232"/>
      <c r="P27" s="232"/>
      <c r="S27" s="230" t="s">
        <v>411</v>
      </c>
      <c r="T27" s="268">
        <f>C67+C88+C109</f>
        <v>1</v>
      </c>
      <c r="U27" s="268">
        <f>D67+D88+D109</f>
        <v>2</v>
      </c>
      <c r="V27" s="268">
        <f t="shared" ref="V27:Y27" si="2">E67+E88+E109</f>
        <v>2</v>
      </c>
      <c r="W27" s="268">
        <f t="shared" si="2"/>
        <v>2</v>
      </c>
      <c r="X27" s="268">
        <f t="shared" si="2"/>
        <v>2</v>
      </c>
      <c r="Y27" s="268">
        <f t="shared" si="2"/>
        <v>2</v>
      </c>
    </row>
    <row r="28" spans="1:25" ht="14" x14ac:dyDescent="0.25">
      <c r="A28" s="232"/>
      <c r="B28" s="230" t="s">
        <v>410</v>
      </c>
      <c r="C28" s="268">
        <f>'New Campus 6-Year'!C40</f>
        <v>0</v>
      </c>
      <c r="D28" s="268">
        <f>'New Campus 6-Year'!D40</f>
        <v>1</v>
      </c>
      <c r="E28" s="268">
        <f>'New Campus 6-Year'!E40</f>
        <v>2</v>
      </c>
      <c r="F28" s="268">
        <f>'New Campus 6-Year'!F40</f>
        <v>2</v>
      </c>
      <c r="G28" s="268">
        <f>'New Campus 6-Year'!G40</f>
        <v>3</v>
      </c>
      <c r="H28" s="268">
        <f>'New Campus 6-Year'!H40</f>
        <v>3</v>
      </c>
      <c r="K28" s="232"/>
      <c r="L28" s="232"/>
      <c r="M28" s="232"/>
      <c r="N28" s="232"/>
      <c r="O28" s="232"/>
      <c r="P28" s="232"/>
      <c r="S28" s="230" t="s">
        <v>410</v>
      </c>
      <c r="T28" s="268">
        <f>C68+C89+C110</f>
        <v>1</v>
      </c>
      <c r="U28" s="268">
        <f>D68+D89+D110</f>
        <v>2</v>
      </c>
      <c r="V28" s="268">
        <f t="shared" ref="V28:Y28" si="3">E68+E89+E110</f>
        <v>3</v>
      </c>
      <c r="W28" s="268">
        <f t="shared" si="3"/>
        <v>3</v>
      </c>
      <c r="X28" s="268">
        <f t="shared" si="3"/>
        <v>4</v>
      </c>
      <c r="Y28" s="268">
        <f t="shared" si="3"/>
        <v>4</v>
      </c>
    </row>
    <row r="29" spans="1:25" ht="13.4" customHeight="1" x14ac:dyDescent="0.25">
      <c r="A29" s="232"/>
      <c r="B29" s="323" t="s">
        <v>442</v>
      </c>
      <c r="C29" s="320">
        <f>'New Campus 6-Year'!C44+'New Campus 6-Year'!C45</f>
        <v>0</v>
      </c>
      <c r="D29" s="320">
        <f>'New Campus 6-Year'!D44+'New Campus 6-Year'!D45</f>
        <v>0</v>
      </c>
      <c r="E29" s="320">
        <f>'New Campus 6-Year'!E44+'New Campus 6-Year'!E45</f>
        <v>1</v>
      </c>
      <c r="F29" s="320">
        <f>'New Campus 6-Year'!F44+'New Campus 6-Year'!F45</f>
        <v>3</v>
      </c>
      <c r="G29" s="320">
        <f>'New Campus 6-Year'!G44+'New Campus 6-Year'!G45</f>
        <v>3</v>
      </c>
      <c r="H29" s="320">
        <f>'New Campus 6-Year'!H44+'New Campus 6-Year'!H45</f>
        <v>4</v>
      </c>
      <c r="K29" s="232"/>
      <c r="L29" s="232"/>
      <c r="M29" s="232"/>
      <c r="N29" s="232"/>
      <c r="O29" s="232"/>
      <c r="P29" s="232"/>
      <c r="S29" s="323" t="s">
        <v>442</v>
      </c>
      <c r="T29" s="322">
        <f>C69+C90+C111</f>
        <v>1</v>
      </c>
      <c r="U29" s="322">
        <f t="shared" ref="U29:Y29" si="4">D69+D90+D111</f>
        <v>1</v>
      </c>
      <c r="V29" s="322">
        <f t="shared" si="4"/>
        <v>2</v>
      </c>
      <c r="W29" s="322">
        <f t="shared" si="4"/>
        <v>4</v>
      </c>
      <c r="X29" s="322">
        <f t="shared" si="4"/>
        <v>4</v>
      </c>
      <c r="Y29" s="322">
        <f t="shared" si="4"/>
        <v>5</v>
      </c>
    </row>
    <row r="30" spans="1:25" ht="13.4" customHeight="1" x14ac:dyDescent="0.25">
      <c r="A30" s="232"/>
      <c r="B30" s="324"/>
      <c r="C30" s="321"/>
      <c r="D30" s="321"/>
      <c r="E30" s="321"/>
      <c r="F30" s="321"/>
      <c r="G30" s="321"/>
      <c r="H30" s="321"/>
      <c r="K30" s="232"/>
      <c r="L30" s="232"/>
      <c r="M30" s="232"/>
      <c r="N30" s="232"/>
      <c r="O30" s="232"/>
      <c r="P30" s="232"/>
      <c r="S30" s="324"/>
      <c r="T30" s="322"/>
      <c r="U30" s="322"/>
      <c r="V30" s="322"/>
      <c r="W30" s="322"/>
      <c r="X30" s="322"/>
      <c r="Y30" s="322"/>
    </row>
    <row r="31" spans="1:25" ht="13.4" customHeight="1" x14ac:dyDescent="0.25">
      <c r="A31" s="232"/>
      <c r="B31" s="323" t="s">
        <v>441</v>
      </c>
      <c r="C31" s="320">
        <f>'New Campus 6-Year'!C43</f>
        <v>0</v>
      </c>
      <c r="D31" s="320">
        <f>'New Campus 6-Year'!D43</f>
        <v>0</v>
      </c>
      <c r="E31" s="320">
        <f>'New Campus 6-Year'!E43</f>
        <v>1</v>
      </c>
      <c r="F31" s="320">
        <f>'New Campus 6-Year'!F43</f>
        <v>2</v>
      </c>
      <c r="G31" s="320">
        <f>'New Campus 6-Year'!G43</f>
        <v>2</v>
      </c>
      <c r="H31" s="320">
        <f>'New Campus 6-Year'!H43</f>
        <v>2</v>
      </c>
      <c r="K31" s="232"/>
      <c r="L31" s="232"/>
      <c r="M31" s="232"/>
      <c r="N31" s="232"/>
      <c r="O31" s="232"/>
      <c r="P31" s="232"/>
      <c r="S31" s="323" t="s">
        <v>441</v>
      </c>
      <c r="T31" s="322">
        <f>C71+C92+C113</f>
        <v>1.5</v>
      </c>
      <c r="U31" s="322">
        <f t="shared" ref="U31:Y31" si="5">D71+D92+D113</f>
        <v>1</v>
      </c>
      <c r="V31" s="322">
        <f t="shared" si="5"/>
        <v>2</v>
      </c>
      <c r="W31" s="322">
        <f t="shared" si="5"/>
        <v>3</v>
      </c>
      <c r="X31" s="322">
        <f t="shared" si="5"/>
        <v>3</v>
      </c>
      <c r="Y31" s="322">
        <f t="shared" si="5"/>
        <v>3</v>
      </c>
    </row>
    <row r="32" spans="1:25" ht="13.4" customHeight="1" x14ac:dyDescent="0.25">
      <c r="A32" s="232"/>
      <c r="B32" s="324"/>
      <c r="C32" s="321"/>
      <c r="D32" s="321"/>
      <c r="E32" s="321"/>
      <c r="F32" s="321"/>
      <c r="G32" s="321"/>
      <c r="H32" s="321"/>
      <c r="K32" s="232"/>
      <c r="L32" s="232"/>
      <c r="M32" s="232"/>
      <c r="N32" s="232"/>
      <c r="O32" s="232"/>
      <c r="P32" s="232"/>
      <c r="S32" s="324"/>
      <c r="T32" s="322"/>
      <c r="U32" s="322"/>
      <c r="V32" s="322"/>
      <c r="W32" s="322"/>
      <c r="X32" s="322"/>
      <c r="Y32" s="322"/>
    </row>
    <row r="33" spans="1:33" ht="13.4" customHeight="1" x14ac:dyDescent="0.25">
      <c r="A33" s="232"/>
      <c r="B33" s="323" t="s">
        <v>407</v>
      </c>
      <c r="C33" s="320">
        <f>'New Campus 6-Year'!C54</f>
        <v>0</v>
      </c>
      <c r="D33" s="320">
        <f>'New Campus 6-Year'!D54</f>
        <v>0</v>
      </c>
      <c r="E33" s="320">
        <f>'New Campus 6-Year'!E54</f>
        <v>0</v>
      </c>
      <c r="F33" s="320">
        <f>'New Campus 6-Year'!F54</f>
        <v>0</v>
      </c>
      <c r="G33" s="320">
        <f>'New Campus 6-Year'!G54</f>
        <v>0</v>
      </c>
      <c r="H33" s="320">
        <f>'New Campus 6-Year'!H54</f>
        <v>0</v>
      </c>
      <c r="K33" s="232"/>
      <c r="L33" s="232"/>
      <c r="M33" s="232"/>
      <c r="N33" s="232"/>
      <c r="O33" s="232"/>
      <c r="P33" s="232"/>
      <c r="S33" s="323" t="s">
        <v>407</v>
      </c>
      <c r="T33" s="322">
        <f>C73+C94+C115</f>
        <v>1</v>
      </c>
      <c r="U33" s="322">
        <f t="shared" ref="U33:Y33" si="6">D73+D94+D115</f>
        <v>1</v>
      </c>
      <c r="V33" s="322">
        <f t="shared" si="6"/>
        <v>1</v>
      </c>
      <c r="W33" s="322">
        <f t="shared" si="6"/>
        <v>1</v>
      </c>
      <c r="X33" s="322">
        <f t="shared" si="6"/>
        <v>1</v>
      </c>
      <c r="Y33" s="322">
        <f t="shared" si="6"/>
        <v>1</v>
      </c>
    </row>
    <row r="34" spans="1:33" ht="13.4" customHeight="1" x14ac:dyDescent="0.25">
      <c r="A34" s="232"/>
      <c r="B34" s="324"/>
      <c r="C34" s="321"/>
      <c r="D34" s="321"/>
      <c r="E34" s="321"/>
      <c r="F34" s="321"/>
      <c r="G34" s="321"/>
      <c r="H34" s="321"/>
      <c r="K34" s="232"/>
      <c r="L34" s="232"/>
      <c r="M34" s="232"/>
      <c r="N34" s="232"/>
      <c r="O34" s="232"/>
      <c r="P34" s="232"/>
      <c r="S34" s="324"/>
      <c r="T34" s="322"/>
      <c r="U34" s="322"/>
      <c r="V34" s="322"/>
      <c r="W34" s="322"/>
      <c r="X34" s="322"/>
      <c r="Y34" s="322"/>
    </row>
    <row r="35" spans="1:33" ht="14" x14ac:dyDescent="0.25">
      <c r="A35" s="232"/>
      <c r="B35" s="230" t="s">
        <v>406</v>
      </c>
      <c r="C35" s="268">
        <f>'New Campus 6-Year'!C27</f>
        <v>0</v>
      </c>
      <c r="D35" s="268">
        <f>'New Campus 6-Year'!D27</f>
        <v>28</v>
      </c>
      <c r="E35" s="268">
        <f>'New Campus 6-Year'!E27</f>
        <v>34</v>
      </c>
      <c r="F35" s="268">
        <f>'New Campus 6-Year'!F27</f>
        <v>41</v>
      </c>
      <c r="G35" s="268">
        <f>'New Campus 6-Year'!G27</f>
        <v>47</v>
      </c>
      <c r="H35" s="268">
        <f>'New Campus 6-Year'!H27</f>
        <v>53</v>
      </c>
      <c r="K35" s="232"/>
      <c r="L35" s="232"/>
      <c r="M35" s="232"/>
      <c r="N35" s="232"/>
      <c r="O35" s="232"/>
      <c r="P35" s="232"/>
      <c r="S35" s="230" t="s">
        <v>406</v>
      </c>
      <c r="T35" s="268">
        <f>C75+C96+C117</f>
        <v>18</v>
      </c>
      <c r="U35" s="268">
        <f t="shared" ref="U35:Y44" si="7">D75+D96+D117</f>
        <v>46</v>
      </c>
      <c r="V35" s="268">
        <f t="shared" si="7"/>
        <v>52</v>
      </c>
      <c r="W35" s="268">
        <f t="shared" si="7"/>
        <v>59</v>
      </c>
      <c r="X35" s="268">
        <f t="shared" si="7"/>
        <v>65</v>
      </c>
      <c r="Y35" s="268">
        <f t="shared" si="7"/>
        <v>71</v>
      </c>
    </row>
    <row r="36" spans="1:33" ht="14" x14ac:dyDescent="0.25">
      <c r="A36" s="232"/>
      <c r="B36" s="230" t="s">
        <v>405</v>
      </c>
      <c r="C36" s="268">
        <f>SUM('New Campus 6-Year'!C29:C35)</f>
        <v>0</v>
      </c>
      <c r="D36" s="268">
        <f>SUM('New Campus 6-Year'!D29:D35)</f>
        <v>4.5</v>
      </c>
      <c r="E36" s="268">
        <f>SUM('New Campus 6-Year'!E29:E35)</f>
        <v>6</v>
      </c>
      <c r="F36" s="268">
        <f>SUM('New Campus 6-Year'!F29:F35)</f>
        <v>7</v>
      </c>
      <c r="G36" s="268">
        <f>SUM('New Campus 6-Year'!G29:G35)</f>
        <v>8</v>
      </c>
      <c r="H36" s="268">
        <f>SUM('New Campus 6-Year'!H29:H35)</f>
        <v>9</v>
      </c>
      <c r="K36" s="232"/>
      <c r="L36" s="232"/>
      <c r="M36" s="232"/>
      <c r="N36" s="232"/>
      <c r="O36" s="232"/>
      <c r="P36" s="232"/>
      <c r="S36" s="230" t="s">
        <v>405</v>
      </c>
      <c r="T36" s="268">
        <f t="shared" ref="T36:T44" si="8">C76+C97+C118</f>
        <v>4</v>
      </c>
      <c r="U36" s="268">
        <f t="shared" si="7"/>
        <v>7.5</v>
      </c>
      <c r="V36" s="268">
        <f t="shared" si="7"/>
        <v>9</v>
      </c>
      <c r="W36" s="268">
        <f t="shared" si="7"/>
        <v>10</v>
      </c>
      <c r="X36" s="268">
        <f t="shared" si="7"/>
        <v>11</v>
      </c>
      <c r="Y36" s="268">
        <f t="shared" si="7"/>
        <v>12</v>
      </c>
    </row>
    <row r="37" spans="1:33" ht="14" x14ac:dyDescent="0.25">
      <c r="A37" s="232"/>
      <c r="B37" s="230" t="s">
        <v>404</v>
      </c>
      <c r="C37" s="268">
        <f>'New Campus 6-Year'!C28</f>
        <v>0</v>
      </c>
      <c r="D37" s="268">
        <f>'New Campus 6-Year'!D28</f>
        <v>3</v>
      </c>
      <c r="E37" s="268">
        <f>'New Campus 6-Year'!E28</f>
        <v>3.5</v>
      </c>
      <c r="F37" s="268">
        <f>'New Campus 6-Year'!F28</f>
        <v>4.5</v>
      </c>
      <c r="G37" s="268">
        <f>'New Campus 6-Year'!G28</f>
        <v>5.5</v>
      </c>
      <c r="H37" s="268">
        <f>'New Campus 6-Year'!H28</f>
        <v>7</v>
      </c>
      <c r="K37" s="232"/>
      <c r="L37" s="232"/>
      <c r="M37" s="232"/>
      <c r="N37" s="232"/>
      <c r="O37" s="232"/>
      <c r="P37" s="232"/>
      <c r="S37" s="230" t="s">
        <v>404</v>
      </c>
      <c r="T37" s="268">
        <f t="shared" si="8"/>
        <v>3</v>
      </c>
      <c r="U37" s="268">
        <f t="shared" si="7"/>
        <v>6</v>
      </c>
      <c r="V37" s="268">
        <f t="shared" si="7"/>
        <v>6.5</v>
      </c>
      <c r="W37" s="268">
        <f t="shared" si="7"/>
        <v>7.5</v>
      </c>
      <c r="X37" s="268">
        <f t="shared" si="7"/>
        <v>8.5</v>
      </c>
      <c r="Y37" s="268">
        <f t="shared" si="7"/>
        <v>10</v>
      </c>
    </row>
    <row r="38" spans="1:33" ht="14" x14ac:dyDescent="0.25">
      <c r="A38" s="232"/>
      <c r="B38" s="230" t="s">
        <v>403</v>
      </c>
      <c r="C38" s="268">
        <f>'New Campus 6-Year'!C41+'New Campus 6-Year'!C42</f>
        <v>0</v>
      </c>
      <c r="D38" s="268">
        <f>'New Campus 6-Year'!D41+'New Campus 6-Year'!D42</f>
        <v>1</v>
      </c>
      <c r="E38" s="268">
        <f>'New Campus 6-Year'!E41+'New Campus 6-Year'!E42</f>
        <v>1</v>
      </c>
      <c r="F38" s="268">
        <f>'New Campus 6-Year'!F41+'New Campus 6-Year'!F42</f>
        <v>1</v>
      </c>
      <c r="G38" s="268">
        <f>'New Campus 6-Year'!G41+'New Campus 6-Year'!G42</f>
        <v>1</v>
      </c>
      <c r="H38" s="268">
        <f>'New Campus 6-Year'!H41+'New Campus 6-Year'!H42</f>
        <v>1</v>
      </c>
      <c r="K38" s="232"/>
      <c r="L38" s="232"/>
      <c r="M38" s="232"/>
      <c r="N38" s="232"/>
      <c r="O38" s="232"/>
      <c r="P38" s="232"/>
      <c r="S38" s="230" t="s">
        <v>403</v>
      </c>
      <c r="T38" s="268">
        <f t="shared" si="8"/>
        <v>2</v>
      </c>
      <c r="U38" s="268">
        <f t="shared" si="7"/>
        <v>1</v>
      </c>
      <c r="V38" s="268">
        <f t="shared" si="7"/>
        <v>1</v>
      </c>
      <c r="W38" s="268">
        <f t="shared" si="7"/>
        <v>1</v>
      </c>
      <c r="X38" s="268">
        <f t="shared" si="7"/>
        <v>1</v>
      </c>
      <c r="Y38" s="268">
        <f t="shared" si="7"/>
        <v>1</v>
      </c>
    </row>
    <row r="39" spans="1:33" ht="14" x14ac:dyDescent="0.25">
      <c r="A39" s="232"/>
      <c r="B39" s="230" t="s">
        <v>47</v>
      </c>
      <c r="C39" s="268">
        <f>'New Campus 6-Year'!C58</f>
        <v>0</v>
      </c>
      <c r="D39" s="268">
        <f>'New Campus 6-Year'!D58</f>
        <v>0</v>
      </c>
      <c r="E39" s="268">
        <f>'New Campus 6-Year'!E58</f>
        <v>0</v>
      </c>
      <c r="F39" s="268">
        <f>'New Campus 6-Year'!F58</f>
        <v>0</v>
      </c>
      <c r="G39" s="268">
        <f>'New Campus 6-Year'!G58</f>
        <v>0</v>
      </c>
      <c r="H39" s="268">
        <f>'New Campus 6-Year'!H58</f>
        <v>0</v>
      </c>
      <c r="K39" s="232"/>
      <c r="L39" s="232"/>
      <c r="M39" s="232"/>
      <c r="N39" s="232"/>
      <c r="O39" s="232"/>
      <c r="P39" s="232"/>
      <c r="S39" s="230" t="s">
        <v>47</v>
      </c>
      <c r="T39" s="268">
        <f t="shared" si="8"/>
        <v>0</v>
      </c>
      <c r="U39" s="268">
        <f t="shared" si="7"/>
        <v>0</v>
      </c>
      <c r="V39" s="268">
        <f t="shared" si="7"/>
        <v>0</v>
      </c>
      <c r="W39" s="268">
        <f t="shared" si="7"/>
        <v>0</v>
      </c>
      <c r="X39" s="268">
        <f t="shared" si="7"/>
        <v>0</v>
      </c>
      <c r="Y39" s="268">
        <f t="shared" si="7"/>
        <v>0</v>
      </c>
    </row>
    <row r="40" spans="1:33" ht="14" x14ac:dyDescent="0.25">
      <c r="A40" s="232"/>
      <c r="B40" s="230" t="s">
        <v>402</v>
      </c>
      <c r="C40" s="268">
        <f>'New Campus 6-Year'!C46</f>
        <v>0</v>
      </c>
      <c r="D40" s="268">
        <f>'New Campus 6-Year'!D46</f>
        <v>1</v>
      </c>
      <c r="E40" s="268">
        <f>'New Campus 6-Year'!E46</f>
        <v>1</v>
      </c>
      <c r="F40" s="268">
        <f>'New Campus 6-Year'!F46</f>
        <v>1.5</v>
      </c>
      <c r="G40" s="268">
        <f>'New Campus 6-Year'!G46</f>
        <v>2</v>
      </c>
      <c r="H40" s="268">
        <f>'New Campus 6-Year'!H46</f>
        <v>2</v>
      </c>
      <c r="K40" s="232"/>
      <c r="L40" s="232"/>
      <c r="M40" s="232"/>
      <c r="N40" s="232"/>
      <c r="O40" s="232"/>
      <c r="P40" s="232"/>
      <c r="S40" s="230" t="s">
        <v>402</v>
      </c>
      <c r="T40" s="268">
        <f t="shared" si="8"/>
        <v>1</v>
      </c>
      <c r="U40" s="268">
        <f t="shared" si="7"/>
        <v>2</v>
      </c>
      <c r="V40" s="268">
        <f t="shared" si="7"/>
        <v>2</v>
      </c>
      <c r="W40" s="268">
        <f t="shared" si="7"/>
        <v>2.5</v>
      </c>
      <c r="X40" s="268">
        <f t="shared" si="7"/>
        <v>3</v>
      </c>
      <c r="Y40" s="268">
        <f t="shared" si="7"/>
        <v>3</v>
      </c>
    </row>
    <row r="41" spans="1:33" ht="14" x14ac:dyDescent="0.25">
      <c r="A41" s="232"/>
      <c r="B41" s="230" t="s">
        <v>50</v>
      </c>
      <c r="C41" s="268">
        <f>'New Campus 6-Year'!C47</f>
        <v>0</v>
      </c>
      <c r="D41" s="268">
        <f>'New Campus 6-Year'!D47</f>
        <v>1</v>
      </c>
      <c r="E41" s="268">
        <f>'New Campus 6-Year'!E47</f>
        <v>1</v>
      </c>
      <c r="F41" s="268">
        <f>'New Campus 6-Year'!F47</f>
        <v>1</v>
      </c>
      <c r="G41" s="268">
        <f>'New Campus 6-Year'!G47</f>
        <v>1</v>
      </c>
      <c r="H41" s="268">
        <f>'New Campus 6-Year'!H47</f>
        <v>2</v>
      </c>
      <c r="K41" s="232"/>
      <c r="L41" s="232"/>
      <c r="M41" s="232"/>
      <c r="N41" s="232"/>
      <c r="O41" s="232"/>
      <c r="P41" s="232"/>
      <c r="S41" s="230" t="s">
        <v>50</v>
      </c>
      <c r="T41" s="268">
        <f t="shared" si="8"/>
        <v>1</v>
      </c>
      <c r="U41" s="268">
        <f t="shared" si="7"/>
        <v>2</v>
      </c>
      <c r="V41" s="268">
        <f t="shared" si="7"/>
        <v>2</v>
      </c>
      <c r="W41" s="268">
        <f t="shared" si="7"/>
        <v>2</v>
      </c>
      <c r="X41" s="268">
        <f t="shared" si="7"/>
        <v>2</v>
      </c>
      <c r="Y41" s="268">
        <f t="shared" si="7"/>
        <v>3</v>
      </c>
    </row>
    <row r="42" spans="1:33" ht="14" x14ac:dyDescent="0.25">
      <c r="A42" s="232"/>
      <c r="B42" s="230" t="s">
        <v>401</v>
      </c>
      <c r="C42" s="268">
        <f>'New Campus 6-Year'!C48+'New Campus 6-Year'!C49</f>
        <v>0</v>
      </c>
      <c r="D42" s="268">
        <f>'New Campus 6-Year'!D48+'New Campus 6-Year'!D49</f>
        <v>1</v>
      </c>
      <c r="E42" s="268">
        <f>'New Campus 6-Year'!E48+'New Campus 6-Year'!E49</f>
        <v>2</v>
      </c>
      <c r="F42" s="268">
        <f>'New Campus 6-Year'!F48+'New Campus 6-Year'!F49</f>
        <v>2.5</v>
      </c>
      <c r="G42" s="268">
        <f>'New Campus 6-Year'!G48+'New Campus 6-Year'!G49</f>
        <v>2</v>
      </c>
      <c r="H42" s="268">
        <f>'New Campus 6-Year'!H48+'New Campus 6-Year'!H49</f>
        <v>2</v>
      </c>
      <c r="K42" s="232"/>
      <c r="L42" s="232"/>
      <c r="M42" s="232"/>
      <c r="N42" s="232"/>
      <c r="O42" s="232"/>
      <c r="P42" s="232"/>
      <c r="S42" s="230" t="s">
        <v>401</v>
      </c>
      <c r="T42" s="268">
        <f t="shared" si="8"/>
        <v>1</v>
      </c>
      <c r="U42" s="268">
        <f t="shared" si="7"/>
        <v>2</v>
      </c>
      <c r="V42" s="268">
        <f t="shared" si="7"/>
        <v>3</v>
      </c>
      <c r="W42" s="268">
        <f t="shared" si="7"/>
        <v>3.5</v>
      </c>
      <c r="X42" s="268">
        <f t="shared" si="7"/>
        <v>3</v>
      </c>
      <c r="Y42" s="268">
        <f t="shared" si="7"/>
        <v>3</v>
      </c>
    </row>
    <row r="43" spans="1:33" ht="14" x14ac:dyDescent="0.25">
      <c r="A43" s="232"/>
      <c r="B43" s="230" t="s">
        <v>440</v>
      </c>
      <c r="C43" s="268">
        <f>'New Campus 6-Year'!C50</f>
        <v>0</v>
      </c>
      <c r="D43" s="268">
        <f>'New Campus 6-Year'!D50</f>
        <v>5</v>
      </c>
      <c r="E43" s="268">
        <f>'New Campus 6-Year'!E50</f>
        <v>10</v>
      </c>
      <c r="F43" s="268">
        <f>'New Campus 6-Year'!F50</f>
        <v>12</v>
      </c>
      <c r="G43" s="268">
        <f>'New Campus 6-Year'!G50</f>
        <v>14</v>
      </c>
      <c r="H43" s="268">
        <f>'New Campus 6-Year'!H50</f>
        <v>19</v>
      </c>
      <c r="K43" s="232"/>
      <c r="L43" s="232"/>
      <c r="M43" s="232"/>
      <c r="N43" s="232"/>
      <c r="O43" s="232"/>
      <c r="P43" s="232"/>
      <c r="S43" s="230" t="s">
        <v>440</v>
      </c>
      <c r="T43" s="268">
        <f t="shared" si="8"/>
        <v>10</v>
      </c>
      <c r="U43" s="268">
        <f t="shared" si="7"/>
        <v>15</v>
      </c>
      <c r="V43" s="268">
        <f t="shared" si="7"/>
        <v>20</v>
      </c>
      <c r="W43" s="268">
        <f t="shared" si="7"/>
        <v>22</v>
      </c>
      <c r="X43" s="268">
        <f t="shared" si="7"/>
        <v>24</v>
      </c>
      <c r="Y43" s="268">
        <f t="shared" si="7"/>
        <v>29</v>
      </c>
    </row>
    <row r="44" spans="1:33" ht="14" x14ac:dyDescent="0.25">
      <c r="A44" s="232"/>
      <c r="B44" s="229" t="s">
        <v>399</v>
      </c>
      <c r="C44" s="268">
        <f>'New Campus 6-Year'!C51+'New Campus 6-Year'!C52</f>
        <v>0</v>
      </c>
      <c r="D44" s="268">
        <f>'New Campus 6-Year'!D51+'New Campus 6-Year'!D52</f>
        <v>3</v>
      </c>
      <c r="E44" s="268">
        <f>'New Campus 6-Year'!E51+'New Campus 6-Year'!E52</f>
        <v>3.5</v>
      </c>
      <c r="F44" s="268">
        <f>'New Campus 6-Year'!F51+'New Campus 6-Year'!F52</f>
        <v>4</v>
      </c>
      <c r="G44" s="268">
        <f>'New Campus 6-Year'!G51+'New Campus 6-Year'!G52</f>
        <v>6</v>
      </c>
      <c r="H44" s="268">
        <f>'New Campus 6-Year'!H51+'New Campus 6-Year'!H52</f>
        <v>7</v>
      </c>
      <c r="K44" s="232"/>
      <c r="L44" s="232"/>
      <c r="M44" s="232"/>
      <c r="N44" s="232"/>
      <c r="O44" s="232"/>
      <c r="P44" s="232"/>
      <c r="S44" s="229" t="s">
        <v>399</v>
      </c>
      <c r="T44" s="268">
        <f t="shared" si="8"/>
        <v>0</v>
      </c>
      <c r="U44" s="268">
        <f t="shared" si="7"/>
        <v>3</v>
      </c>
      <c r="V44" s="268">
        <f t="shared" si="7"/>
        <v>3.5</v>
      </c>
      <c r="W44" s="268">
        <f t="shared" si="7"/>
        <v>4</v>
      </c>
      <c r="X44" s="268">
        <f t="shared" si="7"/>
        <v>6</v>
      </c>
      <c r="Y44" s="268">
        <f t="shared" si="7"/>
        <v>7</v>
      </c>
    </row>
    <row r="45" spans="1:33" ht="14" x14ac:dyDescent="0.25">
      <c r="A45" s="232"/>
      <c r="B45" s="261" t="s">
        <v>439</v>
      </c>
      <c r="C45" s="260">
        <f t="shared" ref="C45:H45" si="9">SUM(C27:C44)</f>
        <v>0</v>
      </c>
      <c r="D45" s="260">
        <f t="shared" si="9"/>
        <v>49.5</v>
      </c>
      <c r="E45" s="260">
        <f t="shared" si="9"/>
        <v>67</v>
      </c>
      <c r="F45" s="260">
        <f t="shared" si="9"/>
        <v>82.5</v>
      </c>
      <c r="G45" s="260">
        <f t="shared" si="9"/>
        <v>95.5</v>
      </c>
      <c r="H45" s="260">
        <f t="shared" si="9"/>
        <v>112</v>
      </c>
      <c r="K45" s="232" t="b">
        <f>C45='New Campus 6-Year'!C65</f>
        <v>1</v>
      </c>
      <c r="L45" s="232" t="b">
        <f>D45='New Campus 6-Year'!D65</f>
        <v>1</v>
      </c>
      <c r="M45" s="232" t="b">
        <f>E45='New Campus 6-Year'!E65</f>
        <v>1</v>
      </c>
      <c r="N45" s="232" t="b">
        <f>F45='New Campus 6-Year'!F65</f>
        <v>1</v>
      </c>
      <c r="O45" s="232" t="b">
        <f>G45='New Campus 6-Year'!G65</f>
        <v>1</v>
      </c>
      <c r="P45" s="232" t="b">
        <f>H45='New Campus 6-Year'!H65</f>
        <v>1</v>
      </c>
      <c r="Q45" s="232"/>
      <c r="S45" s="261" t="s">
        <v>439</v>
      </c>
      <c r="T45" s="260">
        <f t="shared" ref="T45:Y45" si="10">SUM(T27:T44)</f>
        <v>45.5</v>
      </c>
      <c r="U45" s="260">
        <f t="shared" si="10"/>
        <v>91.5</v>
      </c>
      <c r="V45" s="260">
        <f t="shared" si="10"/>
        <v>109</v>
      </c>
      <c r="W45" s="260">
        <f t="shared" si="10"/>
        <v>124.5</v>
      </c>
      <c r="X45" s="260">
        <f t="shared" si="10"/>
        <v>137.5</v>
      </c>
      <c r="Y45" s="260">
        <f t="shared" si="10"/>
        <v>154</v>
      </c>
      <c r="AB45" s="223" t="b">
        <f>T45='System 6-Year'!C65</f>
        <v>1</v>
      </c>
      <c r="AC45" s="223" t="b">
        <f>U45='System 6-Year'!D65</f>
        <v>1</v>
      </c>
      <c r="AD45" s="223" t="b">
        <f>V45='System 6-Year'!E65</f>
        <v>1</v>
      </c>
      <c r="AE45" s="223" t="b">
        <f>W45='System 6-Year'!F65</f>
        <v>1</v>
      </c>
      <c r="AF45" s="223" t="b">
        <f>X45='System 6-Year'!G65</f>
        <v>1</v>
      </c>
      <c r="AG45" s="223" t="b">
        <f>Y45='System 6-Year'!H65</f>
        <v>1</v>
      </c>
    </row>
    <row r="46" spans="1:33" ht="14" x14ac:dyDescent="0.25">
      <c r="A46" s="232"/>
      <c r="B46" s="289"/>
      <c r="K46" s="232"/>
      <c r="L46" s="232"/>
      <c r="M46" s="232"/>
      <c r="N46" s="232"/>
      <c r="O46" s="232"/>
      <c r="P46" s="232"/>
    </row>
    <row r="47" spans="1:33" ht="14.5" thickBot="1" x14ac:dyDescent="0.35">
      <c r="A47" s="232"/>
      <c r="B47" s="288" t="s">
        <v>438</v>
      </c>
      <c r="K47" s="232"/>
      <c r="L47" s="232"/>
      <c r="M47" s="232"/>
      <c r="N47" s="232"/>
      <c r="O47" s="232"/>
      <c r="P47" s="232"/>
    </row>
    <row r="48" spans="1:33" ht="16.5" customHeight="1" thickTop="1" thickBot="1" x14ac:dyDescent="0.3">
      <c r="A48" s="232"/>
      <c r="B48" s="287" t="s">
        <v>437</v>
      </c>
      <c r="C48" s="286" t="s">
        <v>436</v>
      </c>
      <c r="D48" s="286" t="s">
        <v>435</v>
      </c>
      <c r="E48" s="285" t="s">
        <v>434</v>
      </c>
      <c r="F48" s="285" t="s">
        <v>433</v>
      </c>
      <c r="G48" s="285" t="s">
        <v>432</v>
      </c>
      <c r="H48" s="285" t="s">
        <v>483</v>
      </c>
      <c r="K48" s="232"/>
      <c r="L48" s="232"/>
      <c r="M48" s="232"/>
      <c r="N48" s="232"/>
      <c r="O48" s="232"/>
      <c r="P48" s="232"/>
    </row>
    <row r="49" spans="1:16" ht="14.5" thickTop="1" x14ac:dyDescent="0.25">
      <c r="A49" s="232"/>
      <c r="B49" s="230" t="s">
        <v>431</v>
      </c>
      <c r="C49" s="268">
        <v>1</v>
      </c>
      <c r="D49" s="268">
        <v>2</v>
      </c>
      <c r="E49" s="268">
        <v>2</v>
      </c>
      <c r="F49" s="268">
        <v>2</v>
      </c>
      <c r="G49" s="268">
        <v>2</v>
      </c>
      <c r="H49" s="268">
        <v>2</v>
      </c>
      <c r="M49" s="232"/>
      <c r="N49" s="232"/>
      <c r="O49" s="232"/>
      <c r="P49" s="232"/>
    </row>
    <row r="50" spans="1:16" ht="14" x14ac:dyDescent="0.25">
      <c r="A50" s="232"/>
      <c r="B50" s="230" t="s">
        <v>430</v>
      </c>
      <c r="C50" s="268">
        <v>1</v>
      </c>
      <c r="D50" s="268">
        <v>2</v>
      </c>
      <c r="E50" s="268">
        <v>2</v>
      </c>
      <c r="F50" s="268">
        <v>2</v>
      </c>
      <c r="G50" s="268">
        <v>2</v>
      </c>
      <c r="H50" s="268">
        <v>2</v>
      </c>
      <c r="M50" s="232"/>
      <c r="N50" s="232"/>
      <c r="O50" s="232"/>
      <c r="P50" s="232"/>
    </row>
    <row r="51" spans="1:16" ht="14" x14ac:dyDescent="0.25">
      <c r="A51" s="232"/>
      <c r="B51" s="229" t="s">
        <v>429</v>
      </c>
      <c r="C51" s="284">
        <v>0</v>
      </c>
      <c r="D51" s="284">
        <v>1</v>
      </c>
      <c r="E51" s="284">
        <v>1</v>
      </c>
      <c r="F51" s="284">
        <v>1</v>
      </c>
      <c r="G51" s="284">
        <v>1</v>
      </c>
      <c r="H51" s="284">
        <v>1</v>
      </c>
      <c r="M51" s="232"/>
      <c r="N51" s="232"/>
      <c r="O51" s="232"/>
      <c r="P51" s="232"/>
    </row>
    <row r="52" spans="1:16" ht="14" x14ac:dyDescent="0.25">
      <c r="A52" s="232"/>
      <c r="B52" s="263" t="s">
        <v>428</v>
      </c>
      <c r="C52" s="262">
        <f t="shared" ref="C52:H52" si="11">SUM(C49:C51)</f>
        <v>2</v>
      </c>
      <c r="D52" s="262">
        <f t="shared" si="11"/>
        <v>5</v>
      </c>
      <c r="E52" s="262">
        <f t="shared" si="11"/>
        <v>5</v>
      </c>
      <c r="F52" s="262">
        <f t="shared" si="11"/>
        <v>5</v>
      </c>
      <c r="G52" s="262">
        <f t="shared" si="11"/>
        <v>5</v>
      </c>
      <c r="H52" s="262">
        <f t="shared" si="11"/>
        <v>5</v>
      </c>
      <c r="M52" s="232"/>
      <c r="N52" s="232"/>
      <c r="O52" s="232"/>
      <c r="P52" s="232"/>
    </row>
    <row r="53" spans="1:16" ht="14" x14ac:dyDescent="0.25">
      <c r="A53" s="232"/>
      <c r="B53" s="283" t="s">
        <v>427</v>
      </c>
      <c r="C53" s="260">
        <f>'System 6-Year'!B17</f>
        <v>498</v>
      </c>
      <c r="D53" s="260">
        <f>'System 6-Year'!C17</f>
        <v>498</v>
      </c>
      <c r="E53" s="260">
        <f>'System 6-Year'!D17</f>
        <v>1232</v>
      </c>
      <c r="F53" s="260">
        <f>'System 6-Year'!E17</f>
        <v>1408</v>
      </c>
      <c r="G53" s="260">
        <f>'System 6-Year'!F17</f>
        <v>1610</v>
      </c>
      <c r="H53" s="260">
        <f>'System 6-Year'!G17</f>
        <v>1779</v>
      </c>
      <c r="I53" s="260"/>
      <c r="M53" s="232"/>
      <c r="N53" s="232"/>
      <c r="O53" s="232"/>
      <c r="P53" s="232"/>
    </row>
    <row r="54" spans="1:16" ht="14" x14ac:dyDescent="0.25">
      <c r="A54" s="232"/>
      <c r="B54" s="282"/>
      <c r="C54" s="282"/>
      <c r="D54" s="282"/>
      <c r="E54" s="282"/>
      <c r="F54" s="282"/>
      <c r="G54" s="282"/>
      <c r="H54" s="282"/>
      <c r="M54" s="232"/>
      <c r="N54" s="232"/>
      <c r="O54" s="232"/>
      <c r="P54" s="232"/>
    </row>
    <row r="55" spans="1:16" ht="14" x14ac:dyDescent="0.25">
      <c r="A55" s="232"/>
      <c r="B55" s="281" t="s">
        <v>426</v>
      </c>
      <c r="C55" s="277"/>
      <c r="D55" s="277"/>
      <c r="E55" s="277"/>
      <c r="F55" s="277"/>
      <c r="G55" s="277"/>
      <c r="H55" s="280"/>
      <c r="K55" s="232"/>
      <c r="L55" s="232"/>
      <c r="M55" s="232"/>
      <c r="N55" s="232"/>
      <c r="O55" s="232"/>
      <c r="P55" s="232"/>
    </row>
    <row r="56" spans="1:16" ht="14" x14ac:dyDescent="0.25">
      <c r="A56" s="232"/>
      <c r="B56" s="279" t="s">
        <v>425</v>
      </c>
      <c r="C56" s="278">
        <v>1</v>
      </c>
      <c r="D56" s="278">
        <v>1</v>
      </c>
      <c r="E56" s="278">
        <v>1</v>
      </c>
      <c r="F56" s="278">
        <v>1</v>
      </c>
      <c r="G56" s="278">
        <v>1</v>
      </c>
      <c r="H56" s="278">
        <v>1</v>
      </c>
      <c r="K56" s="232"/>
      <c r="L56" s="232"/>
      <c r="M56" s="232"/>
      <c r="N56" s="232"/>
      <c r="O56" s="232"/>
      <c r="P56" s="232"/>
    </row>
    <row r="57" spans="1:16" ht="14" x14ac:dyDescent="0.25">
      <c r="A57" s="232"/>
      <c r="B57" s="230" t="s">
        <v>424</v>
      </c>
      <c r="C57" s="278">
        <v>1</v>
      </c>
      <c r="D57" s="278">
        <v>1</v>
      </c>
      <c r="E57" s="278">
        <v>1</v>
      </c>
      <c r="F57" s="278">
        <v>1</v>
      </c>
      <c r="G57" s="278">
        <v>1</v>
      </c>
      <c r="H57" s="278">
        <v>1</v>
      </c>
      <c r="K57" s="232"/>
      <c r="L57" s="232"/>
      <c r="M57" s="232"/>
      <c r="N57" s="232"/>
      <c r="O57" s="232"/>
      <c r="P57" s="232"/>
    </row>
    <row r="58" spans="1:16" ht="14" x14ac:dyDescent="0.25">
      <c r="A58" s="232"/>
      <c r="B58" s="230" t="s">
        <v>423</v>
      </c>
      <c r="C58" s="278">
        <v>1</v>
      </c>
      <c r="D58" s="278">
        <v>1</v>
      </c>
      <c r="E58" s="278">
        <v>1</v>
      </c>
      <c r="F58" s="278">
        <v>1</v>
      </c>
      <c r="G58" s="278">
        <v>1</v>
      </c>
      <c r="H58" s="278">
        <v>1</v>
      </c>
      <c r="K58" s="232"/>
      <c r="L58" s="232"/>
      <c r="M58" s="232"/>
      <c r="N58" s="232"/>
      <c r="O58" s="232"/>
      <c r="P58" s="232"/>
    </row>
    <row r="59" spans="1:16" ht="14" x14ac:dyDescent="0.25">
      <c r="A59" s="232"/>
      <c r="B59" s="230" t="s">
        <v>422</v>
      </c>
      <c r="C59" s="278">
        <v>1</v>
      </c>
      <c r="D59" s="278">
        <v>1</v>
      </c>
      <c r="E59" s="278">
        <v>1</v>
      </c>
      <c r="F59" s="278">
        <v>1</v>
      </c>
      <c r="G59" s="278">
        <v>1</v>
      </c>
      <c r="H59" s="278">
        <v>1</v>
      </c>
      <c r="K59" s="232"/>
      <c r="L59" s="232"/>
      <c r="M59" s="232"/>
      <c r="N59" s="232"/>
      <c r="O59" s="232"/>
      <c r="P59" s="232"/>
    </row>
    <row r="60" spans="1:16" ht="14" x14ac:dyDescent="0.25">
      <c r="A60" s="232"/>
      <c r="B60" s="230" t="s">
        <v>421</v>
      </c>
      <c r="C60" s="278">
        <v>1</v>
      </c>
      <c r="D60" s="278">
        <v>1</v>
      </c>
      <c r="E60" s="278">
        <v>1</v>
      </c>
      <c r="F60" s="278">
        <v>1</v>
      </c>
      <c r="G60" s="278">
        <v>1</v>
      </c>
      <c r="H60" s="278">
        <v>1</v>
      </c>
      <c r="K60" s="232"/>
      <c r="L60" s="232"/>
      <c r="M60" s="232"/>
      <c r="N60" s="232"/>
      <c r="O60" s="232"/>
      <c r="P60" s="232"/>
    </row>
    <row r="61" spans="1:16" ht="14" x14ac:dyDescent="0.25">
      <c r="A61" s="232"/>
      <c r="B61" s="230" t="s">
        <v>420</v>
      </c>
      <c r="C61" s="278">
        <v>1</v>
      </c>
      <c r="D61" s="278">
        <v>1</v>
      </c>
      <c r="E61" s="278">
        <v>1</v>
      </c>
      <c r="F61" s="278">
        <v>1</v>
      </c>
      <c r="G61" s="278">
        <v>1</v>
      </c>
      <c r="H61" s="278">
        <v>1</v>
      </c>
      <c r="K61" s="232"/>
      <c r="L61" s="232"/>
      <c r="M61" s="232"/>
      <c r="N61" s="232"/>
      <c r="O61" s="232"/>
      <c r="P61" s="232"/>
    </row>
    <row r="62" spans="1:16" ht="28" x14ac:dyDescent="0.25">
      <c r="A62" s="232"/>
      <c r="B62" s="230" t="s">
        <v>419</v>
      </c>
      <c r="C62" s="268">
        <v>2</v>
      </c>
      <c r="D62" s="268">
        <v>2</v>
      </c>
      <c r="E62" s="268">
        <v>2</v>
      </c>
      <c r="F62" s="268">
        <v>2</v>
      </c>
      <c r="G62" s="268">
        <v>2</v>
      </c>
      <c r="H62" s="268">
        <v>2</v>
      </c>
      <c r="K62" s="232"/>
      <c r="L62" s="232"/>
      <c r="M62" s="232"/>
      <c r="N62" s="232"/>
      <c r="O62" s="232"/>
      <c r="P62" s="232"/>
    </row>
    <row r="63" spans="1:16" ht="14" x14ac:dyDescent="0.25">
      <c r="A63" s="232"/>
      <c r="B63" s="229" t="s">
        <v>418</v>
      </c>
      <c r="C63" s="278">
        <v>1</v>
      </c>
      <c r="D63" s="278">
        <v>1</v>
      </c>
      <c r="E63" s="278">
        <v>1</v>
      </c>
      <c r="F63" s="278">
        <v>1</v>
      </c>
      <c r="G63" s="278">
        <v>1</v>
      </c>
      <c r="H63" s="278">
        <v>1</v>
      </c>
      <c r="K63" s="232"/>
      <c r="L63" s="232"/>
      <c r="M63" s="232"/>
      <c r="N63" s="232"/>
      <c r="O63" s="232"/>
      <c r="P63" s="232"/>
    </row>
    <row r="64" spans="1:16" ht="14" x14ac:dyDescent="0.25">
      <c r="A64" s="232"/>
      <c r="B64" s="261" t="s">
        <v>417</v>
      </c>
      <c r="C64" s="260">
        <f t="shared" ref="C64:H64" si="12">SUM(C56:C63)</f>
        <v>9</v>
      </c>
      <c r="D64" s="260">
        <f t="shared" si="12"/>
        <v>9</v>
      </c>
      <c r="E64" s="260">
        <f t="shared" si="12"/>
        <v>9</v>
      </c>
      <c r="F64" s="260">
        <f t="shared" si="12"/>
        <v>9</v>
      </c>
      <c r="G64" s="260">
        <f t="shared" si="12"/>
        <v>9</v>
      </c>
      <c r="H64" s="260">
        <f t="shared" si="12"/>
        <v>9</v>
      </c>
      <c r="K64" s="232"/>
      <c r="L64" s="232"/>
      <c r="M64" s="232"/>
      <c r="N64" s="232"/>
      <c r="O64" s="232"/>
      <c r="P64" s="232"/>
    </row>
    <row r="65" spans="1:21" ht="14" x14ac:dyDescent="0.25">
      <c r="A65" s="232"/>
      <c r="B65" s="271"/>
      <c r="C65" s="271"/>
      <c r="D65" s="271"/>
      <c r="E65" s="271"/>
      <c r="F65" s="271"/>
      <c r="G65" s="271"/>
      <c r="H65" s="271"/>
      <c r="K65" s="232"/>
      <c r="L65" s="232"/>
      <c r="M65" s="232"/>
      <c r="N65" s="232"/>
      <c r="O65" s="232"/>
      <c r="P65" s="232"/>
    </row>
    <row r="66" spans="1:21" ht="14" x14ac:dyDescent="0.25">
      <c r="A66" s="232"/>
      <c r="B66" s="277" t="s">
        <v>416</v>
      </c>
      <c r="C66" s="277"/>
      <c r="D66" s="277"/>
      <c r="E66" s="277"/>
      <c r="F66" s="277"/>
      <c r="G66" s="277"/>
      <c r="H66" s="277"/>
      <c r="K66" s="232"/>
      <c r="L66" s="232"/>
      <c r="M66" s="232"/>
      <c r="N66" s="232"/>
      <c r="O66" s="232"/>
      <c r="P66" s="232"/>
    </row>
    <row r="67" spans="1:21" ht="14" x14ac:dyDescent="0.25">
      <c r="A67" s="232"/>
      <c r="B67" s="230" t="s">
        <v>411</v>
      </c>
      <c r="C67" s="267">
        <f>'System 6-Year'!C39/2</f>
        <v>0.5</v>
      </c>
      <c r="D67" s="267">
        <f>'System 6-Year'!D39/3</f>
        <v>0.66666666666666663</v>
      </c>
      <c r="E67" s="267">
        <f>'System 6-Year'!E39/3</f>
        <v>0.66666666666666663</v>
      </c>
      <c r="F67" s="267">
        <f>'System 6-Year'!F39/3</f>
        <v>0.66666666666666663</v>
      </c>
      <c r="G67" s="267">
        <f>'System 6-Year'!G39/3</f>
        <v>0.66666666666666663</v>
      </c>
      <c r="H67" s="267">
        <f>'System 6-Year'!H39/3</f>
        <v>0.66666666666666663</v>
      </c>
      <c r="J67" s="232"/>
      <c r="K67" s="232"/>
      <c r="L67" s="232"/>
      <c r="M67" s="232"/>
      <c r="N67" s="232"/>
      <c r="O67" s="232"/>
      <c r="P67" s="232"/>
    </row>
    <row r="68" spans="1:21" ht="14" x14ac:dyDescent="0.25">
      <c r="A68" s="232"/>
      <c r="B68" s="230" t="s">
        <v>410</v>
      </c>
      <c r="C68" s="267">
        <f>'System 6-Year'!C40/2</f>
        <v>0.5</v>
      </c>
      <c r="D68" s="267">
        <f>'System 6-Year'!D40/3</f>
        <v>0.66666666666666663</v>
      </c>
      <c r="E68" s="267">
        <f>'System 6-Year'!E40/3</f>
        <v>1</v>
      </c>
      <c r="F68" s="267">
        <f>'System 6-Year'!F40/3</f>
        <v>1</v>
      </c>
      <c r="G68" s="267">
        <f>'System 6-Year'!G40/3</f>
        <v>1.3333333333333333</v>
      </c>
      <c r="H68" s="267">
        <f>'System 6-Year'!H40/3</f>
        <v>1.3333333333333333</v>
      </c>
      <c r="J68" s="232"/>
      <c r="K68" s="232"/>
      <c r="L68" s="232"/>
      <c r="M68" s="232"/>
      <c r="N68" s="232"/>
      <c r="O68" s="232"/>
      <c r="P68" s="232"/>
    </row>
    <row r="69" spans="1:21" ht="13.4" customHeight="1" x14ac:dyDescent="0.25">
      <c r="A69" s="232"/>
      <c r="B69" s="323" t="s">
        <v>409</v>
      </c>
      <c r="C69" s="319">
        <f>('System 6-Year'!C44+'System 6-Year'!C45)/2</f>
        <v>0.5</v>
      </c>
      <c r="D69" s="319">
        <f>('System 6-Year'!D44+'System 6-Year'!D45)/3</f>
        <v>0.33333333333333331</v>
      </c>
      <c r="E69" s="319">
        <f>('System 6-Year'!E44+'System 6-Year'!E45)/3</f>
        <v>0.66666666666666663</v>
      </c>
      <c r="F69" s="319">
        <f>('System 6-Year'!F44+'System 6-Year'!F45)/3</f>
        <v>1.3333333333333333</v>
      </c>
      <c r="G69" s="319">
        <f>('System 6-Year'!G44+'System 6-Year'!G45)/3</f>
        <v>1.3333333333333333</v>
      </c>
      <c r="H69" s="319">
        <f>('System 6-Year'!H44+'System 6-Year'!H45)/3</f>
        <v>1.6666666666666667</v>
      </c>
      <c r="J69" s="232"/>
      <c r="K69" s="232"/>
      <c r="L69" s="232"/>
      <c r="M69" s="232"/>
      <c r="N69" s="232"/>
      <c r="O69" s="232"/>
      <c r="P69" s="232"/>
      <c r="U69" s="276"/>
    </row>
    <row r="70" spans="1:21" ht="13.4" customHeight="1" x14ac:dyDescent="0.25">
      <c r="A70" s="232"/>
      <c r="B70" s="324"/>
      <c r="C70" s="319"/>
      <c r="D70" s="319"/>
      <c r="E70" s="319"/>
      <c r="F70" s="319"/>
      <c r="G70" s="319"/>
      <c r="H70" s="319"/>
      <c r="J70" s="232"/>
      <c r="K70" s="232"/>
      <c r="L70" s="232"/>
      <c r="M70" s="232"/>
      <c r="N70" s="232"/>
      <c r="O70" s="232"/>
      <c r="P70" s="232"/>
    </row>
    <row r="71" spans="1:21" ht="13.4" customHeight="1" x14ac:dyDescent="0.25">
      <c r="A71" s="232"/>
      <c r="B71" s="323" t="s">
        <v>408</v>
      </c>
      <c r="C71" s="319">
        <f>'System 6-Year'!C43/2</f>
        <v>0.75</v>
      </c>
      <c r="D71" s="319">
        <f>'System 6-Year'!D43/3</f>
        <v>0.33333333333333331</v>
      </c>
      <c r="E71" s="319">
        <f>'System 6-Year'!E43/3</f>
        <v>0.66666666666666663</v>
      </c>
      <c r="F71" s="319">
        <f>'System 6-Year'!F43/3</f>
        <v>1</v>
      </c>
      <c r="G71" s="319">
        <f>'System 6-Year'!G43/3</f>
        <v>1</v>
      </c>
      <c r="H71" s="319">
        <f>'System 6-Year'!H43/3</f>
        <v>1</v>
      </c>
      <c r="J71" s="232"/>
      <c r="K71" s="232"/>
      <c r="L71" s="232"/>
      <c r="M71" s="232"/>
      <c r="N71" s="232"/>
      <c r="O71" s="232"/>
      <c r="P71" s="232"/>
    </row>
    <row r="72" spans="1:21" ht="13.4" customHeight="1" x14ac:dyDescent="0.25">
      <c r="A72" s="232"/>
      <c r="B72" s="324"/>
      <c r="C72" s="319"/>
      <c r="D72" s="319"/>
      <c r="E72" s="319"/>
      <c r="F72" s="319"/>
      <c r="G72" s="319"/>
      <c r="H72" s="319"/>
      <c r="J72" s="232"/>
      <c r="K72" s="232"/>
      <c r="L72" s="232"/>
      <c r="M72" s="232"/>
      <c r="N72" s="232"/>
      <c r="O72" s="232"/>
      <c r="P72" s="232"/>
    </row>
    <row r="73" spans="1:21" ht="13.4" customHeight="1" x14ac:dyDescent="0.25">
      <c r="A73" s="232"/>
      <c r="B73" s="323" t="s">
        <v>407</v>
      </c>
      <c r="C73" s="319">
        <f>('System 6-Year'!C54+'System 6-Year'!C55+'System 6-Year'!C56+'System 6-Year'!C57)/2</f>
        <v>0.5</v>
      </c>
      <c r="D73" s="319">
        <f>SUM('System 6-Year'!D54:D57)/3</f>
        <v>0.33333333333333331</v>
      </c>
      <c r="E73" s="319">
        <f>SUM('System 6-Year'!E54:E57)/3</f>
        <v>0.33333333333333331</v>
      </c>
      <c r="F73" s="319">
        <f>SUM('System 6-Year'!F54:F57)/3</f>
        <v>0.33333333333333331</v>
      </c>
      <c r="G73" s="319">
        <f>SUM('System 6-Year'!G54:G57)/3</f>
        <v>0.33333333333333331</v>
      </c>
      <c r="H73" s="319">
        <f>SUM('System 6-Year'!H54:H57)/3</f>
        <v>0.33333333333333331</v>
      </c>
      <c r="J73" s="232"/>
      <c r="K73" s="232"/>
      <c r="L73" s="232"/>
      <c r="M73" s="232"/>
      <c r="N73" s="232"/>
      <c r="O73" s="232"/>
      <c r="P73" s="232"/>
    </row>
    <row r="74" spans="1:21" ht="13.4" customHeight="1" x14ac:dyDescent="0.25">
      <c r="A74" s="232"/>
      <c r="B74" s="324"/>
      <c r="C74" s="319"/>
      <c r="D74" s="319"/>
      <c r="E74" s="319"/>
      <c r="F74" s="319"/>
      <c r="G74" s="319"/>
      <c r="H74" s="319"/>
      <c r="J74" s="232"/>
      <c r="K74" s="232"/>
      <c r="L74" s="232"/>
      <c r="M74" s="232"/>
      <c r="N74" s="232"/>
      <c r="O74" s="232"/>
      <c r="P74" s="232"/>
    </row>
    <row r="75" spans="1:21" ht="14" x14ac:dyDescent="0.25">
      <c r="A75" s="232"/>
      <c r="B75" s="230" t="s">
        <v>406</v>
      </c>
      <c r="C75" s="267">
        <f>SUM('System 6-Year'!K4:K9)</f>
        <v>12</v>
      </c>
      <c r="D75" s="267">
        <f>SUM('System 6-Year'!L4:L9)</f>
        <v>37</v>
      </c>
      <c r="E75" s="267">
        <f>SUM('System 6-Year'!M4:M9)</f>
        <v>39</v>
      </c>
      <c r="F75" s="267">
        <f>SUM('System 6-Year'!N4:N9)</f>
        <v>41</v>
      </c>
      <c r="G75" s="267">
        <f>SUM('System 6-Year'!O4:O9)</f>
        <v>42</v>
      </c>
      <c r="H75" s="267">
        <f>SUM('System 6-Year'!P4:P9)</f>
        <v>42</v>
      </c>
      <c r="J75" s="232"/>
      <c r="K75" s="232"/>
      <c r="L75" s="232"/>
      <c r="M75" s="232"/>
      <c r="N75" s="232"/>
      <c r="O75" s="232"/>
      <c r="P75" s="232"/>
    </row>
    <row r="76" spans="1:21" ht="14" x14ac:dyDescent="0.25">
      <c r="A76" s="232"/>
      <c r="B76" s="230" t="s">
        <v>405</v>
      </c>
      <c r="C76" s="267">
        <f>'System 6-Year'!K28</f>
        <v>3</v>
      </c>
      <c r="D76" s="267">
        <f>SUM('System 6-Year'!D29:D35)/3</f>
        <v>2.5</v>
      </c>
      <c r="E76" s="267">
        <f>SUM('System 6-Year'!E29:E35)/3</f>
        <v>3</v>
      </c>
      <c r="F76" s="267">
        <f>SUM('System 6-Year'!F29:F35)/3</f>
        <v>3.3333333333333335</v>
      </c>
      <c r="G76" s="267">
        <f>SUM('System 6-Year'!G29:G35)/3</f>
        <v>3.6666666666666665</v>
      </c>
      <c r="H76" s="267">
        <f>SUM('System 6-Year'!H29:H35)/3</f>
        <v>4</v>
      </c>
      <c r="J76" s="232"/>
      <c r="K76" s="232"/>
      <c r="L76" s="232"/>
      <c r="M76" s="232"/>
      <c r="N76" s="232"/>
      <c r="O76" s="232"/>
      <c r="P76" s="232"/>
    </row>
    <row r="77" spans="1:21" ht="14" x14ac:dyDescent="0.25">
      <c r="A77" s="232"/>
      <c r="B77" s="230" t="s">
        <v>404</v>
      </c>
      <c r="C77" s="267">
        <f>'System 6-Year'!C28/2</f>
        <v>1.5</v>
      </c>
      <c r="D77" s="267">
        <f>'System 6-Year'!D28/3</f>
        <v>2</v>
      </c>
      <c r="E77" s="267">
        <f>'System 6-Year'!E28/3</f>
        <v>2.1666666666666665</v>
      </c>
      <c r="F77" s="267">
        <f>'System 6-Year'!F28/3</f>
        <v>2.5</v>
      </c>
      <c r="G77" s="267">
        <f>'System 6-Year'!G28/3</f>
        <v>2.8333333333333335</v>
      </c>
      <c r="H77" s="267">
        <f>'System 6-Year'!H28/3</f>
        <v>3.3333333333333335</v>
      </c>
      <c r="J77" s="232"/>
      <c r="K77" s="232"/>
      <c r="L77" s="232"/>
      <c r="M77" s="232"/>
      <c r="N77" s="232"/>
      <c r="O77" s="232"/>
      <c r="P77" s="232"/>
    </row>
    <row r="78" spans="1:21" ht="14" x14ac:dyDescent="0.25">
      <c r="A78" s="232"/>
      <c r="B78" s="230" t="s">
        <v>403</v>
      </c>
      <c r="C78" s="267">
        <f>('System 6-Year'!C41+'System 6-Year'!C42)/2</f>
        <v>1</v>
      </c>
      <c r="D78" s="267">
        <f>('System 6-Year'!D41+'System 6-Year'!D42)/3</f>
        <v>0.33333333333333331</v>
      </c>
      <c r="E78" s="267">
        <f>('System 6-Year'!E41+'System 6-Year'!E42)/3</f>
        <v>0.33333333333333331</v>
      </c>
      <c r="F78" s="267">
        <f>('System 6-Year'!F41+'System 6-Year'!F42)/3</f>
        <v>0.33333333333333331</v>
      </c>
      <c r="G78" s="267">
        <f>('System 6-Year'!G41+'System 6-Year'!G42)/3</f>
        <v>0.33333333333333331</v>
      </c>
      <c r="H78" s="267">
        <f>('System 6-Year'!H41+'System 6-Year'!H42)/3</f>
        <v>0.33333333333333331</v>
      </c>
      <c r="J78" s="232"/>
      <c r="K78" s="232"/>
      <c r="L78" s="232"/>
      <c r="M78" s="232"/>
      <c r="N78" s="232"/>
      <c r="O78" s="232"/>
      <c r="P78" s="232"/>
    </row>
    <row r="79" spans="1:21" ht="14" x14ac:dyDescent="0.25">
      <c r="A79" s="232"/>
      <c r="B79" s="230" t="s">
        <v>47</v>
      </c>
      <c r="C79" s="267">
        <f>'System 6-Year'!C58/2</f>
        <v>0</v>
      </c>
      <c r="D79" s="267">
        <f>'System 6-Year'!D58/3</f>
        <v>0</v>
      </c>
      <c r="E79" s="267">
        <f>'System 6-Year'!E58/3</f>
        <v>0</v>
      </c>
      <c r="F79" s="267">
        <f>'System 6-Year'!F58/3</f>
        <v>0</v>
      </c>
      <c r="G79" s="267">
        <f>'System 6-Year'!G58/3</f>
        <v>0</v>
      </c>
      <c r="H79" s="267">
        <f>'System 6-Year'!H58/3</f>
        <v>0</v>
      </c>
      <c r="J79" s="232"/>
      <c r="K79" s="232"/>
      <c r="L79" s="232"/>
      <c r="M79" s="232"/>
      <c r="N79" s="232"/>
      <c r="O79" s="232"/>
      <c r="P79" s="232"/>
    </row>
    <row r="80" spans="1:21" ht="14" x14ac:dyDescent="0.25">
      <c r="A80" s="232"/>
      <c r="B80" s="230" t="s">
        <v>402</v>
      </c>
      <c r="C80" s="267">
        <f>'System 6-Year'!C46/2</f>
        <v>0.5</v>
      </c>
      <c r="D80" s="267">
        <f>'System 6-Year'!D46/3</f>
        <v>0.66666666666666663</v>
      </c>
      <c r="E80" s="267">
        <f>'System 6-Year'!E46/3</f>
        <v>0.66666666666666663</v>
      </c>
      <c r="F80" s="267">
        <f>'System 6-Year'!F46/3</f>
        <v>0.83333333333333337</v>
      </c>
      <c r="G80" s="267">
        <f>'System 6-Year'!G46/3</f>
        <v>1</v>
      </c>
      <c r="H80" s="267">
        <f>'System 6-Year'!H46/3</f>
        <v>1</v>
      </c>
      <c r="J80" s="232"/>
      <c r="K80" s="232"/>
      <c r="L80" s="232"/>
      <c r="M80" s="232"/>
      <c r="N80" s="232"/>
      <c r="O80" s="232"/>
      <c r="P80" s="232"/>
    </row>
    <row r="81" spans="1:16" ht="14" x14ac:dyDescent="0.25">
      <c r="A81" s="232"/>
      <c r="B81" s="230" t="s">
        <v>50</v>
      </c>
      <c r="C81" s="267">
        <f>'System 6-Year'!C47/2</f>
        <v>0.5</v>
      </c>
      <c r="D81" s="267">
        <f>'System 6-Year'!D47/3</f>
        <v>0.66666666666666663</v>
      </c>
      <c r="E81" s="267">
        <f>'System 6-Year'!E47/3</f>
        <v>0.66666666666666663</v>
      </c>
      <c r="F81" s="267">
        <f>'System 6-Year'!F47/3</f>
        <v>0.66666666666666663</v>
      </c>
      <c r="G81" s="267">
        <f>'System 6-Year'!G47/3</f>
        <v>0.66666666666666663</v>
      </c>
      <c r="H81" s="267">
        <f>'System 6-Year'!H47/3</f>
        <v>1</v>
      </c>
      <c r="J81" s="232"/>
      <c r="K81" s="232"/>
      <c r="L81" s="232"/>
      <c r="M81" s="232"/>
      <c r="N81" s="232"/>
      <c r="O81" s="232"/>
      <c r="P81" s="232"/>
    </row>
    <row r="82" spans="1:16" ht="14" x14ac:dyDescent="0.25">
      <c r="A82" s="232"/>
      <c r="B82" s="230" t="s">
        <v>401</v>
      </c>
      <c r="C82" s="267">
        <f>('System 6-Year'!C48+'System 6-Year'!C49)/2</f>
        <v>0.5</v>
      </c>
      <c r="D82" s="267">
        <f>('System 6-Year'!D48+'System 6-Year'!D49)/3</f>
        <v>0.66666666666666663</v>
      </c>
      <c r="E82" s="267">
        <f>('System 6-Year'!E48+'System 6-Year'!E49)/3</f>
        <v>1</v>
      </c>
      <c r="F82" s="267">
        <f>('System 6-Year'!F48+'System 6-Year'!F49)/3</f>
        <v>1.1666666666666667</v>
      </c>
      <c r="G82" s="267">
        <f>('System 6-Year'!G48+'System 6-Year'!G49)/3</f>
        <v>1</v>
      </c>
      <c r="H82" s="267">
        <f>('System 6-Year'!H48+'System 6-Year'!H49)/3</f>
        <v>1</v>
      </c>
      <c r="J82" s="232"/>
      <c r="K82" s="232"/>
      <c r="L82" s="232"/>
      <c r="M82" s="232"/>
      <c r="N82" s="232"/>
      <c r="O82" s="232"/>
      <c r="P82" s="232"/>
    </row>
    <row r="83" spans="1:16" ht="14" x14ac:dyDescent="0.25">
      <c r="A83" s="232"/>
      <c r="B83" s="230" t="s">
        <v>400</v>
      </c>
      <c r="C83" s="267">
        <f>'System 6-Year'!C50/2</f>
        <v>5</v>
      </c>
      <c r="D83" s="267">
        <f>'System 6-Year'!D50/3</f>
        <v>5</v>
      </c>
      <c r="E83" s="267">
        <f>'System 6-Year'!E50/3</f>
        <v>6.666666666666667</v>
      </c>
      <c r="F83" s="267">
        <f>'System 6-Year'!F50/3</f>
        <v>7.333333333333333</v>
      </c>
      <c r="G83" s="267">
        <f>'System 6-Year'!G50/3</f>
        <v>8</v>
      </c>
      <c r="H83" s="267">
        <f>'System 6-Year'!H50/3</f>
        <v>9.6666666666666661</v>
      </c>
      <c r="J83" s="232"/>
      <c r="K83" s="232"/>
      <c r="L83" s="232"/>
      <c r="M83" s="232"/>
      <c r="N83" s="232"/>
      <c r="O83" s="232"/>
      <c r="P83" s="232"/>
    </row>
    <row r="84" spans="1:16" ht="14" x14ac:dyDescent="0.25">
      <c r="A84" s="232"/>
      <c r="B84" s="229" t="s">
        <v>399</v>
      </c>
      <c r="C84" s="267">
        <f>('System 6-Year'!C51+'System 6-Year'!C52)/2</f>
        <v>0</v>
      </c>
      <c r="D84" s="267">
        <f>SUM('System 6-Year'!D51:D52)/3</f>
        <v>1</v>
      </c>
      <c r="E84" s="267">
        <f>SUM('System 6-Year'!E51:E52)/3</f>
        <v>1.1666666666666667</v>
      </c>
      <c r="F84" s="267">
        <f>SUM('System 6-Year'!F51:F52)/3</f>
        <v>1.3333333333333333</v>
      </c>
      <c r="G84" s="267">
        <f>SUM('System 6-Year'!G51:G52)/3</f>
        <v>2</v>
      </c>
      <c r="H84" s="267">
        <f>SUM('System 6-Year'!H51:H52)/3</f>
        <v>2.3333333333333335</v>
      </c>
      <c r="J84" s="232"/>
      <c r="K84" s="232"/>
      <c r="L84" s="232"/>
      <c r="M84" s="232"/>
      <c r="N84" s="232"/>
      <c r="O84" s="232"/>
      <c r="P84" s="232"/>
    </row>
    <row r="85" spans="1:16" ht="14" x14ac:dyDescent="0.25">
      <c r="A85" s="232"/>
      <c r="B85" s="261" t="s">
        <v>415</v>
      </c>
      <c r="C85" s="275">
        <f t="shared" ref="C85:H85" si="13">SUM(C67:C84)</f>
        <v>26.75</v>
      </c>
      <c r="D85" s="260">
        <f t="shared" si="13"/>
        <v>52.166666666666664</v>
      </c>
      <c r="E85" s="260">
        <f t="shared" si="13"/>
        <v>57.999999999999993</v>
      </c>
      <c r="F85" s="260">
        <f t="shared" si="13"/>
        <v>62.833333333333343</v>
      </c>
      <c r="G85" s="260">
        <f t="shared" si="13"/>
        <v>66.166666666666657</v>
      </c>
      <c r="H85" s="260">
        <f t="shared" si="13"/>
        <v>69.666666666666671</v>
      </c>
      <c r="K85" s="232"/>
      <c r="L85" s="232"/>
      <c r="M85" s="232"/>
      <c r="N85" s="232"/>
      <c r="O85" s="232"/>
      <c r="P85" s="232"/>
    </row>
    <row r="86" spans="1:16" ht="14" x14ac:dyDescent="0.25">
      <c r="A86" s="232"/>
      <c r="B86" s="271"/>
      <c r="C86" s="274"/>
      <c r="D86" s="274"/>
      <c r="E86" s="274"/>
      <c r="F86" s="274"/>
      <c r="G86" s="274"/>
      <c r="H86" s="274"/>
      <c r="K86" s="232"/>
      <c r="L86" s="232"/>
      <c r="M86" s="232"/>
      <c r="N86" s="232"/>
      <c r="O86" s="232"/>
      <c r="P86" s="232"/>
    </row>
    <row r="87" spans="1:16" ht="14" x14ac:dyDescent="0.25">
      <c r="A87" s="232"/>
      <c r="B87" s="269" t="s">
        <v>414</v>
      </c>
      <c r="C87" s="273"/>
      <c r="D87" s="273"/>
      <c r="E87" s="273"/>
      <c r="F87" s="273"/>
      <c r="G87" s="273"/>
      <c r="H87" s="273"/>
      <c r="K87" s="232"/>
      <c r="L87" s="232"/>
      <c r="M87" s="232"/>
      <c r="N87" s="232"/>
      <c r="O87" s="232"/>
      <c r="P87" s="232"/>
    </row>
    <row r="88" spans="1:16" ht="14" x14ac:dyDescent="0.25">
      <c r="A88" s="232"/>
      <c r="B88" s="230" t="s">
        <v>411</v>
      </c>
      <c r="C88" s="267">
        <f>'System 6-Year'!C39/2</f>
        <v>0.5</v>
      </c>
      <c r="D88" s="267">
        <f>'System 6-Year'!D39/3</f>
        <v>0.66666666666666663</v>
      </c>
      <c r="E88" s="267">
        <f>'System 6-Year'!E39/3</f>
        <v>0.66666666666666663</v>
      </c>
      <c r="F88" s="267">
        <f>'System 6-Year'!F39/3</f>
        <v>0.66666666666666663</v>
      </c>
      <c r="G88" s="267">
        <f>'System 6-Year'!G39/3</f>
        <v>0.66666666666666663</v>
      </c>
      <c r="H88" s="267">
        <f>'System 6-Year'!H39/3</f>
        <v>0.66666666666666663</v>
      </c>
      <c r="K88" s="232"/>
      <c r="L88" s="232"/>
      <c r="M88" s="232"/>
      <c r="N88" s="232"/>
      <c r="O88" s="232"/>
      <c r="P88" s="232"/>
    </row>
    <row r="89" spans="1:16" ht="14" x14ac:dyDescent="0.25">
      <c r="A89" s="232"/>
      <c r="B89" s="230" t="s">
        <v>410</v>
      </c>
      <c r="C89" s="267">
        <f>'System 6-Year'!C40/2</f>
        <v>0.5</v>
      </c>
      <c r="D89" s="267">
        <f>'System 6-Year'!D40/3</f>
        <v>0.66666666666666663</v>
      </c>
      <c r="E89" s="267">
        <f>'System 6-Year'!E40/3</f>
        <v>1</v>
      </c>
      <c r="F89" s="267">
        <f>'System 6-Year'!F40/3</f>
        <v>1</v>
      </c>
      <c r="G89" s="267">
        <f>'System 6-Year'!G40/3</f>
        <v>1.3333333333333333</v>
      </c>
      <c r="H89" s="267">
        <f>'System 6-Year'!H40/3</f>
        <v>1.3333333333333333</v>
      </c>
      <c r="K89" s="232"/>
      <c r="L89" s="232"/>
      <c r="M89" s="232"/>
      <c r="N89" s="232"/>
      <c r="O89" s="232"/>
      <c r="P89" s="232"/>
    </row>
    <row r="90" spans="1:16" ht="13.4" customHeight="1" x14ac:dyDescent="0.25">
      <c r="A90" s="232"/>
      <c r="B90" s="323" t="s">
        <v>409</v>
      </c>
      <c r="C90" s="319">
        <f>('System 6-Year'!C44+'System 6-Year'!C45)/2</f>
        <v>0.5</v>
      </c>
      <c r="D90" s="319">
        <f>('System 6-Year'!D44+'System 6-Year'!D45)/3</f>
        <v>0.33333333333333331</v>
      </c>
      <c r="E90" s="319">
        <f>('System 6-Year'!E44+'System 6-Year'!E45)/3</f>
        <v>0.66666666666666663</v>
      </c>
      <c r="F90" s="319">
        <f>('System 6-Year'!F44+'System 6-Year'!F45)/3</f>
        <v>1.3333333333333333</v>
      </c>
      <c r="G90" s="319">
        <f>('System 6-Year'!G44+'System 6-Year'!G45)/3</f>
        <v>1.3333333333333333</v>
      </c>
      <c r="H90" s="319">
        <f>('System 6-Year'!H44+'System 6-Year'!H45)/3</f>
        <v>1.6666666666666667</v>
      </c>
      <c r="K90" s="232"/>
      <c r="L90" s="232"/>
      <c r="M90" s="232"/>
      <c r="N90" s="232"/>
      <c r="O90" s="232"/>
      <c r="P90" s="232"/>
    </row>
    <row r="91" spans="1:16" ht="13.4" customHeight="1" x14ac:dyDescent="0.25">
      <c r="B91" s="324"/>
      <c r="C91" s="319"/>
      <c r="D91" s="319"/>
      <c r="E91" s="319"/>
      <c r="F91" s="319"/>
      <c r="G91" s="319"/>
      <c r="H91" s="319"/>
    </row>
    <row r="92" spans="1:16" ht="13.4" customHeight="1" x14ac:dyDescent="0.25">
      <c r="B92" s="323" t="s">
        <v>408</v>
      </c>
      <c r="C92" s="319">
        <f>'System 6-Year'!C43/2</f>
        <v>0.75</v>
      </c>
      <c r="D92" s="319">
        <f>'System 6-Year'!D43/3</f>
        <v>0.33333333333333331</v>
      </c>
      <c r="E92" s="319">
        <f>'System 6-Year'!E43/3</f>
        <v>0.66666666666666663</v>
      </c>
      <c r="F92" s="319">
        <f>'System 6-Year'!F43/3</f>
        <v>1</v>
      </c>
      <c r="G92" s="319">
        <f>'System 6-Year'!G43/3</f>
        <v>1</v>
      </c>
      <c r="H92" s="319">
        <f>'System 6-Year'!H43/3</f>
        <v>1</v>
      </c>
    </row>
    <row r="93" spans="1:16" ht="13.4" customHeight="1" x14ac:dyDescent="0.25">
      <c r="B93" s="324"/>
      <c r="C93" s="319"/>
      <c r="D93" s="319"/>
      <c r="E93" s="319"/>
      <c r="F93" s="319"/>
      <c r="G93" s="319"/>
      <c r="H93" s="319"/>
    </row>
    <row r="94" spans="1:16" ht="13.4" customHeight="1" x14ac:dyDescent="0.25">
      <c r="B94" s="323" t="s">
        <v>407</v>
      </c>
      <c r="C94" s="319">
        <f>('System 6-Year'!C54+'System 6-Year'!C55+'System 6-Year'!C56+'System 6-Year'!C57)/2</f>
        <v>0.5</v>
      </c>
      <c r="D94" s="319">
        <f>SUM('System 6-Year'!D54:D57)/3</f>
        <v>0.33333333333333331</v>
      </c>
      <c r="E94" s="319">
        <f>SUM('System 6-Year'!E54:E57)/3</f>
        <v>0.33333333333333331</v>
      </c>
      <c r="F94" s="319">
        <f>SUM('System 6-Year'!F54:F57)/3</f>
        <v>0.33333333333333331</v>
      </c>
      <c r="G94" s="319">
        <f>SUM('System 6-Year'!G54:G57)/3</f>
        <v>0.33333333333333331</v>
      </c>
      <c r="H94" s="319">
        <f>SUM('System 6-Year'!H54:H57)/3</f>
        <v>0.33333333333333331</v>
      </c>
    </row>
    <row r="95" spans="1:16" ht="13.4" customHeight="1" x14ac:dyDescent="0.25">
      <c r="B95" s="324"/>
      <c r="C95" s="319"/>
      <c r="D95" s="319"/>
      <c r="E95" s="319"/>
      <c r="F95" s="319"/>
      <c r="G95" s="319"/>
      <c r="H95" s="319"/>
    </row>
    <row r="96" spans="1:16" ht="14" x14ac:dyDescent="0.25">
      <c r="B96" s="230" t="s">
        <v>406</v>
      </c>
      <c r="C96" s="267">
        <f>SUM('System 6-Year'!K10:K12)</f>
        <v>6</v>
      </c>
      <c r="D96" s="267">
        <f>SUM('System 6-Year'!L10:L12)</f>
        <v>9</v>
      </c>
      <c r="E96" s="267">
        <f>SUM('System 6-Year'!M10:M12)</f>
        <v>11</v>
      </c>
      <c r="F96" s="267">
        <f>SUM('System 6-Year'!N10:N12)</f>
        <v>13</v>
      </c>
      <c r="G96" s="267">
        <f>SUM('System 6-Year'!O10:O12)</f>
        <v>14</v>
      </c>
      <c r="H96" s="267">
        <f>SUM('System 6-Year'!P10:P12)</f>
        <v>15</v>
      </c>
    </row>
    <row r="97" spans="1:16" ht="14" x14ac:dyDescent="0.25">
      <c r="B97" s="230" t="s">
        <v>405</v>
      </c>
      <c r="C97" s="267">
        <f>'System 6-Year'!K29</f>
        <v>1</v>
      </c>
      <c r="D97" s="267">
        <f>SUM('System 6-Year'!D29:D35)/3</f>
        <v>2.5</v>
      </c>
      <c r="E97" s="267">
        <f>SUM('System 6-Year'!E29:E35)/3</f>
        <v>3</v>
      </c>
      <c r="F97" s="267">
        <f>SUM('System 6-Year'!F29:F35)/3</f>
        <v>3.3333333333333335</v>
      </c>
      <c r="G97" s="267">
        <f>SUM('System 6-Year'!G29:G35)/3</f>
        <v>3.6666666666666665</v>
      </c>
      <c r="H97" s="267">
        <f>SUM('System 6-Year'!H29:H35)/3</f>
        <v>4</v>
      </c>
    </row>
    <row r="98" spans="1:16" ht="14" x14ac:dyDescent="0.25">
      <c r="B98" s="230" t="s">
        <v>404</v>
      </c>
      <c r="C98" s="267">
        <f>'System 6-Year'!C28/2</f>
        <v>1.5</v>
      </c>
      <c r="D98" s="267">
        <f>'System 6-Year'!D28/3</f>
        <v>2</v>
      </c>
      <c r="E98" s="267">
        <f>'System 6-Year'!E28/3</f>
        <v>2.1666666666666665</v>
      </c>
      <c r="F98" s="267">
        <f>'System 6-Year'!F28/3</f>
        <v>2.5</v>
      </c>
      <c r="G98" s="267">
        <f>'System 6-Year'!G28/3</f>
        <v>2.8333333333333335</v>
      </c>
      <c r="H98" s="267">
        <f>'System 6-Year'!H28/3</f>
        <v>3.3333333333333335</v>
      </c>
    </row>
    <row r="99" spans="1:16" ht="14" x14ac:dyDescent="0.25">
      <c r="A99" s="232"/>
      <c r="B99" s="230" t="s">
        <v>403</v>
      </c>
      <c r="C99" s="267">
        <f>('System 6-Year'!C41+'System 6-Year'!C42)/2</f>
        <v>1</v>
      </c>
      <c r="D99" s="267">
        <f>('System 6-Year'!D41+'System 6-Year'!D42)/3</f>
        <v>0.33333333333333331</v>
      </c>
      <c r="E99" s="267">
        <f>('System 6-Year'!E41+'System 6-Year'!E42)/3</f>
        <v>0.33333333333333331</v>
      </c>
      <c r="F99" s="267">
        <f>('System 6-Year'!F41+'System 6-Year'!F42)/3</f>
        <v>0.33333333333333331</v>
      </c>
      <c r="G99" s="267">
        <f>('System 6-Year'!G41+'System 6-Year'!G42)/3</f>
        <v>0.33333333333333331</v>
      </c>
      <c r="H99" s="267">
        <f>('System 6-Year'!H41+'System 6-Year'!H42)/3</f>
        <v>0.33333333333333331</v>
      </c>
      <c r="K99" s="232"/>
      <c r="L99" s="232"/>
      <c r="M99" s="232"/>
      <c r="N99" s="232"/>
      <c r="O99" s="232"/>
      <c r="P99" s="232"/>
    </row>
    <row r="100" spans="1:16" ht="14" x14ac:dyDescent="0.25">
      <c r="B100" s="230" t="s">
        <v>47</v>
      </c>
      <c r="C100" s="268">
        <f>'System 6-Year'!C58/2</f>
        <v>0</v>
      </c>
      <c r="D100" s="268">
        <f>'System 6-Year'!D58/3</f>
        <v>0</v>
      </c>
      <c r="E100" s="268">
        <f>'System 6-Year'!E58/3</f>
        <v>0</v>
      </c>
      <c r="F100" s="268">
        <f>'System 6-Year'!F58/3</f>
        <v>0</v>
      </c>
      <c r="G100" s="268">
        <f>'System 6-Year'!G58/3</f>
        <v>0</v>
      </c>
      <c r="H100" s="268">
        <f>'System 6-Year'!H58/3</f>
        <v>0</v>
      </c>
    </row>
    <row r="101" spans="1:16" ht="14" x14ac:dyDescent="0.25">
      <c r="B101" s="230" t="s">
        <v>402</v>
      </c>
      <c r="C101" s="267">
        <f>'System 6-Year'!C46/2</f>
        <v>0.5</v>
      </c>
      <c r="D101" s="267">
        <f>'System 6-Year'!D46/3</f>
        <v>0.66666666666666663</v>
      </c>
      <c r="E101" s="267">
        <f>'System 6-Year'!E46/3</f>
        <v>0.66666666666666663</v>
      </c>
      <c r="F101" s="267">
        <f>'System 6-Year'!F46/3</f>
        <v>0.83333333333333337</v>
      </c>
      <c r="G101" s="267">
        <f>'System 6-Year'!G46/3</f>
        <v>1</v>
      </c>
      <c r="H101" s="267">
        <f>'System 6-Year'!H46/3</f>
        <v>1</v>
      </c>
    </row>
    <row r="102" spans="1:16" ht="14" x14ac:dyDescent="0.25">
      <c r="B102" s="230" t="s">
        <v>50</v>
      </c>
      <c r="C102" s="267">
        <f>'System 6-Year'!C47/2</f>
        <v>0.5</v>
      </c>
      <c r="D102" s="267">
        <f>'System 6-Year'!D47/3</f>
        <v>0.66666666666666663</v>
      </c>
      <c r="E102" s="267">
        <f>'System 6-Year'!E47/3</f>
        <v>0.66666666666666663</v>
      </c>
      <c r="F102" s="267">
        <f>'System 6-Year'!F47/3</f>
        <v>0.66666666666666663</v>
      </c>
      <c r="G102" s="267">
        <f>'System 6-Year'!G47/3</f>
        <v>0.66666666666666663</v>
      </c>
      <c r="H102" s="267">
        <f>'System 6-Year'!H47/3</f>
        <v>1</v>
      </c>
    </row>
    <row r="103" spans="1:16" ht="14" x14ac:dyDescent="0.25">
      <c r="B103" s="230" t="s">
        <v>401</v>
      </c>
      <c r="C103" s="267">
        <f>('System 6-Year'!C48+'System 6-Year'!C49)/2</f>
        <v>0.5</v>
      </c>
      <c r="D103" s="267">
        <f>('System 6-Year'!D48+'System 6-Year'!D49)/3</f>
        <v>0.66666666666666663</v>
      </c>
      <c r="E103" s="267">
        <f>('System 6-Year'!E48+'System 6-Year'!E49)/3</f>
        <v>1</v>
      </c>
      <c r="F103" s="267">
        <f>('System 6-Year'!F48+'System 6-Year'!F49)/3</f>
        <v>1.1666666666666667</v>
      </c>
      <c r="G103" s="267">
        <f>('System 6-Year'!G48+'System 6-Year'!G49)/3</f>
        <v>1</v>
      </c>
      <c r="H103" s="267">
        <f>('System 6-Year'!H48+'System 6-Year'!H49)/3</f>
        <v>1</v>
      </c>
    </row>
    <row r="104" spans="1:16" ht="14" x14ac:dyDescent="0.25">
      <c r="B104" s="230" t="s">
        <v>400</v>
      </c>
      <c r="C104" s="267">
        <f>'System 6-Year'!C50/2</f>
        <v>5</v>
      </c>
      <c r="D104" s="267">
        <f>'System 6-Year'!D50/3</f>
        <v>5</v>
      </c>
      <c r="E104" s="267">
        <f>'System 6-Year'!E50/3</f>
        <v>6.666666666666667</v>
      </c>
      <c r="F104" s="267">
        <f>'System 6-Year'!F50/3</f>
        <v>7.333333333333333</v>
      </c>
      <c r="G104" s="267">
        <f>'System 6-Year'!G50/3</f>
        <v>8</v>
      </c>
      <c r="H104" s="267">
        <f>'System 6-Year'!H50/3</f>
        <v>9.6666666666666661</v>
      </c>
    </row>
    <row r="105" spans="1:16" ht="14" x14ac:dyDescent="0.25">
      <c r="B105" s="229" t="s">
        <v>399</v>
      </c>
      <c r="C105" s="267">
        <f>('System 6-Year'!C51+'System 6-Year'!C52)/2</f>
        <v>0</v>
      </c>
      <c r="D105" s="267">
        <f>SUM('System 6-Year'!D51:D52)/3</f>
        <v>1</v>
      </c>
      <c r="E105" s="267">
        <f>SUM('System 6-Year'!E51:E52)/3</f>
        <v>1.1666666666666667</v>
      </c>
      <c r="F105" s="267">
        <f>SUM('System 6-Year'!F51:F52)/3</f>
        <v>1.3333333333333333</v>
      </c>
      <c r="G105" s="267">
        <f>SUM('System 6-Year'!G51:G52)/3</f>
        <v>2</v>
      </c>
      <c r="H105" s="267">
        <f>SUM('System 6-Year'!H51:H52)/3</f>
        <v>2.3333333333333335</v>
      </c>
    </row>
    <row r="106" spans="1:16" ht="14" x14ac:dyDescent="0.25">
      <c r="B106" s="261" t="s">
        <v>413</v>
      </c>
      <c r="C106" s="260">
        <f>SUM(C88:C105)</f>
        <v>18.75</v>
      </c>
      <c r="D106" s="260">
        <f t="shared" ref="D106:H106" si="14">SUM(D88:D105)</f>
        <v>24.166666666666668</v>
      </c>
      <c r="E106" s="260">
        <f t="shared" si="14"/>
        <v>30.000000000000004</v>
      </c>
      <c r="F106" s="260">
        <f t="shared" si="14"/>
        <v>34.833333333333336</v>
      </c>
      <c r="G106" s="260">
        <f t="shared" si="14"/>
        <v>38.166666666666664</v>
      </c>
      <c r="H106" s="260">
        <f t="shared" si="14"/>
        <v>42.666666666666664</v>
      </c>
      <c r="I106" s="272"/>
    </row>
    <row r="107" spans="1:16" ht="14" x14ac:dyDescent="0.25">
      <c r="B107" s="271"/>
      <c r="C107" s="270"/>
      <c r="D107" s="270"/>
      <c r="E107" s="270"/>
      <c r="F107" s="270"/>
      <c r="G107" s="270"/>
      <c r="H107" s="270"/>
    </row>
    <row r="108" spans="1:16" ht="14" x14ac:dyDescent="0.25">
      <c r="B108" s="269" t="s">
        <v>412</v>
      </c>
      <c r="C108" s="269"/>
      <c r="D108" s="269"/>
      <c r="E108" s="269"/>
      <c r="F108" s="269"/>
      <c r="G108" s="269"/>
      <c r="H108" s="269"/>
    </row>
    <row r="109" spans="1:16" ht="14" x14ac:dyDescent="0.25">
      <c r="B109" s="230" t="s">
        <v>411</v>
      </c>
      <c r="C109" s="268">
        <v>0</v>
      </c>
      <c r="D109" s="267">
        <f>'System 6-Year'!D39/3</f>
        <v>0.66666666666666663</v>
      </c>
      <c r="E109" s="267">
        <f>'System 6-Year'!E39/3</f>
        <v>0.66666666666666663</v>
      </c>
      <c r="F109" s="267">
        <f>'System 6-Year'!F39/3</f>
        <v>0.66666666666666663</v>
      </c>
      <c r="G109" s="267">
        <f>'System 6-Year'!G39/3</f>
        <v>0.66666666666666663</v>
      </c>
      <c r="H109" s="267">
        <f>'System 6-Year'!H39/3</f>
        <v>0.66666666666666663</v>
      </c>
    </row>
    <row r="110" spans="1:16" ht="14" x14ac:dyDescent="0.25">
      <c r="B110" s="230" t="s">
        <v>410</v>
      </c>
      <c r="C110" s="267">
        <v>0</v>
      </c>
      <c r="D110" s="267">
        <f>'System 6-Year'!D40/3</f>
        <v>0.66666666666666663</v>
      </c>
      <c r="E110" s="267">
        <f>'System 6-Year'!E40/3</f>
        <v>1</v>
      </c>
      <c r="F110" s="267">
        <f>'System 6-Year'!F40/3</f>
        <v>1</v>
      </c>
      <c r="G110" s="267">
        <f>'System 6-Year'!G40/3</f>
        <v>1.3333333333333333</v>
      </c>
      <c r="H110" s="267">
        <f>'System 6-Year'!H40/3</f>
        <v>1.3333333333333333</v>
      </c>
    </row>
    <row r="111" spans="1:16" ht="13.4" customHeight="1" x14ac:dyDescent="0.25">
      <c r="B111" s="323" t="s">
        <v>409</v>
      </c>
      <c r="C111" s="319">
        <v>0</v>
      </c>
      <c r="D111" s="319">
        <f>('System 6-Year'!D44+'System 6-Year'!D45)/3</f>
        <v>0.33333333333333331</v>
      </c>
      <c r="E111" s="319">
        <f>('System 6-Year'!E44+'System 6-Year'!E45)/3</f>
        <v>0.66666666666666663</v>
      </c>
      <c r="F111" s="319">
        <f>('System 6-Year'!F44+'System 6-Year'!F45)/3</f>
        <v>1.3333333333333333</v>
      </c>
      <c r="G111" s="319">
        <f>('System 6-Year'!G44+'System 6-Year'!G45)/3</f>
        <v>1.3333333333333333</v>
      </c>
      <c r="H111" s="319">
        <f>('System 6-Year'!H44+'System 6-Year'!H45)/3</f>
        <v>1.6666666666666667</v>
      </c>
    </row>
    <row r="112" spans="1:16" ht="13.4" customHeight="1" x14ac:dyDescent="0.25">
      <c r="B112" s="324"/>
      <c r="C112" s="319"/>
      <c r="D112" s="319"/>
      <c r="E112" s="319"/>
      <c r="F112" s="319"/>
      <c r="G112" s="319"/>
      <c r="H112" s="319"/>
    </row>
    <row r="113" spans="1:16" ht="13.4" customHeight="1" x14ac:dyDescent="0.25">
      <c r="B113" s="323" t="s">
        <v>408</v>
      </c>
      <c r="C113" s="319">
        <v>0</v>
      </c>
      <c r="D113" s="319">
        <f>'System 6-Year'!D43/3</f>
        <v>0.33333333333333331</v>
      </c>
      <c r="E113" s="319">
        <f>'System 6-Year'!E43/3</f>
        <v>0.66666666666666663</v>
      </c>
      <c r="F113" s="319">
        <f>'System 6-Year'!F43/3</f>
        <v>1</v>
      </c>
      <c r="G113" s="319">
        <f>'System 6-Year'!G43/3</f>
        <v>1</v>
      </c>
      <c r="H113" s="319">
        <f>'System 6-Year'!H43/3</f>
        <v>1</v>
      </c>
    </row>
    <row r="114" spans="1:16" ht="13.4" customHeight="1" x14ac:dyDescent="0.25">
      <c r="B114" s="324"/>
      <c r="C114" s="319"/>
      <c r="D114" s="319"/>
      <c r="E114" s="319"/>
      <c r="F114" s="319"/>
      <c r="G114" s="319"/>
      <c r="H114" s="319"/>
    </row>
    <row r="115" spans="1:16" ht="13.4" customHeight="1" x14ac:dyDescent="0.25">
      <c r="B115" s="323" t="s">
        <v>407</v>
      </c>
      <c r="C115" s="319">
        <v>0</v>
      </c>
      <c r="D115" s="319">
        <f>SUM('System 6-Year'!D54:D57)/3</f>
        <v>0.33333333333333331</v>
      </c>
      <c r="E115" s="319">
        <f>SUM('System 6-Year'!E54:E57)/3</f>
        <v>0.33333333333333331</v>
      </c>
      <c r="F115" s="319">
        <f>SUM('System 6-Year'!F54:F57)/3</f>
        <v>0.33333333333333331</v>
      </c>
      <c r="G115" s="319">
        <f>SUM('System 6-Year'!G54:G57)/3</f>
        <v>0.33333333333333331</v>
      </c>
      <c r="H115" s="319">
        <f>SUM('System 6-Year'!H54:H57)/3</f>
        <v>0.33333333333333331</v>
      </c>
    </row>
    <row r="116" spans="1:16" ht="13.4" customHeight="1" x14ac:dyDescent="0.25">
      <c r="B116" s="324"/>
      <c r="C116" s="319"/>
      <c r="D116" s="319"/>
      <c r="E116" s="319"/>
      <c r="F116" s="319"/>
      <c r="G116" s="319"/>
      <c r="H116" s="319"/>
    </row>
    <row r="117" spans="1:16" ht="14" x14ac:dyDescent="0.25">
      <c r="B117" s="230" t="s">
        <v>406</v>
      </c>
      <c r="C117" s="267">
        <f>SUM('System 6-Year'!J13:J16)</f>
        <v>0</v>
      </c>
      <c r="D117" s="267">
        <f>SUM('System 6-Year'!L13:L16)</f>
        <v>0</v>
      </c>
      <c r="E117" s="267">
        <f>SUM('System 6-Year'!M13:M16)</f>
        <v>2</v>
      </c>
      <c r="F117" s="267">
        <f>SUM('System 6-Year'!N13:N16)</f>
        <v>5</v>
      </c>
      <c r="G117" s="267">
        <f>SUM('System 6-Year'!O13:O16)</f>
        <v>9</v>
      </c>
      <c r="H117" s="267">
        <f>SUM('System 6-Year'!P13:P16)</f>
        <v>14</v>
      </c>
    </row>
    <row r="118" spans="1:16" ht="14" x14ac:dyDescent="0.25">
      <c r="B118" s="230" t="s">
        <v>405</v>
      </c>
      <c r="C118" s="267">
        <f>'System 6-Year'!J30</f>
        <v>0</v>
      </c>
      <c r="D118" s="267">
        <f>SUM('System 6-Year'!D29:D35)/3</f>
        <v>2.5</v>
      </c>
      <c r="E118" s="267">
        <f>SUM('System 6-Year'!E29:E35)/3</f>
        <v>3</v>
      </c>
      <c r="F118" s="267">
        <f>SUM('System 6-Year'!F29:F35)/3</f>
        <v>3.3333333333333335</v>
      </c>
      <c r="G118" s="267">
        <f>SUM('System 6-Year'!G29:G35)/3</f>
        <v>3.6666666666666665</v>
      </c>
      <c r="H118" s="267">
        <f>SUM('System 6-Year'!H29:H35)/3</f>
        <v>4</v>
      </c>
    </row>
    <row r="119" spans="1:16" ht="14" x14ac:dyDescent="0.25">
      <c r="B119" s="230" t="s">
        <v>404</v>
      </c>
      <c r="C119" s="267">
        <v>0</v>
      </c>
      <c r="D119" s="267">
        <f>'System 6-Year'!D28/3</f>
        <v>2</v>
      </c>
      <c r="E119" s="267">
        <f>'System 6-Year'!E28/3</f>
        <v>2.1666666666666665</v>
      </c>
      <c r="F119" s="267">
        <f>'System 6-Year'!F28/3</f>
        <v>2.5</v>
      </c>
      <c r="G119" s="267">
        <f>'System 6-Year'!G28/3</f>
        <v>2.8333333333333335</v>
      </c>
      <c r="H119" s="267">
        <f>'System 6-Year'!H28/3</f>
        <v>3.3333333333333335</v>
      </c>
    </row>
    <row r="120" spans="1:16" ht="14" x14ac:dyDescent="0.25">
      <c r="A120" s="232"/>
      <c r="B120" s="230" t="s">
        <v>403</v>
      </c>
      <c r="C120" s="267">
        <v>0</v>
      </c>
      <c r="D120" s="267">
        <f>('System 6-Year'!D41+'System 6-Year'!D42)/3</f>
        <v>0.33333333333333331</v>
      </c>
      <c r="E120" s="267">
        <f>('System 6-Year'!E41+'System 6-Year'!E42)/3</f>
        <v>0.33333333333333331</v>
      </c>
      <c r="F120" s="267">
        <f>('System 6-Year'!F41+'System 6-Year'!F42)/3</f>
        <v>0.33333333333333331</v>
      </c>
      <c r="G120" s="267">
        <f>('System 6-Year'!G41+'System 6-Year'!G42)/3</f>
        <v>0.33333333333333331</v>
      </c>
      <c r="H120" s="267">
        <f>('System 6-Year'!H41+'System 6-Year'!H42)/3</f>
        <v>0.33333333333333331</v>
      </c>
      <c r="K120" s="232"/>
      <c r="L120" s="232"/>
      <c r="M120" s="232"/>
      <c r="N120" s="232"/>
      <c r="O120" s="232"/>
      <c r="P120" s="232"/>
    </row>
    <row r="121" spans="1:16" ht="14" x14ac:dyDescent="0.25">
      <c r="B121" s="230" t="s">
        <v>47</v>
      </c>
      <c r="C121" s="267">
        <v>0</v>
      </c>
      <c r="D121" s="267">
        <f>'System 6-Year'!D58/3</f>
        <v>0</v>
      </c>
      <c r="E121" s="267">
        <f>'System 6-Year'!E58/3</f>
        <v>0</v>
      </c>
      <c r="F121" s="267">
        <f>'System 6-Year'!F58/3</f>
        <v>0</v>
      </c>
      <c r="G121" s="267">
        <f>'System 6-Year'!G58/3</f>
        <v>0</v>
      </c>
      <c r="H121" s="267">
        <f>'System 6-Year'!H58/3</f>
        <v>0</v>
      </c>
    </row>
    <row r="122" spans="1:16" ht="14" x14ac:dyDescent="0.25">
      <c r="B122" s="230" t="s">
        <v>402</v>
      </c>
      <c r="C122" s="267">
        <v>0</v>
      </c>
      <c r="D122" s="267">
        <f>'System 6-Year'!D46/3</f>
        <v>0.66666666666666663</v>
      </c>
      <c r="E122" s="267">
        <f>'System 6-Year'!E46/3</f>
        <v>0.66666666666666663</v>
      </c>
      <c r="F122" s="267">
        <f>'System 6-Year'!F46/3</f>
        <v>0.83333333333333337</v>
      </c>
      <c r="G122" s="267">
        <f>'System 6-Year'!G46/3</f>
        <v>1</v>
      </c>
      <c r="H122" s="267">
        <f>'System 6-Year'!H46/3</f>
        <v>1</v>
      </c>
    </row>
    <row r="123" spans="1:16" ht="14" x14ac:dyDescent="0.25">
      <c r="B123" s="230" t="s">
        <v>50</v>
      </c>
      <c r="C123" s="267">
        <v>0</v>
      </c>
      <c r="D123" s="267">
        <f>'System 6-Year'!D47/3</f>
        <v>0.66666666666666663</v>
      </c>
      <c r="E123" s="267">
        <f>'System 6-Year'!E47/3</f>
        <v>0.66666666666666663</v>
      </c>
      <c r="F123" s="267">
        <f>'System 6-Year'!F47/3</f>
        <v>0.66666666666666663</v>
      </c>
      <c r="G123" s="267">
        <f>'System 6-Year'!G47/3</f>
        <v>0.66666666666666663</v>
      </c>
      <c r="H123" s="267">
        <f>'System 6-Year'!H47/3</f>
        <v>1</v>
      </c>
    </row>
    <row r="124" spans="1:16" ht="14" x14ac:dyDescent="0.25">
      <c r="B124" s="230" t="s">
        <v>401</v>
      </c>
      <c r="C124" s="267">
        <v>0</v>
      </c>
      <c r="D124" s="267">
        <f>('System 6-Year'!D48+'System 6-Year'!D49)/3</f>
        <v>0.66666666666666663</v>
      </c>
      <c r="E124" s="267">
        <f>('System 6-Year'!E48+'System 6-Year'!E49)/3</f>
        <v>1</v>
      </c>
      <c r="F124" s="267">
        <f>('System 6-Year'!F48+'System 6-Year'!F49)/3</f>
        <v>1.1666666666666667</v>
      </c>
      <c r="G124" s="267">
        <f>('System 6-Year'!G48+'System 6-Year'!G49)/3</f>
        <v>1</v>
      </c>
      <c r="H124" s="267">
        <f>('System 6-Year'!H48+'System 6-Year'!H49)/3</f>
        <v>1</v>
      </c>
    </row>
    <row r="125" spans="1:16" ht="14" x14ac:dyDescent="0.25">
      <c r="B125" s="230" t="s">
        <v>400</v>
      </c>
      <c r="C125" s="267">
        <v>0</v>
      </c>
      <c r="D125" s="267">
        <f>'System 6-Year'!D50/3</f>
        <v>5</v>
      </c>
      <c r="E125" s="267">
        <f>'System 6-Year'!E50/3</f>
        <v>6.666666666666667</v>
      </c>
      <c r="F125" s="267">
        <f>'System 6-Year'!F50/3</f>
        <v>7.333333333333333</v>
      </c>
      <c r="G125" s="267">
        <f>'System 6-Year'!G50/3</f>
        <v>8</v>
      </c>
      <c r="H125" s="267">
        <f>'System 6-Year'!H50/3</f>
        <v>9.6666666666666661</v>
      </c>
    </row>
    <row r="126" spans="1:16" ht="14" x14ac:dyDescent="0.25">
      <c r="B126" s="229" t="s">
        <v>399</v>
      </c>
      <c r="C126" s="267">
        <v>0</v>
      </c>
      <c r="D126" s="267">
        <f>SUM('System 6-Year'!D51:D52)/3</f>
        <v>1</v>
      </c>
      <c r="E126" s="267">
        <f>SUM('System 6-Year'!E51:E52)/3</f>
        <v>1.1666666666666667</v>
      </c>
      <c r="F126" s="267">
        <f>SUM('System 6-Year'!F51:F52)/3</f>
        <v>1.3333333333333333</v>
      </c>
      <c r="G126" s="267">
        <f>SUM('System 6-Year'!G51:G52)/3</f>
        <v>2</v>
      </c>
      <c r="H126" s="267">
        <f>SUM('System 6-Year'!H51:H52)/3</f>
        <v>2.3333333333333335</v>
      </c>
    </row>
    <row r="127" spans="1:16" ht="20.25" customHeight="1" x14ac:dyDescent="0.25">
      <c r="B127" s="266" t="s">
        <v>398</v>
      </c>
      <c r="C127" s="264">
        <f t="shared" ref="C127:H127" si="15">SUM(C109:C126)</f>
        <v>0</v>
      </c>
      <c r="D127" s="264">
        <f t="shared" si="15"/>
        <v>15.166666666666666</v>
      </c>
      <c r="E127" s="264">
        <f t="shared" si="15"/>
        <v>21</v>
      </c>
      <c r="F127" s="264">
        <f t="shared" si="15"/>
        <v>26.833333333333332</v>
      </c>
      <c r="G127" s="265">
        <f t="shared" si="15"/>
        <v>33.166666666666664</v>
      </c>
      <c r="H127" s="264">
        <f t="shared" si="15"/>
        <v>41.666666666666664</v>
      </c>
    </row>
    <row r="128" spans="1:16" ht="20.25" customHeight="1" x14ac:dyDescent="0.25">
      <c r="B128" s="263"/>
      <c r="C128" s="262"/>
      <c r="D128" s="262"/>
      <c r="E128" s="262"/>
      <c r="F128" s="262"/>
      <c r="G128" s="262"/>
      <c r="H128" s="262"/>
    </row>
    <row r="129" spans="2:10" ht="20.25" customHeight="1" x14ac:dyDescent="0.25">
      <c r="B129" s="261" t="s">
        <v>397</v>
      </c>
      <c r="C129" s="260">
        <f t="shared" ref="C129:H129" si="16">+C127+C106+C85+C64</f>
        <v>54.5</v>
      </c>
      <c r="D129" s="260">
        <f t="shared" si="16"/>
        <v>100.5</v>
      </c>
      <c r="E129" s="260">
        <f t="shared" si="16"/>
        <v>118</v>
      </c>
      <c r="F129" s="260">
        <f t="shared" si="16"/>
        <v>133.5</v>
      </c>
      <c r="G129" s="260">
        <f t="shared" si="16"/>
        <v>146.5</v>
      </c>
      <c r="H129" s="260">
        <f t="shared" si="16"/>
        <v>163</v>
      </c>
    </row>
    <row r="130" spans="2:10" ht="14.5" x14ac:dyDescent="0.25">
      <c r="B130" s="259"/>
      <c r="C130" s="259"/>
      <c r="D130" s="259"/>
      <c r="E130" s="259"/>
      <c r="F130" s="259"/>
      <c r="G130" s="259"/>
      <c r="H130" s="259"/>
      <c r="I130" s="259"/>
      <c r="J130" s="259"/>
    </row>
    <row r="131" spans="2:10" x14ac:dyDescent="0.25">
      <c r="B131" s="258"/>
      <c r="C131" s="312">
        <f t="shared" ref="C131:H131" si="17">C129-C64</f>
        <v>45.5</v>
      </c>
      <c r="D131" s="312">
        <f t="shared" si="17"/>
        <v>91.5</v>
      </c>
      <c r="E131" s="312">
        <f t="shared" si="17"/>
        <v>109</v>
      </c>
      <c r="F131" s="312">
        <f t="shared" si="17"/>
        <v>124.5</v>
      </c>
      <c r="G131" s="312">
        <f t="shared" si="17"/>
        <v>137.5</v>
      </c>
      <c r="H131" s="312">
        <f t="shared" si="17"/>
        <v>154</v>
      </c>
    </row>
    <row r="132" spans="2:10" x14ac:dyDescent="0.25">
      <c r="B132" s="257"/>
      <c r="C132" s="223" t="b">
        <f>ROUND(C131,0)=ROUND('System 6-Year'!C65,0)</f>
        <v>1</v>
      </c>
      <c r="D132" s="223" t="b">
        <f>ROUND(D131,0)=ROUND('System 6-Year'!D65,0)</f>
        <v>1</v>
      </c>
      <c r="E132" s="223" t="b">
        <f>ROUND(E131,0)=ROUND('System 6-Year'!E65,0)</f>
        <v>1</v>
      </c>
      <c r="F132" s="223" t="b">
        <f>ROUND(F131,0)=ROUND('System 6-Year'!F65,0)</f>
        <v>1</v>
      </c>
      <c r="G132" s="223" t="b">
        <f>ROUND(G131,0)=ROUND('System 6-Year'!G65,0)</f>
        <v>1</v>
      </c>
      <c r="H132" s="223" t="b">
        <f>ROUND(H131,0)=ROUND('System 6-Year'!H65,0)</f>
        <v>1</v>
      </c>
    </row>
    <row r="137" spans="2:10" x14ac:dyDescent="0.25">
      <c r="C137" s="256"/>
      <c r="D137" s="256"/>
      <c r="E137" s="256"/>
      <c r="F137" s="256"/>
      <c r="G137" s="256"/>
      <c r="H137" s="256"/>
    </row>
  </sheetData>
  <mergeCells count="108">
    <mergeCell ref="B15:H15"/>
    <mergeCell ref="B26:H26"/>
    <mergeCell ref="B29:B30"/>
    <mergeCell ref="C29:C30"/>
    <mergeCell ref="D29:D30"/>
    <mergeCell ref="E29:E30"/>
    <mergeCell ref="F29:F30"/>
    <mergeCell ref="G29:G30"/>
    <mergeCell ref="G33:G34"/>
    <mergeCell ref="H33:H34"/>
    <mergeCell ref="H29:H30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B31:B32"/>
    <mergeCell ref="C31:C32"/>
    <mergeCell ref="D69:D70"/>
    <mergeCell ref="E69:E70"/>
    <mergeCell ref="F69:F70"/>
    <mergeCell ref="G69:G70"/>
    <mergeCell ref="D71:D72"/>
    <mergeCell ref="E71:E72"/>
    <mergeCell ref="F71:F72"/>
    <mergeCell ref="B71:B72"/>
    <mergeCell ref="C71:C72"/>
    <mergeCell ref="B69:B70"/>
    <mergeCell ref="C69:C70"/>
    <mergeCell ref="G73:G74"/>
    <mergeCell ref="H92:H93"/>
    <mergeCell ref="H73:H74"/>
    <mergeCell ref="G90:G91"/>
    <mergeCell ref="H90:H91"/>
    <mergeCell ref="G94:G95"/>
    <mergeCell ref="H94:H95"/>
    <mergeCell ref="G71:G72"/>
    <mergeCell ref="H71:H72"/>
    <mergeCell ref="G92:G93"/>
    <mergeCell ref="B90:B91"/>
    <mergeCell ref="C90:C91"/>
    <mergeCell ref="D90:D91"/>
    <mergeCell ref="E90:E91"/>
    <mergeCell ref="F90:F91"/>
    <mergeCell ref="D73:D74"/>
    <mergeCell ref="E73:E74"/>
    <mergeCell ref="F73:F74"/>
    <mergeCell ref="B94:B95"/>
    <mergeCell ref="C94:C95"/>
    <mergeCell ref="D94:D95"/>
    <mergeCell ref="E94:E95"/>
    <mergeCell ref="F94:F95"/>
    <mergeCell ref="B73:B74"/>
    <mergeCell ref="C73:C74"/>
    <mergeCell ref="B92:B93"/>
    <mergeCell ref="C92:C93"/>
    <mergeCell ref="D92:D93"/>
    <mergeCell ref="E92:E93"/>
    <mergeCell ref="F92:F93"/>
    <mergeCell ref="B115:B116"/>
    <mergeCell ref="C115:C116"/>
    <mergeCell ref="D115:D116"/>
    <mergeCell ref="E115:E116"/>
    <mergeCell ref="F115:F116"/>
    <mergeCell ref="G115:G116"/>
    <mergeCell ref="B111:B112"/>
    <mergeCell ref="C111:C112"/>
    <mergeCell ref="D111:D112"/>
    <mergeCell ref="E111:E112"/>
    <mergeCell ref="F111:F112"/>
    <mergeCell ref="G111:G112"/>
    <mergeCell ref="B113:B114"/>
    <mergeCell ref="C113:C114"/>
    <mergeCell ref="D113:D114"/>
    <mergeCell ref="E113:E114"/>
    <mergeCell ref="F113:F114"/>
    <mergeCell ref="G113:G114"/>
    <mergeCell ref="S26:Y26"/>
    <mergeCell ref="S29:S30"/>
    <mergeCell ref="T29:T30"/>
    <mergeCell ref="U29:U30"/>
    <mergeCell ref="V29:V30"/>
    <mergeCell ref="W29:W30"/>
    <mergeCell ref="X29:X30"/>
    <mergeCell ref="Y29:Y30"/>
    <mergeCell ref="H111:H112"/>
    <mergeCell ref="H113:H114"/>
    <mergeCell ref="H115:H116"/>
    <mergeCell ref="H69:H70"/>
    <mergeCell ref="H31:H32"/>
    <mergeCell ref="Y31:Y32"/>
    <mergeCell ref="S33:S34"/>
    <mergeCell ref="T33:T34"/>
    <mergeCell ref="U33:U34"/>
    <mergeCell ref="V33:V34"/>
    <mergeCell ref="W33:W34"/>
    <mergeCell ref="X33:X34"/>
    <mergeCell ref="Y33:Y34"/>
    <mergeCell ref="S31:S32"/>
    <mergeCell ref="T31:T32"/>
    <mergeCell ref="U31:U32"/>
    <mergeCell ref="V31:V32"/>
    <mergeCell ref="W31:W32"/>
    <mergeCell ref="X31:X32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zoomScale="85" zoomScaleNormal="85" workbookViewId="0">
      <selection activeCell="N40" sqref="N40"/>
    </sheetView>
  </sheetViews>
  <sheetFormatPr defaultRowHeight="15.5" x14ac:dyDescent="0.35"/>
  <cols>
    <col min="1" max="1" width="10.81640625" style="183" customWidth="1"/>
    <col min="2" max="7" width="9.54296875" style="184" customWidth="1"/>
    <col min="8" max="10" width="8.81640625" style="98"/>
  </cols>
  <sheetData>
    <row r="2" spans="1:7" x14ac:dyDescent="0.35">
      <c r="A2" s="180"/>
      <c r="B2" s="181" t="s">
        <v>300</v>
      </c>
      <c r="C2" s="181" t="s">
        <v>328</v>
      </c>
      <c r="D2" s="181" t="s">
        <v>329</v>
      </c>
      <c r="E2" s="181" t="s">
        <v>330</v>
      </c>
      <c r="F2" s="181" t="s">
        <v>333</v>
      </c>
      <c r="G2" s="181" t="s">
        <v>334</v>
      </c>
    </row>
    <row r="3" spans="1:7" x14ac:dyDescent="0.35">
      <c r="A3" s="185" t="s">
        <v>331</v>
      </c>
      <c r="B3" s="182">
        <v>8500</v>
      </c>
      <c r="C3" s="182">
        <v>8925</v>
      </c>
      <c r="D3" s="182">
        <v>9055</v>
      </c>
      <c r="E3" s="182">
        <v>9190</v>
      </c>
      <c r="F3" s="182">
        <v>9325</v>
      </c>
      <c r="G3" s="182">
        <v>9465</v>
      </c>
    </row>
    <row r="4" spans="1:7" x14ac:dyDescent="0.35">
      <c r="A4" s="185" t="s">
        <v>187</v>
      </c>
      <c r="B4" s="182">
        <v>4200</v>
      </c>
      <c r="C4" s="182">
        <v>4300</v>
      </c>
      <c r="D4" s="182">
        <v>4300</v>
      </c>
      <c r="E4" s="182">
        <v>4300</v>
      </c>
      <c r="F4" s="182">
        <v>4300</v>
      </c>
      <c r="G4" s="182">
        <v>4300</v>
      </c>
    </row>
    <row r="5" spans="1:7" x14ac:dyDescent="0.35">
      <c r="A5" s="185" t="s">
        <v>188</v>
      </c>
      <c r="B5" s="182">
        <v>1000</v>
      </c>
      <c r="C5" s="182">
        <v>1000</v>
      </c>
      <c r="D5" s="182">
        <v>1000</v>
      </c>
      <c r="E5" s="182">
        <v>1000</v>
      </c>
      <c r="F5" s="182">
        <v>1000</v>
      </c>
      <c r="G5" s="182">
        <v>1000</v>
      </c>
    </row>
    <row r="6" spans="1:7" x14ac:dyDescent="0.35">
      <c r="A6" s="185" t="s">
        <v>332</v>
      </c>
      <c r="B6" s="182">
        <v>2400</v>
      </c>
      <c r="C6" s="182">
        <v>2500</v>
      </c>
      <c r="D6" s="182">
        <v>2500</v>
      </c>
      <c r="E6" s="182">
        <v>2500</v>
      </c>
      <c r="F6" s="182">
        <v>2500</v>
      </c>
      <c r="G6" s="182">
        <v>2500</v>
      </c>
    </row>
    <row r="10" spans="1:7" x14ac:dyDescent="0.35">
      <c r="A10" s="180"/>
      <c r="B10" s="181" t="s">
        <v>300</v>
      </c>
      <c r="C10" s="181" t="s">
        <v>328</v>
      </c>
      <c r="D10" s="181" t="s">
        <v>329</v>
      </c>
      <c r="E10" s="181" t="s">
        <v>330</v>
      </c>
      <c r="F10" s="181" t="s">
        <v>333</v>
      </c>
      <c r="G10" s="181" t="s">
        <v>334</v>
      </c>
    </row>
    <row r="11" spans="1:7" x14ac:dyDescent="0.35">
      <c r="A11" s="328" t="s">
        <v>358</v>
      </c>
      <c r="B11" s="329"/>
      <c r="C11" s="329"/>
      <c r="D11" s="329"/>
      <c r="E11" s="329"/>
      <c r="F11" s="329"/>
      <c r="G11" s="330"/>
    </row>
    <row r="12" spans="1:7" x14ac:dyDescent="0.35">
      <c r="A12" s="210" t="s">
        <v>325</v>
      </c>
      <c r="B12" s="211">
        <v>2</v>
      </c>
      <c r="C12" s="211">
        <v>2.15</v>
      </c>
      <c r="D12" s="211">
        <v>2.25</v>
      </c>
      <c r="E12" s="211">
        <v>2.35</v>
      </c>
      <c r="F12" s="211">
        <v>2.4500000000000002</v>
      </c>
      <c r="G12" s="211">
        <v>2.5499999999999998</v>
      </c>
    </row>
    <row r="13" spans="1:7" x14ac:dyDescent="0.35">
      <c r="A13" s="210"/>
      <c r="B13" s="211">
        <v>1.88</v>
      </c>
      <c r="C13" s="211">
        <v>2</v>
      </c>
      <c r="D13" s="211">
        <v>2.1</v>
      </c>
      <c r="E13" s="211">
        <v>2.2000000000000002</v>
      </c>
      <c r="F13" s="211">
        <v>2.2999999999999998</v>
      </c>
      <c r="G13" s="211">
        <v>2.4</v>
      </c>
    </row>
    <row r="14" spans="1:7" x14ac:dyDescent="0.35">
      <c r="A14" s="210"/>
      <c r="B14" s="212">
        <f>B12-B13</f>
        <v>0.12000000000000011</v>
      </c>
      <c r="C14" s="212">
        <f t="shared" ref="C14:G14" si="0">C12-C13</f>
        <v>0.14999999999999991</v>
      </c>
      <c r="D14" s="212">
        <f t="shared" si="0"/>
        <v>0.14999999999999991</v>
      </c>
      <c r="E14" s="212">
        <f t="shared" si="0"/>
        <v>0.14999999999999991</v>
      </c>
      <c r="F14" s="212">
        <f t="shared" si="0"/>
        <v>0.15000000000000036</v>
      </c>
      <c r="G14" s="212">
        <f t="shared" si="0"/>
        <v>0.14999999999999991</v>
      </c>
    </row>
    <row r="15" spans="1:7" x14ac:dyDescent="0.35">
      <c r="A15" s="210" t="s">
        <v>326</v>
      </c>
      <c r="B15" s="211">
        <v>0</v>
      </c>
      <c r="C15" s="211">
        <v>2.15</v>
      </c>
      <c r="D15" s="211">
        <v>2.25</v>
      </c>
      <c r="E15" s="211">
        <f>E12</f>
        <v>2.35</v>
      </c>
      <c r="F15" s="211">
        <f t="shared" ref="F15:G15" si="1">F12</f>
        <v>2.4500000000000002</v>
      </c>
      <c r="G15" s="211">
        <f t="shared" si="1"/>
        <v>2.5499999999999998</v>
      </c>
    </row>
    <row r="16" spans="1:7" x14ac:dyDescent="0.35">
      <c r="A16" s="210"/>
      <c r="B16" s="211">
        <v>0</v>
      </c>
      <c r="C16" s="211">
        <v>2.0499999999999998</v>
      </c>
      <c r="D16" s="211">
        <f>D13+0.05</f>
        <v>2.15</v>
      </c>
      <c r="E16" s="211">
        <f t="shared" ref="E16:G16" si="2">E13+0.05</f>
        <v>2.25</v>
      </c>
      <c r="F16" s="211">
        <f t="shared" si="2"/>
        <v>2.3499999999999996</v>
      </c>
      <c r="G16" s="211">
        <f t="shared" si="2"/>
        <v>2.4499999999999997</v>
      </c>
    </row>
    <row r="17" spans="1:7" x14ac:dyDescent="0.35">
      <c r="A17" s="210"/>
      <c r="B17" s="212">
        <f>B15-B16</f>
        <v>0</v>
      </c>
      <c r="C17" s="212">
        <f t="shared" ref="C17" si="3">C15-C16</f>
        <v>0.10000000000000009</v>
      </c>
      <c r="D17" s="212">
        <f t="shared" ref="D17" si="4">D15-D16</f>
        <v>0.10000000000000009</v>
      </c>
      <c r="E17" s="212">
        <f t="shared" ref="E17" si="5">E15-E16</f>
        <v>0.10000000000000009</v>
      </c>
      <c r="F17" s="212">
        <f t="shared" ref="F17" si="6">F15-F16</f>
        <v>0.10000000000000053</v>
      </c>
      <c r="G17" s="212">
        <f t="shared" ref="G17" si="7">G15-G16</f>
        <v>0.10000000000000009</v>
      </c>
    </row>
    <row r="18" spans="1:7" x14ac:dyDescent="0.35">
      <c r="A18" s="331" t="s">
        <v>359</v>
      </c>
      <c r="B18" s="332"/>
      <c r="C18" s="332"/>
      <c r="D18" s="332"/>
      <c r="E18" s="332"/>
      <c r="F18" s="332"/>
      <c r="G18" s="333"/>
    </row>
    <row r="19" spans="1:7" x14ac:dyDescent="0.35">
      <c r="A19" s="210" t="s">
        <v>325</v>
      </c>
      <c r="B19" s="211">
        <v>4</v>
      </c>
      <c r="C19" s="211">
        <v>4.5</v>
      </c>
      <c r="D19" s="211">
        <v>4.75</v>
      </c>
      <c r="E19" s="211">
        <v>5</v>
      </c>
      <c r="F19" s="211">
        <v>5.25</v>
      </c>
      <c r="G19" s="211">
        <v>5.5</v>
      </c>
    </row>
    <row r="20" spans="1:7" x14ac:dyDescent="0.35">
      <c r="A20" s="210"/>
      <c r="B20" s="211">
        <v>3.25</v>
      </c>
      <c r="C20" s="211">
        <v>3.5</v>
      </c>
      <c r="D20" s="211">
        <f>C20+0.25</f>
        <v>3.75</v>
      </c>
      <c r="E20" s="211">
        <f t="shared" ref="E20:G20" si="8">D20+0.25</f>
        <v>4</v>
      </c>
      <c r="F20" s="211">
        <f t="shared" si="8"/>
        <v>4.25</v>
      </c>
      <c r="G20" s="211">
        <f t="shared" si="8"/>
        <v>4.5</v>
      </c>
    </row>
    <row r="21" spans="1:7" x14ac:dyDescent="0.35">
      <c r="A21" s="210"/>
      <c r="B21" s="212">
        <f>B19-B20</f>
        <v>0.75</v>
      </c>
      <c r="C21" s="212">
        <f t="shared" ref="C21" si="9">C19-C20</f>
        <v>1</v>
      </c>
      <c r="D21" s="212">
        <f t="shared" ref="D21" si="10">D19-D20</f>
        <v>1</v>
      </c>
      <c r="E21" s="212">
        <f t="shared" ref="E21" si="11">E19-E20</f>
        <v>1</v>
      </c>
      <c r="F21" s="212">
        <f t="shared" ref="F21" si="12">F19-F20</f>
        <v>1</v>
      </c>
      <c r="G21" s="212">
        <f t="shared" ref="G21" si="13">G19-G20</f>
        <v>1</v>
      </c>
    </row>
    <row r="22" spans="1:7" x14ac:dyDescent="0.35">
      <c r="A22" s="210" t="s">
        <v>326</v>
      </c>
      <c r="B22" s="211">
        <v>0</v>
      </c>
      <c r="C22" s="211">
        <v>4.5</v>
      </c>
      <c r="D22" s="211">
        <f>D19</f>
        <v>4.75</v>
      </c>
      <c r="E22" s="211">
        <f t="shared" ref="E22:G22" si="14">E19</f>
        <v>5</v>
      </c>
      <c r="F22" s="211">
        <f t="shared" si="14"/>
        <v>5.25</v>
      </c>
      <c r="G22" s="211">
        <f t="shared" si="14"/>
        <v>5.5</v>
      </c>
    </row>
    <row r="23" spans="1:7" x14ac:dyDescent="0.35">
      <c r="A23" s="210"/>
      <c r="B23" s="211">
        <v>0</v>
      </c>
      <c r="C23" s="211">
        <v>4</v>
      </c>
      <c r="D23" s="211">
        <f>C23+0.3</f>
        <v>4.3</v>
      </c>
      <c r="E23" s="211">
        <f t="shared" ref="E23:G23" si="15">D23+0.3</f>
        <v>4.5999999999999996</v>
      </c>
      <c r="F23" s="211">
        <f t="shared" si="15"/>
        <v>4.8999999999999995</v>
      </c>
      <c r="G23" s="211">
        <f t="shared" si="15"/>
        <v>5.1999999999999993</v>
      </c>
    </row>
    <row r="24" spans="1:7" x14ac:dyDescent="0.35">
      <c r="A24" s="210"/>
      <c r="B24" s="212">
        <f>B22-B23</f>
        <v>0</v>
      </c>
      <c r="C24" s="212">
        <f t="shared" ref="C24" si="16">C22-C23</f>
        <v>0.5</v>
      </c>
      <c r="D24" s="212">
        <f t="shared" ref="D24" si="17">D22-D23</f>
        <v>0.45000000000000018</v>
      </c>
      <c r="E24" s="212">
        <f t="shared" ref="E24" si="18">E22-E23</f>
        <v>0.40000000000000036</v>
      </c>
      <c r="F24" s="212">
        <f t="shared" ref="F24" si="19">F22-F23</f>
        <v>0.35000000000000053</v>
      </c>
      <c r="G24" s="212">
        <f t="shared" ref="G24" si="20">G22-G23</f>
        <v>0.30000000000000071</v>
      </c>
    </row>
  </sheetData>
  <mergeCells count="2">
    <mergeCell ref="A11:G11"/>
    <mergeCell ref="A18:G18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"/>
  <sheetViews>
    <sheetView workbookViewId="0">
      <selection activeCell="D7" sqref="D7"/>
    </sheetView>
  </sheetViews>
  <sheetFormatPr defaultRowHeight="14.5" x14ac:dyDescent="0.35"/>
  <cols>
    <col min="2" max="2" width="20.453125" bestFit="1" customWidth="1"/>
  </cols>
  <sheetData>
    <row r="3" spans="2:9" ht="29" x14ac:dyDescent="0.35">
      <c r="B3" s="121" t="s">
        <v>294</v>
      </c>
      <c r="C3" s="122" t="s">
        <v>1</v>
      </c>
      <c r="D3" s="122" t="s">
        <v>187</v>
      </c>
      <c r="E3" s="122" t="s">
        <v>188</v>
      </c>
      <c r="F3" s="122" t="s">
        <v>189</v>
      </c>
      <c r="G3" s="122" t="s">
        <v>190</v>
      </c>
      <c r="H3" s="122" t="s">
        <v>191</v>
      </c>
      <c r="I3" s="122" t="s">
        <v>192</v>
      </c>
    </row>
    <row r="4" spans="2:9" x14ac:dyDescent="0.35">
      <c r="B4" s="101" t="s">
        <v>295</v>
      </c>
      <c r="C4" s="102">
        <v>76</v>
      </c>
      <c r="D4" s="102">
        <v>152</v>
      </c>
      <c r="E4" s="102">
        <v>0</v>
      </c>
      <c r="F4" s="102">
        <v>261</v>
      </c>
      <c r="G4" s="102">
        <v>489</v>
      </c>
      <c r="H4" s="102">
        <v>489</v>
      </c>
      <c r="I4" s="12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7:X17"/>
  <sheetViews>
    <sheetView zoomScale="55" zoomScaleNormal="55" workbookViewId="0">
      <selection activeCell="X15" sqref="X15"/>
    </sheetView>
  </sheetViews>
  <sheetFormatPr defaultRowHeight="14.5" x14ac:dyDescent="0.35"/>
  <cols>
    <col min="24" max="24" width="10.08984375" style="143" bestFit="1" customWidth="1"/>
  </cols>
  <sheetData>
    <row r="7" spans="23:24" x14ac:dyDescent="0.35">
      <c r="W7" t="s">
        <v>296</v>
      </c>
      <c r="X7" s="143">
        <v>1000</v>
      </c>
    </row>
    <row r="8" spans="23:24" x14ac:dyDescent="0.35">
      <c r="W8" t="s">
        <v>297</v>
      </c>
      <c r="X8" s="143">
        <f>X7*1.03</f>
        <v>1030</v>
      </c>
    </row>
    <row r="9" spans="23:24" x14ac:dyDescent="0.35">
      <c r="W9" t="s">
        <v>298</v>
      </c>
      <c r="X9" s="143">
        <f t="shared" ref="X9:X17" si="0">X8*1.03</f>
        <v>1060.9000000000001</v>
      </c>
    </row>
    <row r="10" spans="23:24" x14ac:dyDescent="0.35">
      <c r="W10" t="s">
        <v>299</v>
      </c>
      <c r="X10" s="143">
        <f t="shared" si="0"/>
        <v>1092.7270000000001</v>
      </c>
    </row>
    <row r="11" spans="23:24" x14ac:dyDescent="0.35">
      <c r="W11" t="s">
        <v>300</v>
      </c>
      <c r="X11" s="143">
        <f t="shared" si="0"/>
        <v>1125.50881</v>
      </c>
    </row>
    <row r="12" spans="23:24" x14ac:dyDescent="0.35">
      <c r="W12" t="s">
        <v>328</v>
      </c>
      <c r="X12" s="143">
        <f t="shared" si="0"/>
        <v>1159.2740743000002</v>
      </c>
    </row>
    <row r="13" spans="23:24" x14ac:dyDescent="0.35">
      <c r="W13" t="s">
        <v>329</v>
      </c>
      <c r="X13" s="143">
        <f t="shared" si="0"/>
        <v>1194.0522965290002</v>
      </c>
    </row>
    <row r="14" spans="23:24" x14ac:dyDescent="0.35">
      <c r="W14" t="s">
        <v>330</v>
      </c>
      <c r="X14" s="143">
        <f t="shared" si="0"/>
        <v>1229.8738654248702</v>
      </c>
    </row>
    <row r="15" spans="23:24" x14ac:dyDescent="0.35">
      <c r="W15" t="s">
        <v>333</v>
      </c>
      <c r="X15" s="143">
        <f t="shared" si="0"/>
        <v>1266.7700813876163</v>
      </c>
    </row>
    <row r="16" spans="23:24" x14ac:dyDescent="0.35">
      <c r="W16" t="s">
        <v>334</v>
      </c>
      <c r="X16" s="143">
        <f t="shared" si="0"/>
        <v>1304.7731838292448</v>
      </c>
    </row>
    <row r="17" spans="23:24" x14ac:dyDescent="0.35">
      <c r="W17" t="s">
        <v>350</v>
      </c>
      <c r="X17" s="143">
        <f t="shared" si="0"/>
        <v>1343.9163793441221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activeCell="E2" sqref="E2:E6"/>
    </sheetView>
  </sheetViews>
  <sheetFormatPr defaultRowHeight="14.5" x14ac:dyDescent="0.35"/>
  <cols>
    <col min="2" max="2" width="12.81640625" bestFit="1" customWidth="1"/>
    <col min="3" max="3" width="10.1796875" bestFit="1" customWidth="1"/>
    <col min="4" max="4" width="11.08984375" bestFit="1" customWidth="1"/>
    <col min="5" max="5" width="10.08984375" bestFit="1" customWidth="1"/>
  </cols>
  <sheetData>
    <row r="1" spans="1:6" x14ac:dyDescent="0.35">
      <c r="B1" s="124" t="s">
        <v>346</v>
      </c>
      <c r="C1" s="124" t="s">
        <v>347</v>
      </c>
      <c r="D1" s="124" t="s">
        <v>348</v>
      </c>
    </row>
    <row r="2" spans="1:6" x14ac:dyDescent="0.35">
      <c r="A2" s="193" t="s">
        <v>328</v>
      </c>
      <c r="B2" s="194">
        <v>1200000</v>
      </c>
      <c r="C2" s="194">
        <v>29577.96</v>
      </c>
      <c r="D2" s="195">
        <v>8.5000000000000006E-2</v>
      </c>
      <c r="E2" s="217">
        <f>B2*0.05</f>
        <v>60000</v>
      </c>
    </row>
    <row r="3" spans="1:6" x14ac:dyDescent="0.35">
      <c r="A3" s="198" t="s">
        <v>329</v>
      </c>
      <c r="B3" s="196">
        <v>375000</v>
      </c>
      <c r="C3" s="196">
        <v>9331.89</v>
      </c>
      <c r="D3" s="199">
        <v>0.09</v>
      </c>
      <c r="E3" s="217">
        <f t="shared" ref="E3:E6" si="0">B3*0.05</f>
        <v>18750</v>
      </c>
    </row>
    <row r="4" spans="1:6" x14ac:dyDescent="0.35">
      <c r="A4" s="200" t="s">
        <v>330</v>
      </c>
      <c r="B4" s="201">
        <v>350000</v>
      </c>
      <c r="C4" s="201">
        <v>8751.3700000000008</v>
      </c>
      <c r="D4" s="202">
        <v>9.2499999999999999E-2</v>
      </c>
      <c r="E4" s="217">
        <f t="shared" si="0"/>
        <v>17500</v>
      </c>
    </row>
    <row r="5" spans="1:6" x14ac:dyDescent="0.35">
      <c r="A5" s="206" t="s">
        <v>333</v>
      </c>
      <c r="B5" s="207">
        <v>275000</v>
      </c>
      <c r="C5" s="207">
        <v>6908.86</v>
      </c>
      <c r="D5" s="208">
        <v>9.5000000000000001E-2</v>
      </c>
      <c r="E5" s="217">
        <f t="shared" si="0"/>
        <v>13750</v>
      </c>
    </row>
    <row r="6" spans="1:6" x14ac:dyDescent="0.35">
      <c r="A6" s="213" t="s">
        <v>334</v>
      </c>
      <c r="B6" s="214">
        <v>125000</v>
      </c>
      <c r="C6" s="214">
        <v>3170.32</v>
      </c>
      <c r="D6" s="215">
        <v>0.1</v>
      </c>
      <c r="E6" s="217">
        <f t="shared" si="0"/>
        <v>6250</v>
      </c>
    </row>
    <row r="7" spans="1:6" x14ac:dyDescent="0.35">
      <c r="B7" s="143"/>
      <c r="C7" s="143"/>
    </row>
    <row r="8" spans="1:6" x14ac:dyDescent="0.35">
      <c r="B8" s="143"/>
      <c r="C8" s="143"/>
      <c r="D8" s="143"/>
      <c r="E8" s="143"/>
      <c r="F8" s="143"/>
    </row>
    <row r="9" spans="1:6" x14ac:dyDescent="0.35">
      <c r="B9" s="143"/>
      <c r="C9" s="143"/>
      <c r="D9" s="143"/>
      <c r="E9" s="143"/>
      <c r="F9" s="143"/>
    </row>
    <row r="10" spans="1:6" x14ac:dyDescent="0.35">
      <c r="B10" s="192" t="s">
        <v>40</v>
      </c>
      <c r="C10" s="192" t="s">
        <v>345</v>
      </c>
      <c r="D10" s="192" t="s">
        <v>349</v>
      </c>
      <c r="E10" s="143"/>
      <c r="F10" s="143"/>
    </row>
    <row r="11" spans="1:6" x14ac:dyDescent="0.35">
      <c r="A11" s="193" t="s">
        <v>328</v>
      </c>
      <c r="B11" s="194">
        <v>172863.89</v>
      </c>
      <c r="C11" s="194">
        <v>63759.79</v>
      </c>
      <c r="D11" s="194">
        <f>SUM(B11:C11)</f>
        <v>236623.68000000002</v>
      </c>
      <c r="E11" s="143"/>
      <c r="F11" s="143"/>
    </row>
    <row r="12" spans="1:6" x14ac:dyDescent="0.35">
      <c r="B12" s="143"/>
      <c r="C12" s="143"/>
      <c r="D12" s="143"/>
      <c r="E12" s="143"/>
      <c r="F12" s="143"/>
    </row>
    <row r="13" spans="1:6" x14ac:dyDescent="0.35">
      <c r="B13" s="143"/>
      <c r="C13" s="143"/>
      <c r="D13" s="143"/>
      <c r="E13" s="143"/>
      <c r="F13" s="143"/>
    </row>
    <row r="14" spans="1:6" x14ac:dyDescent="0.35">
      <c r="A14" t="s">
        <v>329</v>
      </c>
      <c r="B14" s="194">
        <v>278310</v>
      </c>
      <c r="C14" s="194">
        <v>76630</v>
      </c>
      <c r="D14" s="194">
        <f>SUM(B14:C14)</f>
        <v>354940</v>
      </c>
      <c r="E14" s="143"/>
      <c r="F14" s="143"/>
    </row>
    <row r="15" spans="1:6" x14ac:dyDescent="0.35">
      <c r="B15" s="197">
        <v>53545</v>
      </c>
      <c r="C15" s="197">
        <v>21111</v>
      </c>
      <c r="D15" s="197">
        <f>SUM(B15:C15)</f>
        <v>74656</v>
      </c>
      <c r="E15" s="143"/>
      <c r="F15" s="143"/>
    </row>
    <row r="16" spans="1:6" x14ac:dyDescent="0.35">
      <c r="B16" s="143">
        <f>SUM(B14:B15)</f>
        <v>331855</v>
      </c>
      <c r="C16" s="143">
        <f t="shared" ref="C16:D16" si="1">SUM(C14:C15)</f>
        <v>97741</v>
      </c>
      <c r="D16" s="143">
        <f t="shared" si="1"/>
        <v>429596</v>
      </c>
      <c r="E16" s="143"/>
      <c r="F16" s="143"/>
    </row>
    <row r="17" spans="1:6" x14ac:dyDescent="0.35">
      <c r="B17" s="143"/>
      <c r="C17" s="143"/>
      <c r="D17" s="143"/>
      <c r="E17" s="143"/>
      <c r="F17" s="143"/>
    </row>
    <row r="18" spans="1:6" x14ac:dyDescent="0.35">
      <c r="B18" s="143"/>
      <c r="C18" s="143"/>
      <c r="D18" s="143"/>
      <c r="E18" s="143"/>
      <c r="F18" s="143"/>
    </row>
    <row r="19" spans="1:6" x14ac:dyDescent="0.35">
      <c r="A19" t="s">
        <v>330</v>
      </c>
      <c r="B19" s="194">
        <v>302910</v>
      </c>
      <c r="C19" s="194">
        <v>52035</v>
      </c>
      <c r="D19" s="194">
        <f>SUM(B19:C19)</f>
        <v>354945</v>
      </c>
      <c r="E19" s="143"/>
      <c r="F19" s="143"/>
    </row>
    <row r="20" spans="1:6" x14ac:dyDescent="0.35">
      <c r="B20" s="196">
        <v>86565</v>
      </c>
      <c r="C20" s="196">
        <v>25420</v>
      </c>
      <c r="D20" s="196">
        <f>SUM(B20:C20)</f>
        <v>111985</v>
      </c>
      <c r="E20" s="143"/>
      <c r="F20" s="143"/>
    </row>
    <row r="21" spans="1:6" x14ac:dyDescent="0.35">
      <c r="B21" s="203">
        <v>49755</v>
      </c>
      <c r="C21" s="203">
        <v>20257</v>
      </c>
      <c r="D21" s="203">
        <f>SUM(B21:C21)</f>
        <v>70012</v>
      </c>
      <c r="E21" s="143"/>
      <c r="F21" s="143"/>
    </row>
    <row r="22" spans="1:6" x14ac:dyDescent="0.35">
      <c r="B22" s="143">
        <f>SUM(B19:B21)</f>
        <v>439230</v>
      </c>
      <c r="C22" s="143">
        <f t="shared" ref="C22:D22" si="2">SUM(C19:C21)</f>
        <v>97712</v>
      </c>
      <c r="D22" s="143">
        <f t="shared" si="2"/>
        <v>536942</v>
      </c>
      <c r="E22" s="143"/>
      <c r="F22" s="143"/>
    </row>
    <row r="23" spans="1:6" x14ac:dyDescent="0.35">
      <c r="B23" s="143"/>
      <c r="C23" s="143"/>
      <c r="D23" s="143"/>
      <c r="E23" s="143"/>
      <c r="F23" s="143"/>
    </row>
    <row r="24" spans="1:6" x14ac:dyDescent="0.35">
      <c r="B24" s="143"/>
      <c r="C24" s="143"/>
      <c r="D24" s="143"/>
      <c r="E24" s="143"/>
      <c r="F24" s="143"/>
    </row>
    <row r="25" spans="1:6" x14ac:dyDescent="0.35">
      <c r="B25" s="143"/>
      <c r="C25" s="143"/>
      <c r="D25" s="143"/>
      <c r="E25" s="143"/>
      <c r="F25" s="143"/>
    </row>
    <row r="26" spans="1:6" x14ac:dyDescent="0.35">
      <c r="B26" s="143"/>
      <c r="C26" s="143"/>
      <c r="D26" s="143"/>
      <c r="E26" s="143"/>
      <c r="F26" s="143"/>
    </row>
    <row r="27" spans="1:6" x14ac:dyDescent="0.35">
      <c r="B27" s="143"/>
      <c r="C27" s="143"/>
      <c r="D27" s="143"/>
      <c r="E27" s="143"/>
      <c r="F27" s="143"/>
    </row>
    <row r="28" spans="1:6" x14ac:dyDescent="0.35">
      <c r="A28" t="s">
        <v>333</v>
      </c>
      <c r="B28" s="194">
        <v>329700</v>
      </c>
      <c r="C28" s="194">
        <v>25260</v>
      </c>
      <c r="D28" s="194">
        <f>SUM(B28:C28)</f>
        <v>354960</v>
      </c>
      <c r="E28" s="143"/>
      <c r="F28" s="143"/>
    </row>
    <row r="29" spans="1:6" x14ac:dyDescent="0.35">
      <c r="B29" s="196">
        <v>94686</v>
      </c>
      <c r="C29" s="196">
        <v>17298</v>
      </c>
      <c r="D29" s="196">
        <f t="shared" ref="D29" si="3">SUM(B29:C29)</f>
        <v>111984</v>
      </c>
      <c r="E29" s="143"/>
      <c r="F29" s="143"/>
    </row>
    <row r="30" spans="1:6" x14ac:dyDescent="0.35">
      <c r="B30" s="201">
        <v>80605</v>
      </c>
      <c r="C30" s="201">
        <v>24413</v>
      </c>
      <c r="D30" s="201">
        <f>SUM(B30:C30)</f>
        <v>105018</v>
      </c>
      <c r="E30" s="143"/>
      <c r="F30" s="143"/>
    </row>
    <row r="31" spans="1:6" x14ac:dyDescent="0.35">
      <c r="B31" s="209">
        <v>38919.879999999997</v>
      </c>
      <c r="C31" s="209">
        <v>16351</v>
      </c>
      <c r="D31" s="209">
        <f>SUM(B31:C31)</f>
        <v>55270.879999999997</v>
      </c>
      <c r="E31" s="143"/>
      <c r="F31" s="143"/>
    </row>
    <row r="32" spans="1:6" x14ac:dyDescent="0.35">
      <c r="B32" s="143">
        <f>SUM(B28:B31)</f>
        <v>543910.88</v>
      </c>
      <c r="C32" s="143">
        <f t="shared" ref="C32:D32" si="4">SUM(C28:C31)</f>
        <v>83322</v>
      </c>
      <c r="D32" s="143">
        <f t="shared" si="4"/>
        <v>627232.88</v>
      </c>
      <c r="E32" s="143"/>
      <c r="F32" s="143"/>
    </row>
    <row r="33" spans="1:6" x14ac:dyDescent="0.35">
      <c r="B33" s="143"/>
      <c r="C33" s="143"/>
      <c r="D33" s="143"/>
      <c r="E33" s="143"/>
      <c r="F33" s="143"/>
    </row>
    <row r="34" spans="1:6" x14ac:dyDescent="0.35">
      <c r="B34" s="143"/>
      <c r="C34" s="143"/>
      <c r="D34" s="143"/>
      <c r="E34" s="143"/>
      <c r="F34" s="143"/>
    </row>
    <row r="35" spans="1:6" x14ac:dyDescent="0.35">
      <c r="B35" s="143"/>
      <c r="C35" s="143"/>
      <c r="D35" s="143"/>
      <c r="E35" s="143"/>
      <c r="F35" s="143"/>
    </row>
    <row r="36" spans="1:6" x14ac:dyDescent="0.35">
      <c r="B36" s="143"/>
      <c r="C36" s="143"/>
      <c r="D36" s="143"/>
      <c r="E36" s="143"/>
      <c r="F36" s="143"/>
    </row>
    <row r="37" spans="1:6" x14ac:dyDescent="0.35">
      <c r="A37" t="s">
        <v>334</v>
      </c>
      <c r="B37" s="194">
        <v>116250</v>
      </c>
      <c r="C37" s="194">
        <v>2075</v>
      </c>
      <c r="D37" s="194">
        <f>SUM(B37:C37)</f>
        <v>118325</v>
      </c>
      <c r="E37" s="143"/>
      <c r="F37" s="143"/>
    </row>
    <row r="38" spans="1:6" x14ac:dyDescent="0.35">
      <c r="B38" s="196">
        <v>103568</v>
      </c>
      <c r="C38" s="196">
        <v>8416</v>
      </c>
      <c r="D38" s="196">
        <f>SUM(B38:C38)</f>
        <v>111984</v>
      </c>
      <c r="E38" s="143"/>
      <c r="F38" s="143"/>
    </row>
    <row r="39" spans="1:6" x14ac:dyDescent="0.35">
      <c r="B39" s="201">
        <v>88385</v>
      </c>
      <c r="C39" s="201">
        <v>16633</v>
      </c>
      <c r="D39" s="201">
        <f>SUM(B39:C39)</f>
        <v>105018</v>
      </c>
      <c r="E39" s="143"/>
      <c r="F39" s="143"/>
    </row>
    <row r="40" spans="1:6" x14ac:dyDescent="0.35">
      <c r="B40" s="207">
        <v>63183</v>
      </c>
      <c r="C40" s="207">
        <v>19724</v>
      </c>
      <c r="D40" s="207">
        <f>SUM(B40:C40)</f>
        <v>82907</v>
      </c>
      <c r="E40" s="143"/>
      <c r="F40" s="143"/>
    </row>
    <row r="41" spans="1:6" x14ac:dyDescent="0.35">
      <c r="B41" s="216">
        <v>17535</v>
      </c>
      <c r="C41" s="216">
        <v>7829</v>
      </c>
      <c r="D41" s="216">
        <f>SUM(B41:C41)</f>
        <v>25364</v>
      </c>
      <c r="E41" s="143"/>
      <c r="F41" s="143"/>
    </row>
    <row r="42" spans="1:6" x14ac:dyDescent="0.35">
      <c r="B42" s="143">
        <f>SUM(B37:B41)</f>
        <v>388921</v>
      </c>
      <c r="C42" s="143">
        <f t="shared" ref="C42:D42" si="5">SUM(C37:C41)</f>
        <v>54677</v>
      </c>
      <c r="D42" s="143">
        <f t="shared" si="5"/>
        <v>443598</v>
      </c>
      <c r="E42" s="143"/>
      <c r="F42" s="143"/>
    </row>
    <row r="43" spans="1:6" x14ac:dyDescent="0.35">
      <c r="B43" s="143"/>
      <c r="C43" s="143"/>
      <c r="D43" s="143"/>
      <c r="E43" s="143"/>
      <c r="F43" s="143"/>
    </row>
    <row r="44" spans="1:6" x14ac:dyDescent="0.35">
      <c r="B44" s="143"/>
      <c r="C44" s="143"/>
      <c r="D44" s="143"/>
      <c r="E44" s="143"/>
      <c r="F44" s="143"/>
    </row>
    <row r="45" spans="1:6" x14ac:dyDescent="0.35">
      <c r="A45" t="s">
        <v>350</v>
      </c>
      <c r="B45" s="196">
        <v>36639</v>
      </c>
      <c r="C45" s="196">
        <v>690</v>
      </c>
      <c r="D45" s="196">
        <f>SUM(B45:C45)</f>
        <v>37329</v>
      </c>
      <c r="E45" s="143"/>
      <c r="F45" s="143"/>
    </row>
    <row r="46" spans="1:6" x14ac:dyDescent="0.35">
      <c r="B46" s="201">
        <v>96916</v>
      </c>
      <c r="C46" s="201">
        <v>8101</v>
      </c>
      <c r="D46" s="201">
        <f>SUM(B46:C46)</f>
        <v>105017</v>
      </c>
      <c r="E46" s="143"/>
      <c r="F46" s="143"/>
    </row>
    <row r="47" spans="1:6" x14ac:dyDescent="0.35">
      <c r="B47" s="207">
        <v>69454</v>
      </c>
      <c r="C47" s="207">
        <v>13453</v>
      </c>
      <c r="D47" s="207">
        <f>SUM(B47:C47)</f>
        <v>82907</v>
      </c>
      <c r="E47" s="143"/>
      <c r="F47" s="143"/>
    </row>
    <row r="48" spans="1:6" x14ac:dyDescent="0.35">
      <c r="B48" s="214">
        <v>28584</v>
      </c>
      <c r="C48" s="214">
        <v>9461</v>
      </c>
      <c r="D48" s="214">
        <f>B48+C48</f>
        <v>38045</v>
      </c>
      <c r="E48" s="143"/>
      <c r="F48" s="143"/>
    </row>
    <row r="49" spans="1:6" x14ac:dyDescent="0.35">
      <c r="B49" s="143"/>
      <c r="C49" s="143"/>
      <c r="D49" s="143"/>
      <c r="E49" s="143"/>
      <c r="F49" s="143"/>
    </row>
    <row r="50" spans="1:6" x14ac:dyDescent="0.35">
      <c r="B50" s="143"/>
      <c r="C50" s="143"/>
      <c r="D50" s="143"/>
      <c r="E50" s="143"/>
      <c r="F50" s="143"/>
    </row>
    <row r="51" spans="1:6" x14ac:dyDescent="0.35">
      <c r="B51" s="143"/>
      <c r="C51" s="143"/>
      <c r="D51" s="143"/>
      <c r="E51" s="143"/>
      <c r="F51" s="143"/>
    </row>
    <row r="53" spans="1:6" x14ac:dyDescent="0.35">
      <c r="A53" t="s">
        <v>353</v>
      </c>
      <c r="B53" s="201">
        <v>34342</v>
      </c>
      <c r="C53" s="201">
        <v>665</v>
      </c>
      <c r="D53" s="204">
        <f>SUM(B53:C53)</f>
        <v>35007</v>
      </c>
    </row>
    <row r="54" spans="1:6" x14ac:dyDescent="0.35">
      <c r="B54" s="207">
        <v>76347</v>
      </c>
      <c r="C54" s="207">
        <v>6560</v>
      </c>
      <c r="D54" s="207">
        <f>SUM(B54:C54)</f>
        <v>82907</v>
      </c>
    </row>
    <row r="55" spans="1:6" x14ac:dyDescent="0.35">
      <c r="B55" s="214">
        <v>31577</v>
      </c>
      <c r="C55" s="214">
        <v>6467</v>
      </c>
      <c r="D55" s="214">
        <f>SUM(B55:C55)</f>
        <v>38044</v>
      </c>
    </row>
    <row r="56" spans="1:6" x14ac:dyDescent="0.35">
      <c r="B56" s="143"/>
      <c r="C56" s="143"/>
      <c r="D56" s="143"/>
    </row>
    <row r="57" spans="1:6" x14ac:dyDescent="0.35">
      <c r="B57" s="143"/>
      <c r="C57" s="143"/>
      <c r="D57" s="143"/>
    </row>
    <row r="58" spans="1:6" x14ac:dyDescent="0.35">
      <c r="A58" t="s">
        <v>356</v>
      </c>
      <c r="B58" s="207">
        <v>27098</v>
      </c>
      <c r="C58" s="207">
        <v>539</v>
      </c>
      <c r="D58" s="207">
        <f>SUM(B58:C58)</f>
        <v>27637</v>
      </c>
    </row>
    <row r="59" spans="1:6" x14ac:dyDescent="0.35">
      <c r="B59" s="214">
        <v>34884</v>
      </c>
      <c r="C59" s="214">
        <v>3161</v>
      </c>
      <c r="D59" s="214">
        <f>SUM(B59:C59)</f>
        <v>38045</v>
      </c>
    </row>
    <row r="60" spans="1:6" x14ac:dyDescent="0.35">
      <c r="B60" s="143"/>
      <c r="C60" s="143"/>
      <c r="D60" s="143"/>
    </row>
    <row r="61" spans="1:6" x14ac:dyDescent="0.35">
      <c r="B61" s="143"/>
      <c r="C61" s="143"/>
      <c r="D61" s="143"/>
    </row>
    <row r="62" spans="1:6" x14ac:dyDescent="0.35">
      <c r="A62" t="s">
        <v>360</v>
      </c>
      <c r="B62" s="214">
        <v>12422</v>
      </c>
      <c r="C62" s="214">
        <v>260</v>
      </c>
      <c r="D62" s="214">
        <f>SUM(B62:C62)</f>
        <v>12682</v>
      </c>
    </row>
    <row r="63" spans="1:6" x14ac:dyDescent="0.35">
      <c r="B63" s="143"/>
      <c r="C63" s="143"/>
      <c r="D63" s="14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5" workbookViewId="0">
      <selection activeCell="G25" sqref="G25"/>
    </sheetView>
  </sheetViews>
  <sheetFormatPr defaultRowHeight="14.5" x14ac:dyDescent="0.35"/>
  <cols>
    <col min="1" max="4" width="3" style="132" customWidth="1"/>
    <col min="5" max="5" width="59.81640625" style="132" customWidth="1"/>
    <col min="6" max="6" width="5.81640625" style="125" bestFit="1" customWidth="1"/>
    <col min="7" max="7" width="10.08984375" style="125" bestFit="1" customWidth="1"/>
    <col min="8" max="8" width="9" style="125" bestFit="1" customWidth="1"/>
    <col min="9" max="9" width="8.453125" style="125" bestFit="1" customWidth="1"/>
  </cols>
  <sheetData>
    <row r="1" spans="1:9" ht="15.5" x14ac:dyDescent="0.35">
      <c r="A1" s="126" t="s">
        <v>193</v>
      </c>
      <c r="B1" s="127"/>
      <c r="C1" s="127"/>
      <c r="D1" s="127"/>
      <c r="E1" s="127"/>
      <c r="F1" s="162"/>
      <c r="G1" s="162"/>
      <c r="H1" s="162"/>
      <c r="I1" s="162"/>
    </row>
    <row r="2" spans="1:9" ht="18" x14ac:dyDescent="0.4">
      <c r="A2" s="128" t="s">
        <v>194</v>
      </c>
      <c r="B2" s="127"/>
      <c r="C2" s="127"/>
      <c r="D2" s="127"/>
      <c r="E2" s="127"/>
      <c r="F2" s="162"/>
      <c r="G2" s="162"/>
      <c r="H2" s="162"/>
      <c r="I2" s="162"/>
    </row>
    <row r="3" spans="1:9" x14ac:dyDescent="0.35">
      <c r="A3" s="129" t="s">
        <v>195</v>
      </c>
      <c r="B3" s="127"/>
      <c r="C3" s="127"/>
      <c r="D3" s="127"/>
      <c r="E3" s="127"/>
      <c r="F3" s="162"/>
      <c r="G3" s="162"/>
      <c r="H3" s="162"/>
      <c r="I3" s="162"/>
    </row>
    <row r="4" spans="1:9" x14ac:dyDescent="0.35">
      <c r="A4" s="130"/>
      <c r="B4" s="130"/>
      <c r="C4" s="130"/>
      <c r="D4" s="130"/>
      <c r="E4" s="130"/>
      <c r="F4" s="163"/>
      <c r="G4" s="163"/>
      <c r="H4" s="163"/>
      <c r="I4" s="163"/>
    </row>
    <row r="5" spans="1:9" ht="15" thickBot="1" x14ac:dyDescent="0.4">
      <c r="A5" s="130"/>
      <c r="B5" s="130"/>
      <c r="C5" s="130"/>
      <c r="D5" s="130"/>
      <c r="E5" s="130"/>
      <c r="F5" s="164" t="s">
        <v>302</v>
      </c>
      <c r="G5" s="163"/>
      <c r="H5" s="163"/>
      <c r="I5" s="163"/>
    </row>
    <row r="6" spans="1:9" ht="15.5" thickTop="1" thickBot="1" x14ac:dyDescent="0.4">
      <c r="A6" s="131"/>
      <c r="B6" s="131"/>
      <c r="C6" s="131"/>
      <c r="D6" s="131"/>
      <c r="E6" s="131"/>
      <c r="F6" s="165" t="s">
        <v>196</v>
      </c>
      <c r="G6" s="165" t="s">
        <v>197</v>
      </c>
      <c r="H6" s="165" t="s">
        <v>198</v>
      </c>
      <c r="I6" s="165" t="s">
        <v>199</v>
      </c>
    </row>
    <row r="7" spans="1:9" ht="15" thickTop="1" x14ac:dyDescent="0.35">
      <c r="A7" s="130"/>
      <c r="B7" s="130" t="s">
        <v>200</v>
      </c>
      <c r="C7" s="130"/>
      <c r="D7" s="130"/>
      <c r="E7" s="130"/>
      <c r="F7" s="166"/>
      <c r="G7" s="166"/>
      <c r="H7" s="167"/>
      <c r="I7" s="166"/>
    </row>
    <row r="8" spans="1:9" x14ac:dyDescent="0.35">
      <c r="A8" s="130"/>
      <c r="B8" s="130"/>
      <c r="C8" s="130" t="s">
        <v>201</v>
      </c>
      <c r="D8" s="130"/>
      <c r="E8" s="130"/>
      <c r="F8" s="166"/>
      <c r="G8" s="166"/>
      <c r="H8" s="167"/>
      <c r="I8" s="166"/>
    </row>
    <row r="9" spans="1:9" ht="15" thickBot="1" x14ac:dyDescent="0.4">
      <c r="A9" s="130"/>
      <c r="B9" s="130"/>
      <c r="C9" s="130"/>
      <c r="D9" s="130" t="s">
        <v>202</v>
      </c>
      <c r="E9" s="130"/>
      <c r="F9" s="168">
        <v>0</v>
      </c>
      <c r="G9" s="168">
        <v>0</v>
      </c>
      <c r="H9" s="169">
        <f>ROUND(IF(G37=0, 0, G9/G37),5)</f>
        <v>0</v>
      </c>
      <c r="I9" s="168">
        <v>0</v>
      </c>
    </row>
    <row r="10" spans="1:9" ht="15" thickBot="1" x14ac:dyDescent="0.4">
      <c r="A10" s="130"/>
      <c r="B10" s="130"/>
      <c r="C10" s="130"/>
      <c r="D10" s="130" t="s">
        <v>203</v>
      </c>
      <c r="E10" s="130"/>
      <c r="F10" s="170">
        <v>11</v>
      </c>
      <c r="G10" s="168">
        <v>2750</v>
      </c>
      <c r="H10" s="169">
        <f>ROUND(IF(G37=0, 0, G10/G37),5)</f>
        <v>0.18337000000000001</v>
      </c>
      <c r="I10" s="168">
        <v>250</v>
      </c>
    </row>
    <row r="11" spans="1:9" x14ac:dyDescent="0.35">
      <c r="A11" s="130"/>
      <c r="B11" s="130"/>
      <c r="C11" s="130" t="s">
        <v>204</v>
      </c>
      <c r="D11" s="130"/>
      <c r="E11" s="130"/>
      <c r="F11" s="166">
        <f>ROUND(F8+SUM(F10:F10),5)</f>
        <v>11</v>
      </c>
      <c r="G11" s="166">
        <f>ROUND(G8+SUM(G10:G10),5)</f>
        <v>2750</v>
      </c>
      <c r="H11" s="167">
        <f>ROUND(IF(G37=0, 0, G11/G37),5)</f>
        <v>0.18337000000000001</v>
      </c>
      <c r="I11" s="166">
        <v>250</v>
      </c>
    </row>
    <row r="12" spans="1:9" x14ac:dyDescent="0.35">
      <c r="A12" s="130"/>
      <c r="B12" s="130"/>
      <c r="C12" s="130" t="s">
        <v>205</v>
      </c>
      <c r="D12" s="130"/>
      <c r="E12" s="130"/>
      <c r="F12" s="166"/>
      <c r="G12" s="166"/>
      <c r="H12" s="167"/>
      <c r="I12" s="166"/>
    </row>
    <row r="13" spans="1:9" x14ac:dyDescent="0.35">
      <c r="A13" s="130"/>
      <c r="B13" s="130"/>
      <c r="C13" s="130"/>
      <c r="D13" s="130" t="s">
        <v>206</v>
      </c>
      <c r="E13" s="130"/>
      <c r="F13" s="166">
        <v>0</v>
      </c>
      <c r="G13" s="166">
        <v>0</v>
      </c>
      <c r="H13" s="167">
        <f>ROUND(IF(G37=0, 0, G13/G37),5)</f>
        <v>0</v>
      </c>
      <c r="I13" s="166">
        <v>0</v>
      </c>
    </row>
    <row r="14" spans="1:9" x14ac:dyDescent="0.35">
      <c r="A14" s="130"/>
      <c r="B14" s="130"/>
      <c r="C14" s="130"/>
      <c r="D14" s="130" t="s">
        <v>207</v>
      </c>
      <c r="E14" s="130"/>
      <c r="F14" s="166">
        <v>0.5</v>
      </c>
      <c r="G14" s="166">
        <v>25</v>
      </c>
      <c r="H14" s="167">
        <f>ROUND(IF(G37=0, 0, G14/G37),5)</f>
        <v>1.67E-3</v>
      </c>
      <c r="I14" s="166">
        <v>50</v>
      </c>
    </row>
    <row r="15" spans="1:9" x14ac:dyDescent="0.35">
      <c r="A15" s="130"/>
      <c r="B15" s="130"/>
      <c r="C15" s="130"/>
      <c r="D15" s="130" t="s">
        <v>208</v>
      </c>
      <c r="E15" s="130"/>
      <c r="F15" s="166">
        <v>0</v>
      </c>
      <c r="G15" s="166">
        <v>0</v>
      </c>
      <c r="H15" s="167">
        <f>ROUND(IF(G37=0, 0, G15/G37),5)</f>
        <v>0</v>
      </c>
      <c r="I15" s="166">
        <v>0</v>
      </c>
    </row>
    <row r="16" spans="1:9" x14ac:dyDescent="0.35">
      <c r="A16" s="130"/>
      <c r="B16" s="130"/>
      <c r="C16" s="130"/>
      <c r="D16" s="130" t="s">
        <v>209</v>
      </c>
      <c r="E16" s="130"/>
      <c r="F16" s="166">
        <v>0</v>
      </c>
      <c r="G16" s="166">
        <v>0</v>
      </c>
      <c r="H16" s="167">
        <f>ROUND(IF(G37=0, 0, G16/G37),5)</f>
        <v>0</v>
      </c>
      <c r="I16" s="166">
        <v>0</v>
      </c>
    </row>
    <row r="17" spans="1:9" x14ac:dyDescent="0.35">
      <c r="A17" s="130"/>
      <c r="B17" s="130"/>
      <c r="C17" s="130"/>
      <c r="D17" s="130" t="s">
        <v>210</v>
      </c>
      <c r="E17" s="130"/>
      <c r="F17" s="166">
        <v>0</v>
      </c>
      <c r="G17" s="166">
        <v>0</v>
      </c>
      <c r="H17" s="167">
        <f>ROUND(IF(G37=0, 0, G17/G37),5)</f>
        <v>0</v>
      </c>
      <c r="I17" s="166">
        <v>0</v>
      </c>
    </row>
    <row r="18" spans="1:9" x14ac:dyDescent="0.35">
      <c r="A18" s="130"/>
      <c r="B18" s="130"/>
      <c r="C18" s="130"/>
      <c r="D18" s="130" t="s">
        <v>211</v>
      </c>
      <c r="E18" s="130"/>
      <c r="F18" s="166">
        <v>0.5</v>
      </c>
      <c r="G18" s="166">
        <v>34.75</v>
      </c>
      <c r="H18" s="167">
        <f>ROUND(IF(G37=0, 0, G18/G37),5)</f>
        <v>2.32E-3</v>
      </c>
      <c r="I18" s="166">
        <v>69.5</v>
      </c>
    </row>
    <row r="19" spans="1:9" x14ac:dyDescent="0.35">
      <c r="A19" s="130"/>
      <c r="B19" s="130"/>
      <c r="C19" s="130"/>
      <c r="D19" s="130" t="s">
        <v>212</v>
      </c>
      <c r="E19" s="130"/>
      <c r="F19" s="166">
        <v>3.5</v>
      </c>
      <c r="G19" s="166">
        <v>241.38</v>
      </c>
      <c r="H19" s="167">
        <f>ROUND(IF(G37=0, 0, G19/G37),5)</f>
        <v>1.61E-2</v>
      </c>
      <c r="I19" s="166">
        <v>68.97</v>
      </c>
    </row>
    <row r="20" spans="1:9" x14ac:dyDescent="0.35">
      <c r="A20" s="130"/>
      <c r="B20" s="130"/>
      <c r="C20" s="130"/>
      <c r="D20" s="130" t="s">
        <v>213</v>
      </c>
      <c r="E20" s="130"/>
      <c r="F20" s="166">
        <v>16.55</v>
      </c>
      <c r="G20" s="166">
        <v>1011.1</v>
      </c>
      <c r="H20" s="167">
        <f>ROUND(IF(G37=0, 0, G20/G37),5)</f>
        <v>6.7419999999999994E-2</v>
      </c>
      <c r="I20" s="166">
        <v>61.09</v>
      </c>
    </row>
    <row r="21" spans="1:9" x14ac:dyDescent="0.35">
      <c r="A21" s="130"/>
      <c r="B21" s="130"/>
      <c r="C21" s="130"/>
      <c r="D21" s="130" t="s">
        <v>214</v>
      </c>
      <c r="E21" s="130"/>
      <c r="F21" s="166">
        <v>0</v>
      </c>
      <c r="G21" s="166">
        <v>0</v>
      </c>
      <c r="H21" s="167">
        <f>ROUND(IF(G37=0, 0, G21/G37),5)</f>
        <v>0</v>
      </c>
      <c r="I21" s="166">
        <v>0</v>
      </c>
    </row>
    <row r="22" spans="1:9" x14ac:dyDescent="0.35">
      <c r="A22" s="130"/>
      <c r="B22" s="130"/>
      <c r="C22" s="130"/>
      <c r="D22" s="130" t="s">
        <v>215</v>
      </c>
      <c r="E22" s="130"/>
      <c r="F22" s="166">
        <v>0</v>
      </c>
      <c r="G22" s="166">
        <v>0</v>
      </c>
      <c r="H22" s="167">
        <f>ROUND(IF(G37=0, 0, G22/G37),5)</f>
        <v>0</v>
      </c>
      <c r="I22" s="166">
        <v>0</v>
      </c>
    </row>
    <row r="23" spans="1:9" x14ac:dyDescent="0.35">
      <c r="A23" s="130"/>
      <c r="B23" s="130"/>
      <c r="C23" s="130"/>
      <c r="D23" s="130" t="s">
        <v>216</v>
      </c>
      <c r="E23" s="130"/>
      <c r="F23" s="166">
        <v>0</v>
      </c>
      <c r="G23" s="166">
        <v>0</v>
      </c>
      <c r="H23" s="167">
        <f>ROUND(IF(G37=0, 0, G23/G37),5)</f>
        <v>0</v>
      </c>
      <c r="I23" s="166">
        <v>0</v>
      </c>
    </row>
    <row r="24" spans="1:9" x14ac:dyDescent="0.35">
      <c r="A24" s="130"/>
      <c r="B24" s="130"/>
      <c r="C24" s="130"/>
      <c r="D24" s="130" t="s">
        <v>217</v>
      </c>
      <c r="E24" s="130"/>
      <c r="F24" s="166">
        <v>65.25</v>
      </c>
      <c r="G24" s="166">
        <v>4371.75</v>
      </c>
      <c r="H24" s="167">
        <f>ROUND(IF(G37=0, 0, G24/G37),5)</f>
        <v>0.29150999999999999</v>
      </c>
      <c r="I24" s="166">
        <v>67</v>
      </c>
    </row>
    <row r="25" spans="1:9" x14ac:dyDescent="0.35">
      <c r="A25" s="130"/>
      <c r="B25" s="130"/>
      <c r="C25" s="130"/>
      <c r="D25" s="130" t="s">
        <v>218</v>
      </c>
      <c r="E25" s="130"/>
      <c r="F25" s="166">
        <v>79.52</v>
      </c>
      <c r="G25" s="166">
        <v>5327.84</v>
      </c>
      <c r="H25" s="167">
        <f>ROUND(IF(G37=0, 0, G25/G37),5)</f>
        <v>0.35526000000000002</v>
      </c>
      <c r="I25" s="166">
        <v>67</v>
      </c>
    </row>
    <row r="26" spans="1:9" x14ac:dyDescent="0.35">
      <c r="A26" s="130"/>
      <c r="B26" s="130"/>
      <c r="C26" s="130"/>
      <c r="D26" s="130" t="s">
        <v>219</v>
      </c>
      <c r="E26" s="130"/>
      <c r="F26" s="166">
        <v>19</v>
      </c>
      <c r="G26" s="166">
        <v>1235</v>
      </c>
      <c r="H26" s="167">
        <f>ROUND(IF(G37=0, 0, G26/G37),5)</f>
        <v>8.2350000000000007E-2</v>
      </c>
      <c r="I26" s="166">
        <v>65</v>
      </c>
    </row>
    <row r="27" spans="1:9" x14ac:dyDescent="0.35">
      <c r="A27" s="130"/>
      <c r="B27" s="130"/>
      <c r="C27" s="130"/>
      <c r="D27" s="130" t="s">
        <v>220</v>
      </c>
      <c r="E27" s="130"/>
      <c r="F27" s="166"/>
      <c r="G27" s="166"/>
      <c r="H27" s="167"/>
      <c r="I27" s="166"/>
    </row>
    <row r="28" spans="1:9" ht="15" thickBot="1" x14ac:dyDescent="0.4">
      <c r="A28" s="130"/>
      <c r="B28" s="130"/>
      <c r="C28" s="130"/>
      <c r="D28" s="130"/>
      <c r="E28" s="130" t="s">
        <v>220</v>
      </c>
      <c r="F28" s="168">
        <v>0</v>
      </c>
      <c r="G28" s="168">
        <v>0</v>
      </c>
      <c r="H28" s="169">
        <f>ROUND(IF(G37=0, 0, G28/G37),5)</f>
        <v>0</v>
      </c>
      <c r="I28" s="168">
        <v>0</v>
      </c>
    </row>
    <row r="29" spans="1:9" x14ac:dyDescent="0.35">
      <c r="A29" s="130"/>
      <c r="B29" s="130"/>
      <c r="C29" s="130"/>
      <c r="D29" s="130" t="s">
        <v>221</v>
      </c>
      <c r="E29" s="130"/>
      <c r="F29" s="166">
        <f>ROUND(SUM(F27:F28),5)</f>
        <v>0</v>
      </c>
      <c r="G29" s="166">
        <f>ROUND(SUM(G27:G28),5)</f>
        <v>0</v>
      </c>
      <c r="H29" s="167">
        <f>ROUND(IF(G37=0, 0, G29/G37),5)</f>
        <v>0</v>
      </c>
      <c r="I29" s="166">
        <v>0</v>
      </c>
    </row>
    <row r="30" spans="1:9" x14ac:dyDescent="0.35">
      <c r="A30" s="130"/>
      <c r="B30" s="130"/>
      <c r="C30" s="130"/>
      <c r="D30" s="130" t="s">
        <v>222</v>
      </c>
      <c r="E30" s="130"/>
      <c r="F30" s="166">
        <v>0</v>
      </c>
      <c r="G30" s="166">
        <v>0</v>
      </c>
      <c r="H30" s="167">
        <f>ROUND(IF(G37=0, 0, G30/G37),5)</f>
        <v>0</v>
      </c>
      <c r="I30" s="166">
        <v>0</v>
      </c>
    </row>
    <row r="31" spans="1:9" ht="15" thickBot="1" x14ac:dyDescent="0.4">
      <c r="A31" s="130"/>
      <c r="B31" s="130"/>
      <c r="C31" s="130"/>
      <c r="D31" s="130" t="s">
        <v>223</v>
      </c>
      <c r="E31" s="130"/>
      <c r="F31" s="168">
        <v>0</v>
      </c>
      <c r="G31" s="168">
        <v>0</v>
      </c>
      <c r="H31" s="169">
        <f>ROUND(IF(G37=0, 0, G31/G37),5)</f>
        <v>0</v>
      </c>
      <c r="I31" s="168">
        <v>0</v>
      </c>
    </row>
    <row r="32" spans="1:9" x14ac:dyDescent="0.35">
      <c r="A32" s="130"/>
      <c r="B32" s="130"/>
      <c r="C32" s="130" t="s">
        <v>224</v>
      </c>
      <c r="D32" s="130"/>
      <c r="E32" s="130"/>
      <c r="F32" s="166">
        <f>ROUND(SUM(F12:F26)+SUM(F29:F31),5)</f>
        <v>184.82</v>
      </c>
      <c r="G32" s="166">
        <f>ROUND(SUM(G12:G26)+SUM(G29:G31),5)</f>
        <v>12246.82</v>
      </c>
      <c r="H32" s="167">
        <f>ROUND(IF(G37=0, 0, G32/G37),5)</f>
        <v>0.81662999999999997</v>
      </c>
      <c r="I32" s="166">
        <v>66.260000000000005</v>
      </c>
    </row>
    <row r="33" spans="1:9" x14ac:dyDescent="0.35">
      <c r="A33" s="130"/>
      <c r="B33" s="130"/>
      <c r="C33" s="130" t="s">
        <v>225</v>
      </c>
      <c r="D33" s="130"/>
      <c r="E33" s="130"/>
      <c r="F33" s="166">
        <v>0</v>
      </c>
      <c r="G33" s="166">
        <v>0</v>
      </c>
      <c r="H33" s="167">
        <f>ROUND(IF(G37=0, 0, G33/G37),5)</f>
        <v>0</v>
      </c>
      <c r="I33" s="166">
        <v>0</v>
      </c>
    </row>
    <row r="34" spans="1:9" x14ac:dyDescent="0.35">
      <c r="A34" s="130"/>
      <c r="B34" s="130"/>
      <c r="C34" s="130" t="s">
        <v>226</v>
      </c>
      <c r="D34" s="130"/>
      <c r="E34" s="130"/>
      <c r="F34" s="166">
        <v>0</v>
      </c>
      <c r="G34" s="166">
        <v>0</v>
      </c>
      <c r="H34" s="167">
        <f>ROUND(IF(G37=0, 0, G34/G37),5)</f>
        <v>0</v>
      </c>
      <c r="I34" s="166">
        <v>0</v>
      </c>
    </row>
    <row r="35" spans="1:9" ht="15" thickBot="1" x14ac:dyDescent="0.4">
      <c r="A35" s="130"/>
      <c r="B35" s="130"/>
      <c r="C35" s="130" t="s">
        <v>227</v>
      </c>
      <c r="D35" s="130"/>
      <c r="E35" s="130"/>
      <c r="F35" s="166">
        <v>0</v>
      </c>
      <c r="G35" s="166">
        <v>0</v>
      </c>
      <c r="H35" s="167">
        <f>ROUND(IF(G37=0, 0, G35/G37),5)</f>
        <v>0</v>
      </c>
      <c r="I35" s="166">
        <v>0</v>
      </c>
    </row>
    <row r="36" spans="1:9" ht="15" thickBot="1" x14ac:dyDescent="0.4">
      <c r="A36" s="130"/>
      <c r="B36" s="130" t="s">
        <v>228</v>
      </c>
      <c r="C36" s="130"/>
      <c r="D36" s="130"/>
      <c r="E36" s="130"/>
      <c r="F36" s="171">
        <f>ROUND(F7+F11+SUM(F32:F35),5)</f>
        <v>195.82</v>
      </c>
      <c r="G36" s="171">
        <f>ROUND(G7+G11+SUM(G32:G35),5)</f>
        <v>14996.82</v>
      </c>
      <c r="H36" s="172">
        <f>ROUND(IF(G37=0, 0, G36/G37),5)</f>
        <v>1</v>
      </c>
      <c r="I36" s="171">
        <v>76.58</v>
      </c>
    </row>
    <row r="37" spans="1:9" ht="15" thickBot="1" x14ac:dyDescent="0.4">
      <c r="A37" s="130" t="s">
        <v>229</v>
      </c>
      <c r="B37" s="130"/>
      <c r="C37" s="130"/>
      <c r="D37" s="130"/>
      <c r="E37" s="130"/>
      <c r="F37" s="173">
        <f>F36</f>
        <v>195.82</v>
      </c>
      <c r="G37" s="173">
        <f>G36</f>
        <v>14996.82</v>
      </c>
      <c r="H37" s="174">
        <f>ROUND(IF(G37=0, 0, G37/G37),5)</f>
        <v>1</v>
      </c>
      <c r="I37" s="173">
        <v>76.58</v>
      </c>
    </row>
    <row r="38" spans="1:9" ht="15" thickTop="1" x14ac:dyDescent="0.35">
      <c r="E38" s="132" t="s">
        <v>230</v>
      </c>
      <c r="G38" s="175">
        <f>G37*2</f>
        <v>29993.64</v>
      </c>
    </row>
    <row r="39" spans="1:9" x14ac:dyDescent="0.35">
      <c r="G39" s="125">
        <v>489</v>
      </c>
    </row>
    <row r="40" spans="1:9" x14ac:dyDescent="0.35">
      <c r="G40" s="176">
        <f>G38/G39</f>
        <v>61.336687116564413</v>
      </c>
    </row>
    <row r="41" spans="1:9" x14ac:dyDescent="0.35">
      <c r="G41" s="176">
        <f>G40*1.05</f>
        <v>64.40352147239264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opLeftCell="A168" zoomScale="75" zoomScaleNormal="75" workbookViewId="0">
      <selection activeCell="D182" sqref="D182"/>
    </sheetView>
  </sheetViews>
  <sheetFormatPr defaultColWidth="8.6328125"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  <col min="11" max="11" width="6.54296875" style="54" customWidth="1"/>
    <col min="12" max="12" width="22.1796875" style="54" customWidth="1"/>
    <col min="13" max="16384" width="8.6328125" style="7"/>
  </cols>
  <sheetData>
    <row r="1" spans="1:12" s="3" customFormat="1" x14ac:dyDescent="0.35">
      <c r="A1" s="1" t="s">
        <v>284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282</v>
      </c>
      <c r="J1" s="2"/>
      <c r="K1" s="2"/>
      <c r="L1" s="2"/>
    </row>
    <row r="2" spans="1:12" x14ac:dyDescent="0.35">
      <c r="A2" s="4" t="s">
        <v>3</v>
      </c>
      <c r="B2" s="5">
        <v>8966</v>
      </c>
      <c r="C2" s="5"/>
      <c r="D2" s="5"/>
      <c r="E2" s="5"/>
      <c r="F2" s="5"/>
      <c r="G2" s="5"/>
      <c r="H2" s="5"/>
      <c r="I2" s="5">
        <f>SUM(B2:H2)</f>
        <v>8966</v>
      </c>
      <c r="J2" s="6"/>
      <c r="K2" s="53"/>
      <c r="L2" s="53"/>
    </row>
    <row r="3" spans="1:12" x14ac:dyDescent="0.35">
      <c r="A3" s="8" t="s">
        <v>4</v>
      </c>
      <c r="B3" s="9">
        <f t="shared" ref="B3" si="0">B4+B5+B6+B7+B8+B9+B10+B11+B12+B13+B14+B15+B16</f>
        <v>498</v>
      </c>
      <c r="C3" s="9"/>
      <c r="D3" s="9"/>
      <c r="E3" s="9"/>
      <c r="F3" s="9"/>
      <c r="G3" s="9"/>
      <c r="H3" s="9"/>
      <c r="I3" s="9">
        <f t="shared" ref="I3:I16" si="1">SUM(B3:H3)</f>
        <v>498</v>
      </c>
      <c r="J3" s="6"/>
      <c r="K3" s="53"/>
      <c r="L3" s="53"/>
    </row>
    <row r="4" spans="1:12" x14ac:dyDescent="0.35">
      <c r="A4" s="103" t="s">
        <v>5</v>
      </c>
      <c r="B4" s="5">
        <v>50</v>
      </c>
      <c r="C4" s="10"/>
      <c r="D4" s="10"/>
      <c r="E4" s="10"/>
      <c r="F4" s="10"/>
      <c r="G4" s="10"/>
      <c r="H4" s="10"/>
      <c r="I4" s="10">
        <f t="shared" si="1"/>
        <v>50</v>
      </c>
      <c r="J4" s="116">
        <v>2</v>
      </c>
      <c r="K4" s="107"/>
      <c r="L4" s="107"/>
    </row>
    <row r="5" spans="1:12" x14ac:dyDescent="0.35">
      <c r="A5" s="8" t="s">
        <v>6</v>
      </c>
      <c r="B5" s="5">
        <v>52</v>
      </c>
      <c r="C5" s="10"/>
      <c r="D5" s="10"/>
      <c r="E5" s="10"/>
      <c r="F5" s="10"/>
      <c r="G5" s="10"/>
      <c r="H5" s="10"/>
      <c r="I5" s="10">
        <f t="shared" si="1"/>
        <v>52</v>
      </c>
      <c r="J5" s="116">
        <v>2</v>
      </c>
      <c r="K5" s="107"/>
      <c r="L5" s="107"/>
    </row>
    <row r="6" spans="1:12" x14ac:dyDescent="0.35">
      <c r="A6" s="8" t="s">
        <v>7</v>
      </c>
      <c r="B6" s="5">
        <v>52</v>
      </c>
      <c r="C6" s="10"/>
      <c r="D6" s="10"/>
      <c r="E6" s="10"/>
      <c r="F6" s="10"/>
      <c r="G6" s="10"/>
      <c r="H6" s="10"/>
      <c r="I6" s="10">
        <f t="shared" si="1"/>
        <v>52</v>
      </c>
      <c r="J6" s="116">
        <v>2</v>
      </c>
      <c r="K6" s="107"/>
      <c r="L6" s="107"/>
    </row>
    <row r="7" spans="1:12" x14ac:dyDescent="0.35">
      <c r="A7" s="12" t="s">
        <v>8</v>
      </c>
      <c r="B7" s="5">
        <v>52</v>
      </c>
      <c r="C7" s="10"/>
      <c r="D7" s="10"/>
      <c r="E7" s="10"/>
      <c r="F7" s="10"/>
      <c r="G7" s="10"/>
      <c r="H7" s="10"/>
      <c r="I7" s="10">
        <f t="shared" si="1"/>
        <v>52</v>
      </c>
      <c r="J7" s="116">
        <v>2</v>
      </c>
      <c r="K7" s="107"/>
      <c r="L7" s="107"/>
    </row>
    <row r="8" spans="1:12" x14ac:dyDescent="0.35">
      <c r="A8" s="12" t="s">
        <v>9</v>
      </c>
      <c r="B8" s="5">
        <v>52</v>
      </c>
      <c r="C8" s="10"/>
      <c r="D8" s="10"/>
      <c r="E8" s="10"/>
      <c r="F8" s="10"/>
      <c r="G8" s="10"/>
      <c r="H8" s="10"/>
      <c r="I8" s="10">
        <f t="shared" si="1"/>
        <v>52</v>
      </c>
      <c r="J8" s="116">
        <v>2</v>
      </c>
      <c r="K8" s="107"/>
      <c r="L8" s="107"/>
    </row>
    <row r="9" spans="1:12" x14ac:dyDescent="0.35">
      <c r="A9" s="12" t="s">
        <v>10</v>
      </c>
      <c r="B9" s="5">
        <v>54</v>
      </c>
      <c r="C9" s="10"/>
      <c r="D9" s="10"/>
      <c r="E9" s="10"/>
      <c r="F9" s="10"/>
      <c r="G9" s="10"/>
      <c r="H9" s="10"/>
      <c r="I9" s="10">
        <f t="shared" si="1"/>
        <v>54</v>
      </c>
      <c r="J9" s="116">
        <v>2</v>
      </c>
      <c r="K9" s="107"/>
      <c r="L9" s="107"/>
    </row>
    <row r="10" spans="1:12" x14ac:dyDescent="0.35">
      <c r="A10" s="12" t="s">
        <v>11</v>
      </c>
      <c r="B10" s="5">
        <v>62</v>
      </c>
      <c r="C10" s="5"/>
      <c r="D10" s="5"/>
      <c r="E10" s="5"/>
      <c r="F10" s="5"/>
      <c r="G10" s="5"/>
      <c r="H10" s="5"/>
      <c r="I10" s="10">
        <f t="shared" si="1"/>
        <v>62</v>
      </c>
      <c r="J10" s="116">
        <v>2</v>
      </c>
      <c r="K10" s="107"/>
      <c r="L10" s="107"/>
    </row>
    <row r="11" spans="1:12" x14ac:dyDescent="0.35">
      <c r="A11" s="12" t="s">
        <v>12</v>
      </c>
      <c r="B11" s="5">
        <v>62</v>
      </c>
      <c r="C11" s="5"/>
      <c r="D11" s="5"/>
      <c r="E11" s="5"/>
      <c r="F11" s="5"/>
      <c r="G11" s="5"/>
      <c r="H11" s="5"/>
      <c r="I11" s="10">
        <f t="shared" si="1"/>
        <v>62</v>
      </c>
      <c r="J11" s="116">
        <v>2</v>
      </c>
      <c r="K11" s="107"/>
      <c r="L11" s="107"/>
    </row>
    <row r="12" spans="1:12" x14ac:dyDescent="0.35">
      <c r="A12" s="12" t="s">
        <v>13</v>
      </c>
      <c r="B12" s="5">
        <v>62</v>
      </c>
      <c r="C12" s="5"/>
      <c r="D12" s="5"/>
      <c r="E12" s="5"/>
      <c r="F12" s="5"/>
      <c r="G12" s="5"/>
      <c r="H12" s="5"/>
      <c r="I12" s="10">
        <f t="shared" si="1"/>
        <v>62</v>
      </c>
      <c r="J12" s="116">
        <v>2</v>
      </c>
      <c r="K12" s="107"/>
      <c r="L12" s="107"/>
    </row>
    <row r="13" spans="1:12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f>B13/30</f>
        <v>0</v>
      </c>
    </row>
    <row r="14" spans="1:12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2">B14/30</f>
        <v>0</v>
      </c>
    </row>
    <row r="15" spans="1:12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2"/>
        <v>0</v>
      </c>
    </row>
    <row r="16" spans="1:12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</row>
    <row r="17" spans="1:12" x14ac:dyDescent="0.35">
      <c r="A17" s="104" t="s">
        <v>4</v>
      </c>
      <c r="B17" s="9">
        <f t="shared" ref="B17:H17" si="3">SUM(B4:B16)</f>
        <v>498</v>
      </c>
      <c r="C17" s="9">
        <f t="shared" si="3"/>
        <v>0</v>
      </c>
      <c r="D17" s="9">
        <f t="shared" si="3"/>
        <v>0</v>
      </c>
      <c r="E17" s="9"/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>SUM(I4:I16)</f>
        <v>498</v>
      </c>
      <c r="J17" s="117">
        <f>SUM(J4:J16)</f>
        <v>18</v>
      </c>
      <c r="K17" s="108"/>
      <c r="L17" s="108"/>
    </row>
    <row r="18" spans="1:12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  <c r="K18" s="7"/>
      <c r="L18" s="99"/>
    </row>
    <row r="19" spans="1:12" x14ac:dyDescent="0.35">
      <c r="A19" s="14" t="s">
        <v>18</v>
      </c>
      <c r="B19" s="15" t="str">
        <f t="shared" ref="B19:I19" si="4">B1</f>
        <v>Operating</v>
      </c>
      <c r="C19" s="15" t="str">
        <f t="shared" si="4"/>
        <v>SPED</v>
      </c>
      <c r="D19" s="15" t="str">
        <f t="shared" si="4"/>
        <v>NSLP</v>
      </c>
      <c r="E19" s="15" t="str">
        <f t="shared" si="4"/>
        <v>Other</v>
      </c>
      <c r="F19" s="15" t="str">
        <f t="shared" si="4"/>
        <v>Title I</v>
      </c>
      <c r="G19" s="15" t="str">
        <f t="shared" si="4"/>
        <v>Title II</v>
      </c>
      <c r="H19" s="15" t="str">
        <f t="shared" si="4"/>
        <v>Title III</v>
      </c>
      <c r="I19" s="15" t="str">
        <f t="shared" si="4"/>
        <v>Total (23-24)</v>
      </c>
      <c r="J19" s="16"/>
      <c r="K19" s="16"/>
      <c r="L19" s="99"/>
    </row>
    <row r="20" spans="1:12" x14ac:dyDescent="0.35">
      <c r="A20" s="12" t="s">
        <v>19</v>
      </c>
      <c r="B20" s="5"/>
      <c r="C20" s="5">
        <v>76</v>
      </c>
      <c r="D20" s="5"/>
      <c r="E20" s="5"/>
      <c r="F20" s="5"/>
      <c r="G20" s="5"/>
      <c r="H20" s="5"/>
      <c r="I20" s="5">
        <f>SUM(B20:H20)</f>
        <v>76</v>
      </c>
      <c r="J20" s="17" t="s">
        <v>20</v>
      </c>
      <c r="K20" s="109"/>
      <c r="L20" s="177"/>
    </row>
    <row r="21" spans="1:12" x14ac:dyDescent="0.35">
      <c r="A21" s="12" t="s">
        <v>21</v>
      </c>
      <c r="B21" s="5">
        <v>152</v>
      </c>
      <c r="C21" s="5"/>
      <c r="D21" s="5"/>
      <c r="E21" s="5"/>
      <c r="F21" s="5"/>
      <c r="G21" s="5"/>
      <c r="H21" s="5"/>
      <c r="I21" s="5">
        <f>SUM(B21:H21)</f>
        <v>152</v>
      </c>
      <c r="J21" s="17"/>
      <c r="K21" s="109"/>
      <c r="L21" s="306">
        <f>I21/I17</f>
        <v>0.30522088353413657</v>
      </c>
    </row>
    <row r="22" spans="1:12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  <c r="L22" s="177"/>
    </row>
    <row r="23" spans="1:12" x14ac:dyDescent="0.35">
      <c r="A23" s="12" t="s">
        <v>23</v>
      </c>
      <c r="B23" s="10">
        <v>261</v>
      </c>
      <c r="C23" s="18"/>
      <c r="D23" s="118">
        <v>1</v>
      </c>
      <c r="E23" s="118"/>
      <c r="F23" s="118"/>
      <c r="G23" s="118"/>
      <c r="H23" s="118"/>
      <c r="I23" s="18">
        <f>D23</f>
        <v>1</v>
      </c>
      <c r="J23" s="311"/>
      <c r="K23" s="110"/>
      <c r="L23" s="177"/>
    </row>
    <row r="24" spans="1:12" x14ac:dyDescent="0.35">
      <c r="A24" s="12" t="s">
        <v>24</v>
      </c>
      <c r="B24" s="10">
        <v>4</v>
      </c>
      <c r="C24" s="5"/>
      <c r="D24" s="5"/>
      <c r="E24" s="5"/>
      <c r="F24" s="5"/>
      <c r="G24" s="5"/>
      <c r="H24" s="5"/>
      <c r="I24" s="5">
        <f>SUM(B24:H24)</f>
        <v>4</v>
      </c>
      <c r="J24" s="19" t="s">
        <v>506</v>
      </c>
      <c r="K24" s="110"/>
      <c r="L24" s="177"/>
    </row>
    <row r="25" spans="1:12" x14ac:dyDescent="0.35">
      <c r="A25" s="12"/>
      <c r="B25" s="5"/>
      <c r="C25" s="5"/>
      <c r="D25" s="5"/>
      <c r="E25" s="5"/>
      <c r="F25" s="5"/>
      <c r="G25" s="5"/>
      <c r="H25" s="5"/>
      <c r="I25" s="5"/>
      <c r="J25" s="16"/>
      <c r="K25" s="7"/>
      <c r="L25" s="99"/>
    </row>
    <row r="26" spans="1:12" x14ac:dyDescent="0.35">
      <c r="A26" s="20" t="s">
        <v>25</v>
      </c>
      <c r="B26" s="15" t="str">
        <f t="shared" ref="B26:I26" si="5">B1</f>
        <v>Operating</v>
      </c>
      <c r="C26" s="15" t="str">
        <f t="shared" si="5"/>
        <v>SPED</v>
      </c>
      <c r="D26" s="15" t="str">
        <f t="shared" si="5"/>
        <v>NSLP</v>
      </c>
      <c r="E26" s="15" t="str">
        <f t="shared" si="5"/>
        <v>Other</v>
      </c>
      <c r="F26" s="15" t="str">
        <f t="shared" si="5"/>
        <v>Title I</v>
      </c>
      <c r="G26" s="15" t="str">
        <f t="shared" si="5"/>
        <v>Title II</v>
      </c>
      <c r="H26" s="15" t="str">
        <f t="shared" si="5"/>
        <v>Title III</v>
      </c>
      <c r="I26" s="15" t="str">
        <f t="shared" si="5"/>
        <v>Total (23-24)</v>
      </c>
      <c r="J26" s="16"/>
      <c r="K26" s="16"/>
      <c r="L26" s="99"/>
    </row>
    <row r="27" spans="1:12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6">SUM(B27:H27)</f>
        <v>18</v>
      </c>
      <c r="J27" s="17">
        <f>I27/6</f>
        <v>3</v>
      </c>
      <c r="K27" s="107"/>
      <c r="L27" s="178"/>
    </row>
    <row r="28" spans="1:12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6"/>
        <v>3</v>
      </c>
      <c r="J28" s="17">
        <f>I20/21</f>
        <v>3.6190476190476191</v>
      </c>
      <c r="K28" s="107"/>
      <c r="L28" s="178"/>
    </row>
    <row r="29" spans="1:12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  <c r="L29" s="177"/>
    </row>
    <row r="30" spans="1:12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6"/>
        <v>1</v>
      </c>
      <c r="J30" s="11"/>
      <c r="L30" s="177"/>
    </row>
    <row r="31" spans="1:12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6"/>
        <v>1</v>
      </c>
      <c r="J31" s="11"/>
    </row>
    <row r="32" spans="1:12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6"/>
        <v>0</v>
      </c>
      <c r="J32" s="11"/>
    </row>
    <row r="33" spans="1:12" x14ac:dyDescent="0.35">
      <c r="A33" s="100" t="s">
        <v>32</v>
      </c>
      <c r="B33" s="21">
        <v>0.5</v>
      </c>
      <c r="C33" s="21"/>
      <c r="D33" s="21"/>
      <c r="E33" s="21"/>
      <c r="F33" s="21"/>
      <c r="G33" s="21"/>
      <c r="H33" s="21"/>
      <c r="I33" s="21">
        <f>SUM(B33:H33)</f>
        <v>0.5</v>
      </c>
      <c r="J33" s="11"/>
    </row>
    <row r="34" spans="1:12" x14ac:dyDescent="0.35">
      <c r="A34" s="100" t="s">
        <v>33</v>
      </c>
      <c r="B34" s="21">
        <v>0.5</v>
      </c>
      <c r="C34" s="21"/>
      <c r="D34" s="21"/>
      <c r="E34" s="21"/>
      <c r="F34" s="21"/>
      <c r="G34" s="21"/>
      <c r="H34" s="21"/>
      <c r="I34" s="21">
        <f>SUM(B34:H34)</f>
        <v>0.5</v>
      </c>
      <c r="J34" s="11"/>
    </row>
    <row r="35" spans="1:12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</row>
    <row r="36" spans="1:12" x14ac:dyDescent="0.35">
      <c r="A36" s="20" t="s">
        <v>37</v>
      </c>
      <c r="B36" s="24">
        <f>SUM(B27:B35)</f>
        <v>22</v>
      </c>
      <c r="C36" s="24">
        <f t="shared" ref="C36:H36" si="7">SUM(C27:C35)</f>
        <v>3</v>
      </c>
      <c r="D36" s="24">
        <f t="shared" si="7"/>
        <v>0</v>
      </c>
      <c r="E36" s="24"/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>SUM(I27:I35)</f>
        <v>25</v>
      </c>
      <c r="J36" s="7"/>
      <c r="K36" s="7"/>
      <c r="L36" s="7"/>
    </row>
    <row r="37" spans="1:12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  <c r="K37" s="7"/>
      <c r="L37" s="7"/>
    </row>
    <row r="38" spans="1:12" x14ac:dyDescent="0.35">
      <c r="A38" s="20" t="s">
        <v>39</v>
      </c>
      <c r="B38" s="15" t="str">
        <f t="shared" ref="B38:I38" si="8">B1</f>
        <v>Operating</v>
      </c>
      <c r="C38" s="15" t="str">
        <f t="shared" si="8"/>
        <v>SPED</v>
      </c>
      <c r="D38" s="15" t="str">
        <f t="shared" si="8"/>
        <v>NSLP</v>
      </c>
      <c r="E38" s="15" t="str">
        <f t="shared" si="8"/>
        <v>Other</v>
      </c>
      <c r="F38" s="15" t="str">
        <f t="shared" si="8"/>
        <v>Title I</v>
      </c>
      <c r="G38" s="15" t="str">
        <f t="shared" si="8"/>
        <v>Title II</v>
      </c>
      <c r="H38" s="15" t="str">
        <f t="shared" si="8"/>
        <v>Title III</v>
      </c>
      <c r="I38" s="15" t="str">
        <f t="shared" si="8"/>
        <v>Total (23-24)</v>
      </c>
      <c r="J38" s="16"/>
      <c r="K38" s="16"/>
      <c r="L38" s="16"/>
    </row>
    <row r="39" spans="1:12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9">SUM(B39:H39)</f>
        <v>1</v>
      </c>
      <c r="J39" s="11"/>
    </row>
    <row r="40" spans="1:12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</row>
    <row r="41" spans="1:12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</row>
    <row r="42" spans="1:12" x14ac:dyDescent="0.35">
      <c r="A42" s="27" t="s">
        <v>36</v>
      </c>
      <c r="B42" s="22">
        <v>2</v>
      </c>
      <c r="C42" s="22"/>
      <c r="D42" s="22"/>
      <c r="E42" s="22"/>
      <c r="F42" s="22"/>
      <c r="G42" s="22"/>
      <c r="H42" s="22"/>
      <c r="I42" s="21">
        <f>SUM(B42:H42)</f>
        <v>2</v>
      </c>
      <c r="J42" s="11"/>
    </row>
    <row r="43" spans="1:12" x14ac:dyDescent="0.35">
      <c r="A43" s="27" t="s">
        <v>38</v>
      </c>
      <c r="B43" s="22">
        <v>2</v>
      </c>
      <c r="C43" s="22"/>
      <c r="D43" s="22"/>
      <c r="E43" s="22"/>
      <c r="F43" s="22"/>
      <c r="G43" s="22"/>
      <c r="H43" s="22"/>
      <c r="I43" s="21">
        <f>SUM(B43:H43)</f>
        <v>2</v>
      </c>
      <c r="J43" s="11"/>
    </row>
    <row r="44" spans="1:12" x14ac:dyDescent="0.35">
      <c r="A44" s="27" t="s">
        <v>46</v>
      </c>
      <c r="B44" s="22">
        <v>0</v>
      </c>
      <c r="C44" s="22"/>
      <c r="D44" s="22"/>
      <c r="E44" s="22"/>
      <c r="F44" s="22"/>
      <c r="G44" s="22"/>
      <c r="H44" s="22"/>
      <c r="I44" s="21">
        <f>SUM(B44:H44)</f>
        <v>0</v>
      </c>
      <c r="J44" s="11"/>
    </row>
    <row r="45" spans="1:12" x14ac:dyDescent="0.35">
      <c r="A45" s="27" t="s">
        <v>48</v>
      </c>
      <c r="B45" s="22">
        <v>1</v>
      </c>
      <c r="C45" s="22"/>
      <c r="D45" s="22"/>
      <c r="E45" s="22"/>
      <c r="F45" s="22"/>
      <c r="G45" s="22"/>
      <c r="H45" s="22"/>
      <c r="I45" s="21">
        <f t="shared" si="9"/>
        <v>1</v>
      </c>
      <c r="J45" s="11"/>
    </row>
    <row r="46" spans="1:12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9"/>
        <v>1</v>
      </c>
      <c r="J46" s="11"/>
    </row>
    <row r="47" spans="1:12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</row>
    <row r="48" spans="1:12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9"/>
        <v>1</v>
      </c>
      <c r="J48" s="11"/>
    </row>
    <row r="49" spans="1:12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</row>
    <row r="50" spans="1:12" x14ac:dyDescent="0.35">
      <c r="A50" s="25" t="s">
        <v>51</v>
      </c>
      <c r="B50" s="22">
        <v>4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9</v>
      </c>
      <c r="J50" s="11"/>
    </row>
    <row r="51" spans="1:12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9"/>
        <v>0</v>
      </c>
      <c r="J51" s="11"/>
    </row>
    <row r="52" spans="1:12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</row>
    <row r="53" spans="1:12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9"/>
        <v>0</v>
      </c>
      <c r="J53" s="6"/>
      <c r="K53" s="53"/>
      <c r="L53" s="53"/>
    </row>
    <row r="54" spans="1:12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9"/>
        <v>0</v>
      </c>
      <c r="J54" s="6"/>
      <c r="K54" s="53"/>
      <c r="L54" s="53"/>
    </row>
    <row r="55" spans="1:12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9"/>
        <v>1</v>
      </c>
      <c r="J55" s="6"/>
      <c r="K55" s="53"/>
      <c r="L55" s="53"/>
    </row>
    <row r="56" spans="1:12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  <c r="K56" s="53"/>
      <c r="L56" s="53"/>
    </row>
    <row r="57" spans="1:12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9"/>
        <v>0</v>
      </c>
      <c r="J57" s="6"/>
      <c r="K57" s="53"/>
      <c r="L57" s="53"/>
    </row>
    <row r="58" spans="1:12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  <c r="K58" s="53"/>
      <c r="L58" s="53"/>
    </row>
    <row r="59" spans="1:12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9"/>
        <v>0</v>
      </c>
      <c r="J59" s="6"/>
      <c r="K59" s="53"/>
      <c r="L59" s="53"/>
    </row>
    <row r="60" spans="1:12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9"/>
        <v>0</v>
      </c>
      <c r="J60" s="6"/>
      <c r="K60" s="53"/>
      <c r="L60" s="53"/>
    </row>
    <row r="61" spans="1:12" x14ac:dyDescent="0.35">
      <c r="A61" s="20" t="s">
        <v>58</v>
      </c>
      <c r="B61" s="28">
        <f t="shared" ref="B61:I61" si="10">SUM(B39:B60)</f>
        <v>14</v>
      </c>
      <c r="C61" s="28">
        <f t="shared" si="10"/>
        <v>4</v>
      </c>
      <c r="D61" s="28">
        <f t="shared" si="10"/>
        <v>2</v>
      </c>
      <c r="E61" s="28">
        <f t="shared" si="10"/>
        <v>0</v>
      </c>
      <c r="F61" s="28">
        <f t="shared" si="10"/>
        <v>0</v>
      </c>
      <c r="G61" s="28">
        <f t="shared" si="10"/>
        <v>0</v>
      </c>
      <c r="H61" s="28">
        <f t="shared" si="10"/>
        <v>0</v>
      </c>
      <c r="I61" s="28">
        <f t="shared" si="10"/>
        <v>20</v>
      </c>
      <c r="J61" s="7"/>
      <c r="K61" s="7"/>
      <c r="L61" s="7"/>
    </row>
    <row r="62" spans="1:12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  <c r="K62" s="7"/>
      <c r="L62" s="7"/>
    </row>
    <row r="63" spans="1:12" x14ac:dyDescent="0.35">
      <c r="A63" s="31" t="s">
        <v>59</v>
      </c>
      <c r="B63" s="32">
        <f t="shared" ref="B63:I63" si="11">B36</f>
        <v>22</v>
      </c>
      <c r="C63" s="32">
        <f t="shared" si="11"/>
        <v>3</v>
      </c>
      <c r="D63" s="32">
        <f t="shared" si="11"/>
        <v>0</v>
      </c>
      <c r="E63" s="32">
        <f t="shared" si="11"/>
        <v>0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25</v>
      </c>
      <c r="J63" s="7"/>
      <c r="K63" s="7"/>
      <c r="L63" s="7"/>
    </row>
    <row r="64" spans="1:12" x14ac:dyDescent="0.35">
      <c r="A64" s="33" t="s">
        <v>60</v>
      </c>
      <c r="B64" s="34">
        <f>B61</f>
        <v>14</v>
      </c>
      <c r="C64" s="34">
        <f t="shared" ref="C64:I64" si="12">C61</f>
        <v>4</v>
      </c>
      <c r="D64" s="34">
        <f t="shared" si="12"/>
        <v>2</v>
      </c>
      <c r="E64" s="34">
        <f t="shared" si="12"/>
        <v>0</v>
      </c>
      <c r="F64" s="34">
        <f t="shared" si="12"/>
        <v>0</v>
      </c>
      <c r="G64" s="34">
        <f t="shared" si="12"/>
        <v>0</v>
      </c>
      <c r="H64" s="34">
        <f t="shared" si="12"/>
        <v>0</v>
      </c>
      <c r="I64" s="34">
        <f t="shared" si="12"/>
        <v>20</v>
      </c>
      <c r="J64" s="7"/>
      <c r="K64" s="7"/>
      <c r="L64" s="7"/>
    </row>
    <row r="65" spans="1:12" ht="15" thickBot="1" x14ac:dyDescent="0.4">
      <c r="A65" s="35" t="s">
        <v>61</v>
      </c>
      <c r="B65" s="36">
        <f>SUM(B63:B64)</f>
        <v>36</v>
      </c>
      <c r="C65" s="36">
        <f t="shared" ref="C65:H65" si="13">SUM(C63:C64)</f>
        <v>7</v>
      </c>
      <c r="D65" s="36">
        <f t="shared" si="13"/>
        <v>2</v>
      </c>
      <c r="E65" s="36">
        <f t="shared" si="13"/>
        <v>0</v>
      </c>
      <c r="F65" s="36">
        <f t="shared" si="13"/>
        <v>0</v>
      </c>
      <c r="G65" s="36">
        <f t="shared" si="13"/>
        <v>0</v>
      </c>
      <c r="H65" s="36">
        <f t="shared" si="13"/>
        <v>0</v>
      </c>
      <c r="I65" s="36">
        <f>SUM(I63:I64)</f>
        <v>45</v>
      </c>
      <c r="J65" s="7"/>
      <c r="K65" s="7"/>
      <c r="L65" s="7"/>
    </row>
    <row r="66" spans="1:12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  <c r="K66" s="7"/>
      <c r="L66" s="7"/>
    </row>
    <row r="67" spans="1:12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0.63479948449927248</v>
      </c>
      <c r="J67" s="7"/>
      <c r="K67" s="7"/>
      <c r="L67" s="7"/>
    </row>
    <row r="68" spans="1:12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0.68354193326882862</v>
      </c>
      <c r="J68" s="7"/>
      <c r="K68" s="7"/>
      <c r="L68" s="7"/>
    </row>
    <row r="69" spans="1:12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0.18173944255438684</v>
      </c>
      <c r="J69" s="7"/>
      <c r="K69" s="7"/>
      <c r="L69" s="7"/>
    </row>
    <row r="70" spans="1:12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(I213+I214+I215+I216)/(I97-I83)</f>
        <v>0</v>
      </c>
      <c r="J70" s="7"/>
      <c r="K70" s="7"/>
      <c r="L70" s="7"/>
    </row>
    <row r="71" spans="1:12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  <c r="K71" s="7"/>
      <c r="L71" s="7"/>
    </row>
    <row r="72" spans="1:12" ht="15" thickBot="1" x14ac:dyDescent="0.4">
      <c r="A72" s="41" t="s">
        <v>66</v>
      </c>
      <c r="B72" s="42" t="str">
        <f t="shared" ref="B72:I72" si="14">B1</f>
        <v>Operating</v>
      </c>
      <c r="C72" s="42" t="str">
        <f t="shared" si="14"/>
        <v>SPED</v>
      </c>
      <c r="D72" s="42" t="str">
        <f t="shared" si="14"/>
        <v>NSLP</v>
      </c>
      <c r="E72" s="42" t="str">
        <f t="shared" si="14"/>
        <v>Other</v>
      </c>
      <c r="F72" s="42" t="str">
        <f t="shared" si="14"/>
        <v>Title I</v>
      </c>
      <c r="G72" s="42" t="str">
        <f t="shared" si="14"/>
        <v>Title II</v>
      </c>
      <c r="H72" s="42" t="str">
        <f t="shared" si="14"/>
        <v>Title III</v>
      </c>
      <c r="I72" s="42" t="str">
        <f t="shared" si="14"/>
        <v>Total (23-24)</v>
      </c>
      <c r="J72" s="7"/>
      <c r="K72" s="7"/>
      <c r="L72" s="7"/>
    </row>
    <row r="73" spans="1:12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  <c r="K73" s="7"/>
      <c r="L73" s="7"/>
    </row>
    <row r="74" spans="1:12" x14ac:dyDescent="0.35">
      <c r="A74" s="26" t="s">
        <v>68</v>
      </c>
      <c r="B74" s="46">
        <f>(B2*B3)</f>
        <v>4465068</v>
      </c>
      <c r="C74" s="46"/>
      <c r="D74" s="46"/>
      <c r="E74" s="46"/>
      <c r="F74" s="46"/>
      <c r="G74" s="46"/>
      <c r="H74" s="46"/>
      <c r="I74" s="47">
        <f t="shared" ref="I74:I79" si="15">SUM(B74:H74)</f>
        <v>4465068</v>
      </c>
      <c r="J74" s="11"/>
    </row>
    <row r="75" spans="1:12" x14ac:dyDescent="0.35">
      <c r="A75" s="26" t="s">
        <v>69</v>
      </c>
      <c r="B75" s="30">
        <f>4034*B21</f>
        <v>613168</v>
      </c>
      <c r="C75" s="30"/>
      <c r="D75" s="30"/>
      <c r="E75" s="30"/>
      <c r="F75" s="30"/>
      <c r="G75" s="30"/>
      <c r="H75" s="30"/>
      <c r="I75" s="5">
        <f t="shared" si="15"/>
        <v>613168</v>
      </c>
      <c r="J75" s="6">
        <v>4034</v>
      </c>
      <c r="K75" s="53"/>
      <c r="L75" s="53"/>
    </row>
    <row r="76" spans="1:12" x14ac:dyDescent="0.35">
      <c r="A76" s="26" t="s">
        <v>70</v>
      </c>
      <c r="B76" s="5">
        <f>1000*B22</f>
        <v>0</v>
      </c>
      <c r="C76" s="5"/>
      <c r="D76" s="5"/>
      <c r="E76" s="5"/>
      <c r="F76" s="5"/>
      <c r="G76" s="5"/>
      <c r="H76" s="5"/>
      <c r="I76" s="5">
        <f t="shared" si="15"/>
        <v>0</v>
      </c>
      <c r="J76" s="6">
        <v>1075</v>
      </c>
      <c r="K76" s="53"/>
      <c r="L76" s="53"/>
    </row>
    <row r="77" spans="1:12" x14ac:dyDescent="0.35">
      <c r="A77" s="26" t="s">
        <v>71</v>
      </c>
      <c r="B77" s="5">
        <v>12552</v>
      </c>
      <c r="C77" s="5"/>
      <c r="D77" s="5"/>
      <c r="E77" s="5"/>
      <c r="F77" s="5"/>
      <c r="G77" s="5"/>
      <c r="H77" s="5"/>
      <c r="I77" s="5">
        <f t="shared" si="15"/>
        <v>12552</v>
      </c>
      <c r="J77" s="6">
        <v>3138</v>
      </c>
    </row>
    <row r="78" spans="1:12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15"/>
        <v>53862</v>
      </c>
      <c r="J78" s="48"/>
      <c r="K78" s="112"/>
      <c r="L78" s="112"/>
    </row>
    <row r="79" spans="1:12" x14ac:dyDescent="0.35">
      <c r="A79" s="26" t="s">
        <v>72</v>
      </c>
      <c r="B79" s="30">
        <v>0</v>
      </c>
      <c r="C79" s="30">
        <f>3700*C20</f>
        <v>281200</v>
      </c>
      <c r="D79" s="30"/>
      <c r="E79" s="30"/>
      <c r="F79" s="30"/>
      <c r="G79" s="30"/>
      <c r="H79" s="30"/>
      <c r="I79" s="30">
        <f t="shared" si="15"/>
        <v>281200</v>
      </c>
      <c r="J79" s="6">
        <v>3700</v>
      </c>
      <c r="K79" s="112"/>
      <c r="L79" s="112"/>
    </row>
    <row r="80" spans="1:12" x14ac:dyDescent="0.35">
      <c r="A80" s="49" t="s">
        <v>74</v>
      </c>
      <c r="B80" s="50">
        <f t="shared" ref="B80:I80" si="16">SUM(B74:B79)</f>
        <v>5090788</v>
      </c>
      <c r="C80" s="50">
        <f t="shared" si="16"/>
        <v>335062</v>
      </c>
      <c r="D80" s="50">
        <f t="shared" si="16"/>
        <v>0</v>
      </c>
      <c r="E80" s="50"/>
      <c r="F80" s="50">
        <f t="shared" si="16"/>
        <v>0</v>
      </c>
      <c r="G80" s="50">
        <f t="shared" si="16"/>
        <v>0</v>
      </c>
      <c r="H80" s="50">
        <f t="shared" si="16"/>
        <v>0</v>
      </c>
      <c r="I80" s="50">
        <f t="shared" si="16"/>
        <v>5425850</v>
      </c>
      <c r="J80" s="7"/>
      <c r="K80" s="7"/>
      <c r="L80" s="7"/>
    </row>
    <row r="81" spans="1:12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  <c r="K81" s="7"/>
      <c r="L81" s="7"/>
    </row>
    <row r="82" spans="1:12" x14ac:dyDescent="0.35">
      <c r="A82" s="26" t="s">
        <v>76</v>
      </c>
      <c r="B82" s="5"/>
      <c r="C82" s="5">
        <v>77327</v>
      </c>
      <c r="D82" s="5"/>
      <c r="E82" s="5"/>
      <c r="F82" s="5"/>
      <c r="G82" s="5"/>
      <c r="H82" s="5"/>
      <c r="I82" s="5">
        <f>SUM(B82:H82)</f>
        <v>77327</v>
      </c>
      <c r="J82" s="6"/>
      <c r="K82" s="53"/>
      <c r="L82" s="53"/>
    </row>
    <row r="83" spans="1:12" x14ac:dyDescent="0.35">
      <c r="A83" s="26" t="s">
        <v>77</v>
      </c>
      <c r="B83" s="5"/>
      <c r="C83" s="5"/>
      <c r="D83" s="10">
        <f>((B17*0.875)*2.73*180)</f>
        <v>214127.55000000002</v>
      </c>
      <c r="E83" s="10"/>
      <c r="F83" s="10"/>
      <c r="G83" s="10"/>
      <c r="H83" s="10"/>
      <c r="I83" s="5">
        <f t="shared" ref="I83:I95" si="17">SUM(B83:H83)</f>
        <v>214127.55000000002</v>
      </c>
      <c r="J83" s="52">
        <v>2.73</v>
      </c>
      <c r="K83" s="113"/>
      <c r="L83" s="113"/>
    </row>
    <row r="84" spans="1:12" x14ac:dyDescent="0.35">
      <c r="A84" s="26" t="s">
        <v>78</v>
      </c>
      <c r="B84" s="30"/>
      <c r="C84" s="30"/>
      <c r="D84" s="10">
        <f>((B17*0.875)*4.35*180)</f>
        <v>341192.24999999994</v>
      </c>
      <c r="E84" s="10"/>
      <c r="F84" s="10"/>
      <c r="G84" s="10"/>
      <c r="H84" s="10"/>
      <c r="I84" s="5">
        <f t="shared" si="17"/>
        <v>341192.24999999994</v>
      </c>
      <c r="J84" s="52">
        <v>4.3499999999999996</v>
      </c>
      <c r="K84" s="113"/>
      <c r="L84" s="113"/>
    </row>
    <row r="85" spans="1:12" hidden="1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17"/>
        <v>0</v>
      </c>
      <c r="J85" s="6"/>
      <c r="K85" s="53"/>
      <c r="L85" s="53"/>
    </row>
    <row r="86" spans="1:12" hidden="1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17"/>
        <v>0</v>
      </c>
      <c r="J86" s="6"/>
      <c r="K86" s="53"/>
      <c r="L86" s="53"/>
    </row>
    <row r="87" spans="1:12" hidden="1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17"/>
        <v>0</v>
      </c>
      <c r="J87" s="6"/>
      <c r="K87" s="53"/>
      <c r="L87" s="53"/>
    </row>
    <row r="88" spans="1:12" hidden="1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17"/>
        <v>0</v>
      </c>
      <c r="J88" s="6"/>
      <c r="K88" s="53"/>
      <c r="L88" s="53"/>
    </row>
    <row r="89" spans="1:12" hidden="1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  <c r="K89" s="53"/>
      <c r="L89" s="53"/>
    </row>
    <row r="90" spans="1:12" x14ac:dyDescent="0.35">
      <c r="A90" s="49" t="s">
        <v>84</v>
      </c>
      <c r="B90" s="50">
        <f>SUM(B82:B88)</f>
        <v>0</v>
      </c>
      <c r="C90" s="50">
        <f t="shared" ref="C90:I90" si="18">SUM(C82:C88)</f>
        <v>77327</v>
      </c>
      <c r="D90" s="50">
        <f t="shared" si="18"/>
        <v>555319.79999999993</v>
      </c>
      <c r="E90" s="50"/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632646.80000000005</v>
      </c>
      <c r="J90" s="7"/>
      <c r="K90" s="7"/>
      <c r="L90" s="7"/>
    </row>
    <row r="91" spans="1:12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  <c r="K91" s="7"/>
      <c r="L91" s="7"/>
    </row>
    <row r="92" spans="1:12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17"/>
        <v>0</v>
      </c>
      <c r="J92" s="11"/>
    </row>
    <row r="93" spans="1:12" hidden="1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19">F161</f>
        <v>0</v>
      </c>
      <c r="G93" s="10">
        <f t="shared" si="19"/>
        <v>0</v>
      </c>
      <c r="H93" s="10">
        <f t="shared" si="19"/>
        <v>0</v>
      </c>
      <c r="I93" s="5">
        <f t="shared" si="17"/>
        <v>0</v>
      </c>
      <c r="J93" s="11"/>
    </row>
    <row r="94" spans="1:12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17"/>
        <v>0</v>
      </c>
      <c r="J94" s="11"/>
    </row>
    <row r="95" spans="1:12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17"/>
        <v>0</v>
      </c>
      <c r="J95" s="11"/>
    </row>
    <row r="96" spans="1:12" x14ac:dyDescent="0.35">
      <c r="A96" s="49" t="s">
        <v>87</v>
      </c>
      <c r="B96" s="50">
        <f>SUM(B92:B95)</f>
        <v>0</v>
      </c>
      <c r="C96" s="50">
        <f t="shared" ref="C96:H96" si="20">SUM(C92:C95)</f>
        <v>0</v>
      </c>
      <c r="D96" s="50">
        <f t="shared" si="20"/>
        <v>0</v>
      </c>
      <c r="E96" s="50"/>
      <c r="F96" s="50">
        <f t="shared" si="20"/>
        <v>0</v>
      </c>
      <c r="G96" s="50">
        <f t="shared" si="20"/>
        <v>0</v>
      </c>
      <c r="H96" s="50">
        <f t="shared" si="20"/>
        <v>0</v>
      </c>
      <c r="I96" s="50">
        <f>SUM(I92:I95)</f>
        <v>0</v>
      </c>
      <c r="J96" s="7"/>
      <c r="K96" s="7"/>
      <c r="L96" s="7"/>
    </row>
    <row r="97" spans="1:12" x14ac:dyDescent="0.35">
      <c r="A97" s="150" t="s">
        <v>88</v>
      </c>
      <c r="B97" s="151">
        <f>B80+B90+B96</f>
        <v>5090788</v>
      </c>
      <c r="C97" s="151">
        <f t="shared" ref="C97:H97" si="21">C80+C90+C96</f>
        <v>412389</v>
      </c>
      <c r="D97" s="151">
        <f t="shared" si="21"/>
        <v>555319.79999999993</v>
      </c>
      <c r="E97" s="151"/>
      <c r="F97" s="151">
        <f t="shared" si="21"/>
        <v>0</v>
      </c>
      <c r="G97" s="151">
        <f t="shared" si="21"/>
        <v>0</v>
      </c>
      <c r="H97" s="151">
        <f t="shared" si="21"/>
        <v>0</v>
      </c>
      <c r="I97" s="151">
        <f>I80+I90+I96</f>
        <v>6058496.7999999998</v>
      </c>
      <c r="J97" s="7"/>
      <c r="K97" s="7"/>
      <c r="L97" s="7"/>
    </row>
    <row r="98" spans="1:12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  <c r="K98" s="7"/>
      <c r="L98" s="7"/>
    </row>
    <row r="99" spans="1:12" x14ac:dyDescent="0.35">
      <c r="A99" s="26" t="s">
        <v>281</v>
      </c>
      <c r="B99" s="5">
        <v>0</v>
      </c>
      <c r="C99" s="5"/>
      <c r="D99" s="5"/>
      <c r="E99" s="5">
        <v>160000</v>
      </c>
      <c r="F99" s="5"/>
      <c r="G99" s="5"/>
      <c r="H99" s="5"/>
      <c r="I99" s="5">
        <f>SUM(B99:H99)</f>
        <v>160000</v>
      </c>
      <c r="J99" s="11" t="s">
        <v>507</v>
      </c>
      <c r="K99" s="7"/>
      <c r="L99" s="7"/>
    </row>
    <row r="100" spans="1:12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22">F168</f>
        <v>0</v>
      </c>
      <c r="G100" s="10">
        <f t="shared" si="22"/>
        <v>0</v>
      </c>
      <c r="H100" s="10">
        <f t="shared" si="22"/>
        <v>0</v>
      </c>
      <c r="I100" s="5">
        <f t="shared" ref="I100:I102" si="23">SUM(B100:H100)</f>
        <v>0</v>
      </c>
      <c r="J100" s="11"/>
      <c r="K100" s="7"/>
      <c r="L100" s="7"/>
    </row>
    <row r="101" spans="1:12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23"/>
        <v>0</v>
      </c>
      <c r="J101" s="11"/>
      <c r="K101" s="7"/>
      <c r="L101" s="7"/>
    </row>
    <row r="102" spans="1:12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23"/>
        <v>0</v>
      </c>
      <c r="J102" s="11"/>
      <c r="K102" s="7"/>
      <c r="L102" s="7"/>
    </row>
    <row r="103" spans="1:12" x14ac:dyDescent="0.35">
      <c r="A103" s="49" t="s">
        <v>280</v>
      </c>
      <c r="B103" s="50">
        <f>SUM(B99:B102)</f>
        <v>0</v>
      </c>
      <c r="C103" s="50">
        <f t="shared" ref="C103:I103" si="24">SUM(C99:C102)</f>
        <v>0</v>
      </c>
      <c r="D103" s="50">
        <f t="shared" si="24"/>
        <v>0</v>
      </c>
      <c r="E103" s="50">
        <f t="shared" si="24"/>
        <v>160000</v>
      </c>
      <c r="F103" s="50">
        <f t="shared" si="24"/>
        <v>0</v>
      </c>
      <c r="G103" s="50">
        <f t="shared" si="24"/>
        <v>0</v>
      </c>
      <c r="H103" s="50">
        <f t="shared" si="24"/>
        <v>0</v>
      </c>
      <c r="I103" s="50">
        <f t="shared" si="24"/>
        <v>160000</v>
      </c>
      <c r="J103" s="7"/>
      <c r="K103" s="7"/>
      <c r="L103" s="7"/>
    </row>
    <row r="104" spans="1:12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  <c r="K104" s="7"/>
      <c r="L104" s="7"/>
    </row>
    <row r="105" spans="1:12" ht="15" thickBot="1" x14ac:dyDescent="0.4">
      <c r="A105" s="55" t="s">
        <v>89</v>
      </c>
      <c r="B105" s="56" t="str">
        <f t="shared" ref="B105:I105" si="25">B1</f>
        <v>Operating</v>
      </c>
      <c r="C105" s="56" t="str">
        <f t="shared" si="25"/>
        <v>SPED</v>
      </c>
      <c r="D105" s="56" t="str">
        <f t="shared" si="25"/>
        <v>NSLP</v>
      </c>
      <c r="E105" s="56" t="str">
        <f t="shared" si="25"/>
        <v>Other</v>
      </c>
      <c r="F105" s="56" t="str">
        <f t="shared" si="25"/>
        <v>Title I</v>
      </c>
      <c r="G105" s="56" t="str">
        <f t="shared" si="25"/>
        <v>Title II</v>
      </c>
      <c r="H105" s="56" t="str">
        <f t="shared" si="25"/>
        <v>Title III</v>
      </c>
      <c r="I105" s="56" t="str">
        <f t="shared" si="25"/>
        <v>Total (23-24)</v>
      </c>
      <c r="J105" s="7"/>
      <c r="K105" s="7"/>
      <c r="L105" s="7"/>
    </row>
    <row r="106" spans="1:12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  <c r="K106" s="7"/>
      <c r="L106" s="7"/>
    </row>
    <row r="107" spans="1:12" x14ac:dyDescent="0.35">
      <c r="A107" s="26" t="s">
        <v>40</v>
      </c>
      <c r="B107" s="72">
        <v>143000</v>
      </c>
      <c r="C107" s="10"/>
      <c r="D107" s="5"/>
      <c r="E107" s="5"/>
      <c r="F107" s="5"/>
      <c r="G107" s="5"/>
      <c r="H107" s="5"/>
      <c r="I107" s="5">
        <f t="shared" ref="I107:I120" si="26">SUM(B107:H107)</f>
        <v>143000</v>
      </c>
      <c r="J107" s="11"/>
      <c r="L107" s="112"/>
    </row>
    <row r="108" spans="1:12" x14ac:dyDescent="0.35">
      <c r="A108" s="26" t="s">
        <v>91</v>
      </c>
      <c r="B108" s="72">
        <v>115000</v>
      </c>
      <c r="C108" s="10"/>
      <c r="D108" s="5"/>
      <c r="E108" s="5"/>
      <c r="F108" s="5"/>
      <c r="G108" s="5"/>
      <c r="H108" s="5"/>
      <c r="I108" s="5">
        <f t="shared" si="26"/>
        <v>115000</v>
      </c>
      <c r="J108" s="11"/>
      <c r="L108" s="147"/>
    </row>
    <row r="109" spans="1:12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26"/>
        <v>0</v>
      </c>
      <c r="J109" s="11"/>
    </row>
    <row r="110" spans="1:12" x14ac:dyDescent="0.35">
      <c r="A110" s="27" t="s">
        <v>36</v>
      </c>
      <c r="B110" s="72">
        <f>84850+73200</f>
        <v>158050</v>
      </c>
      <c r="C110" s="10"/>
      <c r="D110" s="5"/>
      <c r="E110" s="5"/>
      <c r="F110" s="5"/>
      <c r="G110" s="5"/>
      <c r="H110" s="5"/>
      <c r="I110" s="5">
        <f t="shared" si="26"/>
        <v>158050</v>
      </c>
      <c r="J110" s="11"/>
    </row>
    <row r="111" spans="1:12" x14ac:dyDescent="0.35">
      <c r="A111" s="27" t="s">
        <v>38</v>
      </c>
      <c r="B111" s="72">
        <f>89050+25000</f>
        <v>114050</v>
      </c>
      <c r="C111" s="10"/>
      <c r="D111" s="5"/>
      <c r="E111" s="5"/>
      <c r="F111" s="5"/>
      <c r="G111" s="5"/>
      <c r="H111" s="5"/>
      <c r="I111" s="5">
        <f t="shared" si="26"/>
        <v>114050</v>
      </c>
      <c r="J111" s="11"/>
      <c r="L111" s="112"/>
    </row>
    <row r="112" spans="1:12" x14ac:dyDescent="0.35">
      <c r="A112" s="26" t="s">
        <v>92</v>
      </c>
      <c r="B112" s="72">
        <v>0</v>
      </c>
      <c r="C112" s="10"/>
      <c r="D112" s="5"/>
      <c r="E112" s="5"/>
      <c r="F112" s="5"/>
      <c r="G112" s="5"/>
      <c r="H112" s="5"/>
      <c r="I112" s="5">
        <f t="shared" si="26"/>
        <v>0</v>
      </c>
      <c r="J112" s="11" t="s">
        <v>508</v>
      </c>
      <c r="L112" s="147"/>
    </row>
    <row r="113" spans="1:12" x14ac:dyDescent="0.35">
      <c r="A113" s="26" t="s">
        <v>93</v>
      </c>
      <c r="B113" s="10">
        <v>73200</v>
      </c>
      <c r="C113" s="10"/>
      <c r="D113" s="5"/>
      <c r="E113" s="5"/>
      <c r="F113" s="5"/>
      <c r="G113" s="5"/>
      <c r="H113" s="5"/>
      <c r="I113" s="5">
        <f t="shared" si="26"/>
        <v>73200</v>
      </c>
      <c r="J113" s="11"/>
    </row>
    <row r="114" spans="1:12" x14ac:dyDescent="0.35">
      <c r="A114" s="26" t="s">
        <v>94</v>
      </c>
      <c r="B114" s="10">
        <f>60000*(B36-B35)</f>
        <v>1320000</v>
      </c>
      <c r="C114" s="10"/>
      <c r="D114" s="5"/>
      <c r="E114" s="5"/>
      <c r="F114" s="5"/>
      <c r="G114" s="5"/>
      <c r="H114" s="5"/>
      <c r="I114" s="5">
        <f t="shared" si="26"/>
        <v>1320000</v>
      </c>
      <c r="J114" s="11" t="s">
        <v>291</v>
      </c>
    </row>
    <row r="115" spans="1:12" x14ac:dyDescent="0.35">
      <c r="A115" s="26" t="s">
        <v>27</v>
      </c>
      <c r="B115" s="10"/>
      <c r="C115" s="10">
        <f>60000*C36</f>
        <v>180000</v>
      </c>
      <c r="D115" s="5"/>
      <c r="E115" s="5"/>
      <c r="F115" s="5"/>
      <c r="G115" s="5"/>
      <c r="H115" s="5"/>
      <c r="I115" s="5">
        <f t="shared" si="26"/>
        <v>180000</v>
      </c>
      <c r="J115" s="11"/>
      <c r="L115" s="152"/>
    </row>
    <row r="116" spans="1:12" x14ac:dyDescent="0.35">
      <c r="A116" s="26" t="s">
        <v>95</v>
      </c>
      <c r="B116" s="72">
        <f>50000+67200</f>
        <v>117200</v>
      </c>
      <c r="C116" s="10"/>
      <c r="D116" s="5"/>
      <c r="E116" s="5"/>
      <c r="F116" s="5"/>
      <c r="G116" s="5"/>
      <c r="H116" s="5"/>
      <c r="I116" s="5">
        <f t="shared" si="26"/>
        <v>117200</v>
      </c>
      <c r="J116" s="11"/>
      <c r="L116" s="147"/>
    </row>
    <row r="117" spans="1:12" x14ac:dyDescent="0.35">
      <c r="A117" s="26" t="s">
        <v>96</v>
      </c>
      <c r="B117" s="10">
        <v>33120</v>
      </c>
      <c r="C117" s="10"/>
      <c r="D117" s="5"/>
      <c r="E117" s="5"/>
      <c r="F117" s="5"/>
      <c r="G117" s="5"/>
      <c r="H117" s="5"/>
      <c r="I117" s="5">
        <f t="shared" si="26"/>
        <v>33120</v>
      </c>
      <c r="J117" s="11"/>
    </row>
    <row r="118" spans="1:12" x14ac:dyDescent="0.35">
      <c r="A118" s="26" t="s">
        <v>292</v>
      </c>
      <c r="B118" s="10">
        <f>((20*8*180)*B50)</f>
        <v>115200</v>
      </c>
      <c r="C118" s="10">
        <f>(20*8*180)*C50</f>
        <v>86400</v>
      </c>
      <c r="D118" s="10">
        <f>(20*7*180)*D50</f>
        <v>50400</v>
      </c>
      <c r="E118" s="5"/>
      <c r="F118" s="5">
        <f>(14*8*180)*F50</f>
        <v>0</v>
      </c>
      <c r="G118" s="5"/>
      <c r="H118" s="5"/>
      <c r="I118" s="5">
        <f t="shared" si="26"/>
        <v>252000</v>
      </c>
      <c r="J118" s="11"/>
    </row>
    <row r="119" spans="1:12" x14ac:dyDescent="0.35">
      <c r="A119" s="26" t="s">
        <v>97</v>
      </c>
      <c r="B119" s="10">
        <f>(17.25*8*240)*B51</f>
        <v>0</v>
      </c>
      <c r="C119" s="10"/>
      <c r="D119" s="5"/>
      <c r="E119" s="5"/>
      <c r="F119" s="5"/>
      <c r="G119" s="5"/>
      <c r="H119" s="5"/>
      <c r="I119" s="5">
        <f t="shared" si="26"/>
        <v>0</v>
      </c>
      <c r="J119" s="11"/>
    </row>
    <row r="120" spans="1:12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26"/>
        <v>0</v>
      </c>
      <c r="J120" s="11"/>
    </row>
    <row r="121" spans="1:12" x14ac:dyDescent="0.35">
      <c r="A121" s="57" t="s">
        <v>98</v>
      </c>
      <c r="B121" s="58">
        <f>SUM(B107:B120)</f>
        <v>2188820</v>
      </c>
      <c r="C121" s="58">
        <f t="shared" ref="C121:I121" si="27">SUM(C107:C120)</f>
        <v>266400</v>
      </c>
      <c r="D121" s="58">
        <f t="shared" si="27"/>
        <v>50400</v>
      </c>
      <c r="E121" s="58"/>
      <c r="F121" s="58">
        <f t="shared" si="27"/>
        <v>0</v>
      </c>
      <c r="G121" s="58">
        <f t="shared" si="27"/>
        <v>0</v>
      </c>
      <c r="H121" s="58">
        <f t="shared" si="27"/>
        <v>0</v>
      </c>
      <c r="I121" s="58">
        <f t="shared" si="27"/>
        <v>2505620</v>
      </c>
      <c r="J121" s="7"/>
      <c r="K121" s="7"/>
      <c r="L121" s="7"/>
    </row>
    <row r="122" spans="1:12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  <c r="K122" s="7"/>
      <c r="L122" s="7"/>
    </row>
    <row r="123" spans="1:12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28">SUM(B123:H123)</f>
        <v>0</v>
      </c>
      <c r="J123" s="11"/>
    </row>
    <row r="124" spans="1:12" x14ac:dyDescent="0.35">
      <c r="A124" s="26" t="s">
        <v>43</v>
      </c>
      <c r="B124" s="10">
        <v>0</v>
      </c>
      <c r="C124" s="72">
        <v>57500</v>
      </c>
      <c r="D124" s="10"/>
      <c r="E124" s="10"/>
      <c r="F124" s="5"/>
      <c r="G124" s="5"/>
      <c r="H124" s="5"/>
      <c r="I124" s="5">
        <f t="shared" si="28"/>
        <v>57500</v>
      </c>
      <c r="J124" s="11"/>
    </row>
    <row r="125" spans="1:12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28"/>
        <v>0</v>
      </c>
      <c r="J125" s="11"/>
    </row>
    <row r="126" spans="1:12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28"/>
        <v>0</v>
      </c>
      <c r="J126" s="11"/>
    </row>
    <row r="127" spans="1:12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28"/>
        <v>0</v>
      </c>
      <c r="J127" s="11"/>
    </row>
    <row r="128" spans="1:12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28"/>
        <v>0</v>
      </c>
      <c r="J128" s="11"/>
    </row>
    <row r="129" spans="1:12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</row>
    <row r="130" spans="1:12" x14ac:dyDescent="0.35">
      <c r="A130" s="26" t="s">
        <v>55</v>
      </c>
      <c r="B130" s="148">
        <f>150*180*B59</f>
        <v>0</v>
      </c>
      <c r="C130" s="148">
        <f t="shared" ref="C130:H130" si="29">150*180*C59</f>
        <v>0</v>
      </c>
      <c r="D130" s="148">
        <f t="shared" si="29"/>
        <v>0</v>
      </c>
      <c r="E130" s="148">
        <f t="shared" si="29"/>
        <v>0</v>
      </c>
      <c r="F130" s="148">
        <f t="shared" si="29"/>
        <v>0</v>
      </c>
      <c r="G130" s="148">
        <f t="shared" si="29"/>
        <v>0</v>
      </c>
      <c r="H130" s="148">
        <f t="shared" si="29"/>
        <v>0</v>
      </c>
      <c r="I130" s="5">
        <f>SUM(B130:H130)</f>
        <v>0</v>
      </c>
      <c r="J130" s="11"/>
    </row>
    <row r="131" spans="1:12" x14ac:dyDescent="0.35">
      <c r="A131" s="60" t="s">
        <v>101</v>
      </c>
      <c r="B131" s="61">
        <f>SUM(B123:B130)</f>
        <v>0</v>
      </c>
      <c r="C131" s="61">
        <f t="shared" ref="C131:I131" si="30">SUM(C123:C130)</f>
        <v>57500</v>
      </c>
      <c r="D131" s="61">
        <f t="shared" si="30"/>
        <v>0</v>
      </c>
      <c r="E131" s="61"/>
      <c r="F131" s="61">
        <f t="shared" si="30"/>
        <v>0</v>
      </c>
      <c r="G131" s="61">
        <f t="shared" si="30"/>
        <v>0</v>
      </c>
      <c r="H131" s="61">
        <f t="shared" si="30"/>
        <v>0</v>
      </c>
      <c r="I131" s="61">
        <f t="shared" si="30"/>
        <v>57500</v>
      </c>
      <c r="J131" s="7"/>
      <c r="K131" s="7"/>
      <c r="L131" s="7"/>
    </row>
    <row r="132" spans="1:12" x14ac:dyDescent="0.35">
      <c r="A132" s="62" t="s">
        <v>102</v>
      </c>
      <c r="B132" s="63">
        <f t="shared" ref="B132:H132" si="31">B121+B131</f>
        <v>2188820</v>
      </c>
      <c r="C132" s="63">
        <f t="shared" si="31"/>
        <v>323900</v>
      </c>
      <c r="D132" s="63">
        <f t="shared" si="31"/>
        <v>50400</v>
      </c>
      <c r="E132" s="63"/>
      <c r="F132" s="63">
        <f t="shared" si="31"/>
        <v>0</v>
      </c>
      <c r="G132" s="63">
        <f t="shared" si="31"/>
        <v>0</v>
      </c>
      <c r="H132" s="63">
        <f t="shared" si="31"/>
        <v>0</v>
      </c>
      <c r="I132" s="63">
        <f>I121+I131</f>
        <v>2563120</v>
      </c>
      <c r="J132" s="7"/>
      <c r="K132" s="7"/>
      <c r="L132" s="7"/>
    </row>
    <row r="133" spans="1:12" x14ac:dyDescent="0.35">
      <c r="A133" s="26" t="s">
        <v>258</v>
      </c>
      <c r="B133" s="47">
        <f>B132*0.335</f>
        <v>733254.70000000007</v>
      </c>
      <c r="C133" s="47">
        <f t="shared" ref="C133:H133" si="32">C132*0.335</f>
        <v>108506.5</v>
      </c>
      <c r="D133" s="47">
        <f t="shared" si="32"/>
        <v>16884</v>
      </c>
      <c r="E133" s="47"/>
      <c r="F133" s="47">
        <f t="shared" si="32"/>
        <v>0</v>
      </c>
      <c r="G133" s="47">
        <f t="shared" si="32"/>
        <v>0</v>
      </c>
      <c r="H133" s="47">
        <f t="shared" si="32"/>
        <v>0</v>
      </c>
      <c r="I133" s="10">
        <f>SUM(B133:H133)</f>
        <v>858645.20000000007</v>
      </c>
      <c r="J133" s="105">
        <f>I133/I132</f>
        <v>0.33500000000000002</v>
      </c>
      <c r="K133" s="106"/>
      <c r="L133" s="106"/>
    </row>
    <row r="134" spans="1:12" x14ac:dyDescent="0.35">
      <c r="A134" s="26" t="s">
        <v>103</v>
      </c>
      <c r="B134" s="10">
        <f>((5800*B65)*0.8)+((160*B65)*0.78)+((65*B65)*0.78)+(B132*0.015)+(B132*0.03)</f>
        <v>271854.89999999997</v>
      </c>
      <c r="C134" s="10">
        <f t="shared" ref="C134:E134" si="33">((5800*C65)*0.8)+((160*C65)*0.78)+((65*C65)*0.78)+(C132*0.015)+(C132*0.03)</f>
        <v>48284</v>
      </c>
      <c r="D134" s="10">
        <f t="shared" si="33"/>
        <v>11899</v>
      </c>
      <c r="E134" s="10">
        <f t="shared" si="33"/>
        <v>0</v>
      </c>
      <c r="F134" s="10">
        <f t="shared" ref="F134:H134" si="34">((6450*F65)*0.78)+((160*F65)*0.78)+((65*F65)*0.78)+(F132*0.015)+(F132*0.03)</f>
        <v>0</v>
      </c>
      <c r="G134" s="10">
        <f t="shared" si="34"/>
        <v>0</v>
      </c>
      <c r="H134" s="10">
        <f t="shared" si="34"/>
        <v>0</v>
      </c>
      <c r="I134" s="10">
        <f>SUM(B134:H134)</f>
        <v>332037.89999999997</v>
      </c>
      <c r="J134" s="105">
        <f>I134/I132</f>
        <v>0.12954442242267236</v>
      </c>
      <c r="K134" s="106"/>
      <c r="L134" s="106"/>
    </row>
    <row r="135" spans="1:12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((2000*B39)+(1750*B40)+(1500*B41)+(1500*B42)+(1500*B43)+(1500*B44)+(1500*B45)+(1000*B46)+(1000*B47)+(500*B48)+(500*B49)+(500*B50)+(500*B51)+(500*B52)+(500*B53)+(1000*B54)+(1000*B55)+(1000*B56)+(1000*B57)+(1000*B58)+(500*B59)+(500*B60)+(1000*B36))*0.99+15000</f>
        <v>52372.5</v>
      </c>
      <c r="C135" s="10">
        <f t="shared" ref="C135:H135" si="35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35"/>
        <v>990</v>
      </c>
      <c r="E135" s="10">
        <f t="shared" si="35"/>
        <v>0</v>
      </c>
      <c r="F135" s="10">
        <f t="shared" si="35"/>
        <v>0</v>
      </c>
      <c r="G135" s="10">
        <f t="shared" si="35"/>
        <v>0</v>
      </c>
      <c r="H135" s="10">
        <f t="shared" si="35"/>
        <v>0</v>
      </c>
      <c r="I135" s="10">
        <f t="shared" ref="I135:I140" si="36">SUM(B135:H135)</f>
        <v>58807.5</v>
      </c>
      <c r="J135" s="11"/>
    </row>
    <row r="136" spans="1:12" x14ac:dyDescent="0.35">
      <c r="A136" s="26" t="s">
        <v>105</v>
      </c>
      <c r="B136" s="10">
        <f>125*B65+(125*15)</f>
        <v>6375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36"/>
        <v>7500</v>
      </c>
      <c r="J136" s="11"/>
    </row>
    <row r="137" spans="1:12" x14ac:dyDescent="0.35">
      <c r="A137" s="26" t="s">
        <v>106</v>
      </c>
      <c r="B137" s="10">
        <v>0</v>
      </c>
      <c r="C137" s="10">
        <v>50000</v>
      </c>
      <c r="D137" s="10"/>
      <c r="E137" s="10"/>
      <c r="F137" s="10">
        <v>0</v>
      </c>
      <c r="G137" s="10"/>
      <c r="H137" s="10"/>
      <c r="I137" s="10">
        <f t="shared" si="36"/>
        <v>50000</v>
      </c>
      <c r="J137" s="11"/>
    </row>
    <row r="138" spans="1:12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36"/>
        <v>0</v>
      </c>
      <c r="J138" s="11"/>
    </row>
    <row r="139" spans="1:12" x14ac:dyDescent="0.35">
      <c r="A139" s="26" t="s">
        <v>108</v>
      </c>
      <c r="B139" s="10">
        <v>10500</v>
      </c>
      <c r="C139" s="10"/>
      <c r="D139" s="10"/>
      <c r="E139" s="10"/>
      <c r="F139" s="10"/>
      <c r="G139" s="10"/>
      <c r="H139" s="10"/>
      <c r="I139" s="5">
        <f t="shared" si="36"/>
        <v>10500</v>
      </c>
      <c r="J139" s="11"/>
    </row>
    <row r="140" spans="1:12" x14ac:dyDescent="0.35">
      <c r="A140" s="26" t="s">
        <v>322</v>
      </c>
      <c r="B140" s="30">
        <f>(185*11*(B36-B35))-B130</f>
        <v>44770</v>
      </c>
      <c r="C140" s="30">
        <f t="shared" ref="C140:E140" si="37">(185*11*(C36-C35))-C130</f>
        <v>6105</v>
      </c>
      <c r="D140" s="30">
        <f t="shared" si="37"/>
        <v>0</v>
      </c>
      <c r="E140" s="30">
        <f t="shared" si="37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36"/>
        <v>50875</v>
      </c>
      <c r="J140" s="11" t="s">
        <v>323</v>
      </c>
    </row>
    <row r="141" spans="1:12" x14ac:dyDescent="0.35">
      <c r="A141" s="64" t="s">
        <v>109</v>
      </c>
      <c r="B141" s="65">
        <f>SUM(B133:B140)</f>
        <v>1119127.1000000001</v>
      </c>
      <c r="C141" s="65">
        <f t="shared" ref="C141:H141" si="38">SUM(C133:C140)</f>
        <v>219215.5</v>
      </c>
      <c r="D141" s="65">
        <f t="shared" si="38"/>
        <v>30023</v>
      </c>
      <c r="E141" s="65"/>
      <c r="F141" s="65">
        <f t="shared" si="38"/>
        <v>0</v>
      </c>
      <c r="G141" s="65">
        <f t="shared" si="38"/>
        <v>0</v>
      </c>
      <c r="H141" s="65">
        <f t="shared" si="38"/>
        <v>0</v>
      </c>
      <c r="I141" s="65">
        <f>SUM(I133:I140)</f>
        <v>1368365.6</v>
      </c>
      <c r="J141" s="7"/>
      <c r="K141" s="7"/>
      <c r="L141" s="7"/>
    </row>
    <row r="142" spans="1:12" x14ac:dyDescent="0.35">
      <c r="A142" s="62" t="s">
        <v>110</v>
      </c>
      <c r="B142" s="63">
        <f t="shared" ref="B142:I142" si="39">B132+B141</f>
        <v>3307947.1</v>
      </c>
      <c r="C142" s="63">
        <f t="shared" si="39"/>
        <v>543115.5</v>
      </c>
      <c r="D142" s="63">
        <f t="shared" si="39"/>
        <v>80423</v>
      </c>
      <c r="E142" s="63"/>
      <c r="F142" s="63">
        <f t="shared" si="39"/>
        <v>0</v>
      </c>
      <c r="G142" s="63">
        <f t="shared" si="39"/>
        <v>0</v>
      </c>
      <c r="H142" s="63">
        <f t="shared" si="39"/>
        <v>0</v>
      </c>
      <c r="I142" s="63">
        <f t="shared" si="39"/>
        <v>3931485.6</v>
      </c>
      <c r="J142" s="7"/>
      <c r="K142" s="7"/>
      <c r="L142" s="7"/>
    </row>
    <row r="143" spans="1:12" x14ac:dyDescent="0.35">
      <c r="A143" s="66" t="s">
        <v>256</v>
      </c>
      <c r="B143" s="15" t="str">
        <f t="shared" ref="B143:I143" si="40">B1</f>
        <v>Operating</v>
      </c>
      <c r="C143" s="15" t="str">
        <f t="shared" si="40"/>
        <v>SPED</v>
      </c>
      <c r="D143" s="15" t="str">
        <f t="shared" si="40"/>
        <v>NSLP</v>
      </c>
      <c r="E143" s="15" t="str">
        <f t="shared" si="40"/>
        <v>Other</v>
      </c>
      <c r="F143" s="15" t="str">
        <f t="shared" si="40"/>
        <v>Title I</v>
      </c>
      <c r="G143" s="15" t="str">
        <f t="shared" si="40"/>
        <v>Title II</v>
      </c>
      <c r="H143" s="15" t="str">
        <f t="shared" si="40"/>
        <v>Title III</v>
      </c>
      <c r="I143" s="15" t="str">
        <f t="shared" si="40"/>
        <v>Total (23-24)</v>
      </c>
      <c r="J143" s="7"/>
      <c r="K143" s="7"/>
      <c r="L143" s="7"/>
    </row>
    <row r="144" spans="1:12" x14ac:dyDescent="0.35">
      <c r="A144" s="67" t="s">
        <v>111</v>
      </c>
      <c r="B144" s="5">
        <f>(205*B17)</f>
        <v>102090</v>
      </c>
      <c r="C144" s="10"/>
      <c r="D144" s="10"/>
      <c r="E144" s="10"/>
      <c r="F144" s="10"/>
      <c r="G144" s="10"/>
      <c r="H144" s="10"/>
      <c r="I144" s="5">
        <f t="shared" ref="I144:I152" si="41">SUM(B144:H144)</f>
        <v>102090</v>
      </c>
      <c r="J144" s="11" t="s">
        <v>464</v>
      </c>
    </row>
    <row r="145" spans="1:12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41"/>
        <v>0</v>
      </c>
      <c r="J145" s="11"/>
    </row>
    <row r="146" spans="1:12" x14ac:dyDescent="0.35">
      <c r="A146" s="26" t="s">
        <v>113</v>
      </c>
      <c r="B146" s="10">
        <v>0</v>
      </c>
      <c r="C146" s="10"/>
      <c r="D146" s="10"/>
      <c r="E146" s="10">
        <v>160000</v>
      </c>
      <c r="F146" s="10"/>
      <c r="G146" s="10"/>
      <c r="H146" s="10"/>
      <c r="I146" s="5">
        <f t="shared" si="41"/>
        <v>160000</v>
      </c>
      <c r="J146" s="11" t="s">
        <v>293</v>
      </c>
    </row>
    <row r="147" spans="1:12" x14ac:dyDescent="0.35">
      <c r="A147" s="26" t="s">
        <v>114</v>
      </c>
      <c r="B147" s="5">
        <f>30*B17</f>
        <v>14940</v>
      </c>
      <c r="C147" s="10"/>
      <c r="D147" s="10">
        <v>3500</v>
      </c>
      <c r="E147" s="10"/>
      <c r="F147" s="10"/>
      <c r="G147" s="10"/>
      <c r="H147" s="10"/>
      <c r="I147" s="5">
        <f t="shared" si="41"/>
        <v>18440</v>
      </c>
      <c r="J147" s="11" t="s">
        <v>303</v>
      </c>
    </row>
    <row r="148" spans="1:12" x14ac:dyDescent="0.35">
      <c r="A148" s="26" t="s">
        <v>115</v>
      </c>
      <c r="B148" s="5">
        <f>50*B17</f>
        <v>24900</v>
      </c>
      <c r="C148" s="10"/>
      <c r="D148" s="10"/>
      <c r="E148" s="10"/>
      <c r="F148" s="10"/>
      <c r="G148" s="10"/>
      <c r="H148" s="10"/>
      <c r="I148" s="5">
        <f t="shared" si="41"/>
        <v>24900</v>
      </c>
      <c r="J148" s="11" t="s">
        <v>465</v>
      </c>
    </row>
    <row r="149" spans="1:12" x14ac:dyDescent="0.35">
      <c r="A149" s="26" t="s">
        <v>116</v>
      </c>
      <c r="B149" s="5">
        <f>25*B17</f>
        <v>12450</v>
      </c>
      <c r="C149" s="10"/>
      <c r="D149" s="10"/>
      <c r="E149" s="10"/>
      <c r="F149" s="10"/>
      <c r="G149" s="10"/>
      <c r="H149" s="10"/>
      <c r="I149" s="5">
        <f t="shared" si="41"/>
        <v>12450</v>
      </c>
      <c r="J149" s="11" t="s">
        <v>466</v>
      </c>
    </row>
    <row r="150" spans="1:12" x14ac:dyDescent="0.35">
      <c r="A150" s="26" t="s">
        <v>117</v>
      </c>
      <c r="B150" s="5">
        <f>10*B17</f>
        <v>4980</v>
      </c>
      <c r="C150" s="10"/>
      <c r="D150" s="10"/>
      <c r="E150" s="10"/>
      <c r="F150" s="10"/>
      <c r="G150" s="10"/>
      <c r="H150" s="10"/>
      <c r="I150" s="5">
        <f t="shared" si="41"/>
        <v>4980</v>
      </c>
      <c r="J150" s="11" t="s">
        <v>467</v>
      </c>
    </row>
    <row r="151" spans="1:12" x14ac:dyDescent="0.35">
      <c r="A151" s="26" t="s">
        <v>118</v>
      </c>
      <c r="B151" s="5">
        <f>129*B20</f>
        <v>0</v>
      </c>
      <c r="C151" s="10">
        <f>150*(C20)</f>
        <v>11400</v>
      </c>
      <c r="D151" s="10"/>
      <c r="E151" s="10"/>
      <c r="F151" s="10"/>
      <c r="G151" s="10"/>
      <c r="H151" s="10"/>
      <c r="I151" s="5">
        <f t="shared" si="41"/>
        <v>11400</v>
      </c>
      <c r="J151" s="11" t="s">
        <v>304</v>
      </c>
    </row>
    <row r="152" spans="1:12" x14ac:dyDescent="0.35">
      <c r="A152" s="26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41"/>
        <v>0</v>
      </c>
      <c r="J152" s="11"/>
    </row>
    <row r="153" spans="1:12" x14ac:dyDescent="0.35">
      <c r="A153" s="69" t="s">
        <v>161</v>
      </c>
      <c r="B153" s="73">
        <f>42*B17</f>
        <v>20916</v>
      </c>
      <c r="C153" s="5"/>
      <c r="D153" s="5"/>
      <c r="E153" s="5"/>
      <c r="F153" s="5"/>
      <c r="G153" s="5"/>
      <c r="H153" s="5"/>
      <c r="I153" s="5">
        <f>SUM(B153:H153)</f>
        <v>20916</v>
      </c>
      <c r="J153" s="11" t="s">
        <v>509</v>
      </c>
    </row>
    <row r="154" spans="1:12" x14ac:dyDescent="0.35">
      <c r="A154" s="62" t="s">
        <v>257</v>
      </c>
      <c r="B154" s="63">
        <f>SUM(B144:B153)</f>
        <v>180276</v>
      </c>
      <c r="C154" s="63">
        <f t="shared" ref="C154:I154" si="42">SUM(C144:C153)</f>
        <v>11400</v>
      </c>
      <c r="D154" s="63">
        <f t="shared" si="42"/>
        <v>3500</v>
      </c>
      <c r="E154" s="63">
        <f t="shared" si="42"/>
        <v>160000</v>
      </c>
      <c r="F154" s="63">
        <f t="shared" si="42"/>
        <v>0</v>
      </c>
      <c r="G154" s="63">
        <f t="shared" si="42"/>
        <v>0</v>
      </c>
      <c r="H154" s="63">
        <f t="shared" si="42"/>
        <v>0</v>
      </c>
      <c r="I154" s="63">
        <f t="shared" si="42"/>
        <v>355176</v>
      </c>
      <c r="J154" s="7"/>
      <c r="K154" s="7"/>
      <c r="L154" s="7"/>
    </row>
    <row r="155" spans="1:12" x14ac:dyDescent="0.35">
      <c r="A155" s="66" t="s">
        <v>120</v>
      </c>
      <c r="B155" s="15" t="str">
        <f t="shared" ref="B155:I155" si="43">B1</f>
        <v>Operating</v>
      </c>
      <c r="C155" s="15" t="str">
        <f t="shared" si="43"/>
        <v>SPED</v>
      </c>
      <c r="D155" s="15" t="str">
        <f t="shared" si="43"/>
        <v>NSLP</v>
      </c>
      <c r="E155" s="15" t="str">
        <f t="shared" si="43"/>
        <v>Other</v>
      </c>
      <c r="F155" s="15" t="str">
        <f t="shared" si="43"/>
        <v>Title I</v>
      </c>
      <c r="G155" s="15" t="str">
        <f t="shared" si="43"/>
        <v>Title II</v>
      </c>
      <c r="H155" s="15" t="str">
        <f t="shared" si="43"/>
        <v>Title III</v>
      </c>
      <c r="I155" s="15" t="str">
        <f t="shared" si="43"/>
        <v>Total (23-24)</v>
      </c>
      <c r="J155" s="7"/>
      <c r="K155" s="7"/>
      <c r="L155" s="7"/>
    </row>
    <row r="156" spans="1:12" x14ac:dyDescent="0.35">
      <c r="A156" s="26" t="s">
        <v>457</v>
      </c>
      <c r="B156" s="10">
        <f>12600+3000</f>
        <v>15600</v>
      </c>
      <c r="C156" s="10"/>
      <c r="D156" s="10"/>
      <c r="E156" s="10"/>
      <c r="F156" s="10"/>
      <c r="G156" s="10"/>
      <c r="H156" s="10"/>
      <c r="I156" s="5">
        <f t="shared" ref="I156:I169" si="44">SUM(B156:H156)</f>
        <v>15600</v>
      </c>
      <c r="J156" s="11"/>
    </row>
    <row r="157" spans="1:12" x14ac:dyDescent="0.35">
      <c r="A157" s="26" t="s">
        <v>121</v>
      </c>
      <c r="B157" s="10">
        <v>0</v>
      </c>
      <c r="C157" s="5">
        <f>135*B17</f>
        <v>67230</v>
      </c>
      <c r="D157" s="5"/>
      <c r="E157" s="5"/>
      <c r="F157" s="5"/>
      <c r="G157" s="5"/>
      <c r="H157" s="5"/>
      <c r="I157" s="5">
        <f t="shared" si="44"/>
        <v>67230</v>
      </c>
      <c r="J157" s="11" t="s">
        <v>459</v>
      </c>
    </row>
    <row r="158" spans="1:12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44"/>
        <v>0</v>
      </c>
      <c r="J158" s="11"/>
    </row>
    <row r="159" spans="1:12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44"/>
        <v>0</v>
      </c>
      <c r="J159" s="11"/>
    </row>
    <row r="160" spans="1:12" x14ac:dyDescent="0.35">
      <c r="A160" s="26" t="s">
        <v>122</v>
      </c>
      <c r="B160" s="10">
        <f>495*B17</f>
        <v>246510</v>
      </c>
      <c r="C160" s="5"/>
      <c r="D160" s="5"/>
      <c r="E160" s="5"/>
      <c r="F160" s="5"/>
      <c r="G160" s="5"/>
      <c r="H160" s="5"/>
      <c r="I160" s="5">
        <f t="shared" si="44"/>
        <v>246510</v>
      </c>
      <c r="J160" s="11" t="s">
        <v>460</v>
      </c>
    </row>
    <row r="161" spans="1:12" x14ac:dyDescent="0.35">
      <c r="A161" s="26" t="s">
        <v>123</v>
      </c>
      <c r="B161" s="10">
        <f>(250*B65)+3000</f>
        <v>12000</v>
      </c>
      <c r="C161" s="10">
        <f>(245*C65)+1000</f>
        <v>2715</v>
      </c>
      <c r="D161" s="10">
        <f>(245*D65)+200</f>
        <v>690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44"/>
        <v>15405</v>
      </c>
      <c r="J161" s="11" t="s">
        <v>461</v>
      </c>
    </row>
    <row r="162" spans="1:12" x14ac:dyDescent="0.35">
      <c r="A162" s="26" t="s">
        <v>124</v>
      </c>
      <c r="B162" s="10">
        <f>58000+2000</f>
        <v>60000</v>
      </c>
      <c r="C162" s="5"/>
      <c r="D162" s="5"/>
      <c r="E162" s="5"/>
      <c r="F162" s="5"/>
      <c r="G162" s="5"/>
      <c r="H162" s="5"/>
      <c r="I162" s="5">
        <f t="shared" si="44"/>
        <v>60000</v>
      </c>
      <c r="J162" s="11"/>
    </row>
    <row r="163" spans="1:12" x14ac:dyDescent="0.35">
      <c r="A163" s="26" t="s">
        <v>125</v>
      </c>
      <c r="B163" s="10">
        <v>6500</v>
      </c>
      <c r="C163" s="5"/>
      <c r="D163" s="5"/>
      <c r="E163" s="5"/>
      <c r="F163" s="5"/>
      <c r="G163" s="5"/>
      <c r="H163" s="5"/>
      <c r="I163" s="5">
        <f t="shared" si="44"/>
        <v>6500</v>
      </c>
      <c r="J163" s="11"/>
    </row>
    <row r="164" spans="1:12" x14ac:dyDescent="0.35">
      <c r="A164" s="26" t="s">
        <v>126</v>
      </c>
      <c r="B164" s="10">
        <f>48*B17+(60*12)</f>
        <v>24624</v>
      </c>
      <c r="C164" s="5"/>
      <c r="D164" s="5"/>
      <c r="E164" s="5"/>
      <c r="F164" s="5"/>
      <c r="G164" s="5"/>
      <c r="H164" s="5"/>
      <c r="I164" s="5">
        <f t="shared" si="44"/>
        <v>24624</v>
      </c>
      <c r="J164" s="11" t="s">
        <v>510</v>
      </c>
    </row>
    <row r="165" spans="1:12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44"/>
        <v>18000</v>
      </c>
      <c r="J165" s="11"/>
    </row>
    <row r="166" spans="1:12" x14ac:dyDescent="0.35">
      <c r="A166" s="26" t="s">
        <v>128</v>
      </c>
      <c r="B166" s="10">
        <f>B74*0.0125</f>
        <v>55813.350000000006</v>
      </c>
      <c r="C166" s="5"/>
      <c r="D166" s="5"/>
      <c r="E166" s="5"/>
      <c r="F166" s="5"/>
      <c r="G166" s="5"/>
      <c r="H166" s="5"/>
      <c r="I166" s="5">
        <f t="shared" si="44"/>
        <v>55813.350000000006</v>
      </c>
      <c r="J166" s="70">
        <v>1.2500000000000001E-2</v>
      </c>
      <c r="K166" s="114"/>
      <c r="L166" s="114"/>
    </row>
    <row r="167" spans="1:12" x14ac:dyDescent="0.35">
      <c r="A167" s="26" t="s">
        <v>129</v>
      </c>
      <c r="B167" s="10">
        <f>B74*0.005</f>
        <v>22325.34</v>
      </c>
      <c r="C167" s="5"/>
      <c r="D167" s="5"/>
      <c r="E167" s="5"/>
      <c r="F167" s="5"/>
      <c r="G167" s="5"/>
      <c r="H167" s="5"/>
      <c r="I167" s="5">
        <f t="shared" si="44"/>
        <v>22325.34</v>
      </c>
      <c r="J167" s="70" t="s">
        <v>130</v>
      </c>
      <c r="K167" s="114"/>
      <c r="L167" s="114"/>
    </row>
    <row r="168" spans="1:12" x14ac:dyDescent="0.35">
      <c r="A168" s="26" t="s">
        <v>131</v>
      </c>
      <c r="B168" s="10">
        <f>B74*0.005</f>
        <v>22325.34</v>
      </c>
      <c r="C168" s="5"/>
      <c r="D168" s="5"/>
      <c r="E168" s="5"/>
      <c r="F168" s="5"/>
      <c r="G168" s="5"/>
      <c r="H168" s="5"/>
      <c r="I168" s="5">
        <f t="shared" si="44"/>
        <v>22325.34</v>
      </c>
      <c r="J168" s="70" t="s">
        <v>130</v>
      </c>
      <c r="K168" s="114"/>
      <c r="L168" s="114"/>
    </row>
    <row r="169" spans="1:12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44"/>
        <v>0</v>
      </c>
      <c r="J169" s="70"/>
      <c r="K169" s="114"/>
      <c r="L169" s="114"/>
    </row>
    <row r="170" spans="1:12" x14ac:dyDescent="0.35">
      <c r="A170" s="62" t="s">
        <v>133</v>
      </c>
      <c r="B170" s="63">
        <f>SUM(B156:B169)</f>
        <v>483698.03</v>
      </c>
      <c r="C170" s="63">
        <f t="shared" ref="C170:H170" si="45">SUM(C156:C169)</f>
        <v>69945</v>
      </c>
      <c r="D170" s="63">
        <f t="shared" si="45"/>
        <v>690</v>
      </c>
      <c r="E170" s="63">
        <f t="shared" si="45"/>
        <v>0</v>
      </c>
      <c r="F170" s="63">
        <f t="shared" si="45"/>
        <v>0</v>
      </c>
      <c r="G170" s="63">
        <f t="shared" si="45"/>
        <v>0</v>
      </c>
      <c r="H170" s="63">
        <f t="shared" si="45"/>
        <v>0</v>
      </c>
      <c r="I170" s="63">
        <f>SUM(I156:I169)</f>
        <v>554333.02999999991</v>
      </c>
      <c r="J170" s="7"/>
      <c r="K170" s="7"/>
      <c r="L170" s="7"/>
    </row>
    <row r="171" spans="1:12" x14ac:dyDescent="0.35">
      <c r="A171" s="66" t="s">
        <v>134</v>
      </c>
      <c r="B171" s="15" t="str">
        <f t="shared" ref="B171:I171" si="46">B1</f>
        <v>Operating</v>
      </c>
      <c r="C171" s="15" t="str">
        <f t="shared" si="46"/>
        <v>SPED</v>
      </c>
      <c r="D171" s="15" t="str">
        <f t="shared" si="46"/>
        <v>NSLP</v>
      </c>
      <c r="E171" s="15" t="str">
        <f t="shared" si="46"/>
        <v>Other</v>
      </c>
      <c r="F171" s="15" t="str">
        <f t="shared" si="46"/>
        <v>Title I</v>
      </c>
      <c r="G171" s="15" t="str">
        <f t="shared" si="46"/>
        <v>Title II</v>
      </c>
      <c r="H171" s="15" t="str">
        <f t="shared" si="46"/>
        <v>Title III</v>
      </c>
      <c r="I171" s="15" t="str">
        <f t="shared" si="46"/>
        <v>Total (23-24)</v>
      </c>
      <c r="J171" s="7"/>
      <c r="K171" s="7"/>
      <c r="L171" s="7"/>
    </row>
    <row r="172" spans="1:12" x14ac:dyDescent="0.35">
      <c r="A172" s="71" t="s">
        <v>135</v>
      </c>
      <c r="B172" s="72">
        <f>200*12</f>
        <v>2400</v>
      </c>
      <c r="C172" s="5"/>
      <c r="D172" s="5"/>
      <c r="E172" s="5"/>
      <c r="F172" s="5"/>
      <c r="G172" s="5"/>
      <c r="H172" s="5"/>
      <c r="I172" s="5">
        <f t="shared" ref="I172:I178" si="47">SUM(B172:H172)</f>
        <v>2400</v>
      </c>
      <c r="J172" s="11" t="s">
        <v>286</v>
      </c>
    </row>
    <row r="173" spans="1:12" x14ac:dyDescent="0.35">
      <c r="A173" s="26" t="s">
        <v>136</v>
      </c>
      <c r="B173" s="72">
        <f>1400*12</f>
        <v>16800</v>
      </c>
      <c r="C173" s="5"/>
      <c r="D173" s="5"/>
      <c r="E173" s="5"/>
      <c r="F173" s="5"/>
      <c r="G173" s="5"/>
      <c r="H173" s="5"/>
      <c r="I173" s="5">
        <f t="shared" si="47"/>
        <v>16800</v>
      </c>
      <c r="J173" s="11" t="s">
        <v>287</v>
      </c>
    </row>
    <row r="174" spans="1:12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47"/>
        <v>0</v>
      </c>
      <c r="J174" s="11"/>
    </row>
    <row r="175" spans="1:12" x14ac:dyDescent="0.35">
      <c r="A175" s="26" t="s">
        <v>138</v>
      </c>
      <c r="B175" s="73">
        <v>1000</v>
      </c>
      <c r="C175" s="5"/>
      <c r="D175" s="5"/>
      <c r="E175" s="5"/>
      <c r="F175" s="5"/>
      <c r="G175" s="5"/>
      <c r="H175" s="5"/>
      <c r="I175" s="5">
        <f t="shared" si="47"/>
        <v>1000</v>
      </c>
      <c r="J175" s="11"/>
    </row>
    <row r="176" spans="1:12" x14ac:dyDescent="0.35">
      <c r="A176" s="26" t="s">
        <v>139</v>
      </c>
      <c r="B176" s="73">
        <v>5500</v>
      </c>
      <c r="C176" s="5"/>
      <c r="D176" s="5"/>
      <c r="E176" s="5"/>
      <c r="F176" s="5"/>
      <c r="G176" s="5"/>
      <c r="H176" s="5"/>
      <c r="I176" s="5">
        <f t="shared" si="47"/>
        <v>5500</v>
      </c>
      <c r="J176" s="11"/>
    </row>
    <row r="177" spans="1:12" x14ac:dyDescent="0.35">
      <c r="A177" s="26" t="s">
        <v>140</v>
      </c>
      <c r="B177" s="72">
        <v>30000</v>
      </c>
      <c r="C177" s="5"/>
      <c r="D177" s="5"/>
      <c r="E177" s="5"/>
      <c r="F177" s="5"/>
      <c r="G177" s="5"/>
      <c r="H177" s="5"/>
      <c r="I177" s="5">
        <f t="shared" si="47"/>
        <v>30000</v>
      </c>
      <c r="J177" s="11"/>
    </row>
    <row r="178" spans="1:12" x14ac:dyDescent="0.35">
      <c r="A178" s="26" t="s">
        <v>141</v>
      </c>
      <c r="B178" s="30">
        <f>(2.5*B17)+8500</f>
        <v>9745</v>
      </c>
      <c r="C178" s="5"/>
      <c r="D178" s="5"/>
      <c r="E178" s="5"/>
      <c r="F178" s="5"/>
      <c r="G178" s="5"/>
      <c r="H178" s="5"/>
      <c r="I178" s="5">
        <f t="shared" si="47"/>
        <v>9745</v>
      </c>
      <c r="J178" s="11" t="s">
        <v>321</v>
      </c>
    </row>
    <row r="179" spans="1:12" x14ac:dyDescent="0.35">
      <c r="A179" s="26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 t="s">
        <v>143</v>
      </c>
    </row>
    <row r="180" spans="1:12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</row>
    <row r="181" spans="1:12" x14ac:dyDescent="0.35">
      <c r="A181" s="26" t="s">
        <v>145</v>
      </c>
      <c r="B181" s="73">
        <v>26750</v>
      </c>
      <c r="C181" s="5"/>
      <c r="D181" s="5"/>
      <c r="E181" s="5"/>
      <c r="F181" s="5"/>
      <c r="G181" s="5"/>
      <c r="H181" s="5"/>
      <c r="I181" s="5">
        <f>SUM(B181:H181)</f>
        <v>26750</v>
      </c>
      <c r="J181" s="11"/>
    </row>
    <row r="182" spans="1:12" x14ac:dyDescent="0.35">
      <c r="A182" s="26" t="s">
        <v>146</v>
      </c>
      <c r="B182" s="5"/>
      <c r="C182" s="5"/>
      <c r="D182" s="5">
        <f>((B17*0.9)*2.05*180)</f>
        <v>165385.79999999999</v>
      </c>
      <c r="E182" s="5"/>
      <c r="F182" s="5"/>
      <c r="G182" s="5"/>
      <c r="H182" s="5"/>
      <c r="I182" s="5">
        <f t="shared" ref="I182:I190" si="48">SUM(B182:H182)</f>
        <v>165385.79999999999</v>
      </c>
      <c r="J182" s="52">
        <v>2.0499999999999998</v>
      </c>
      <c r="K182" s="115"/>
      <c r="L182" s="115"/>
    </row>
    <row r="183" spans="1:12" x14ac:dyDescent="0.35">
      <c r="A183" s="26" t="s">
        <v>147</v>
      </c>
      <c r="B183" s="5"/>
      <c r="C183" s="5"/>
      <c r="D183" s="5">
        <f>((B17*0.9)*3.3*180)</f>
        <v>266230.8</v>
      </c>
      <c r="E183" s="5"/>
      <c r="F183" s="5"/>
      <c r="G183" s="5"/>
      <c r="H183" s="5"/>
      <c r="I183" s="5">
        <f t="shared" si="48"/>
        <v>266230.8</v>
      </c>
      <c r="J183" s="52">
        <v>3.3</v>
      </c>
      <c r="K183" s="115"/>
      <c r="L183" s="115"/>
    </row>
    <row r="184" spans="1:12" x14ac:dyDescent="0.35">
      <c r="A184" s="26" t="s">
        <v>148</v>
      </c>
      <c r="B184" s="5">
        <v>6500</v>
      </c>
      <c r="C184" s="5"/>
      <c r="D184" s="5"/>
      <c r="E184" s="5"/>
      <c r="F184" s="5"/>
      <c r="G184" s="5"/>
      <c r="H184" s="5"/>
      <c r="I184" s="5">
        <f t="shared" si="48"/>
        <v>6500</v>
      </c>
      <c r="J184" s="11"/>
    </row>
    <row r="185" spans="1:12" x14ac:dyDescent="0.35">
      <c r="A185" s="26" t="s">
        <v>149</v>
      </c>
      <c r="B185" s="5">
        <v>1500</v>
      </c>
      <c r="C185" s="5"/>
      <c r="D185" s="5"/>
      <c r="E185" s="5"/>
      <c r="F185" s="5"/>
      <c r="G185" s="5"/>
      <c r="H185" s="5"/>
      <c r="I185" s="5">
        <f t="shared" si="48"/>
        <v>1500</v>
      </c>
      <c r="J185" s="11"/>
    </row>
    <row r="186" spans="1:12" x14ac:dyDescent="0.35">
      <c r="A186" s="26" t="s">
        <v>150</v>
      </c>
      <c r="B186" s="5">
        <v>1500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48"/>
        <v>1500</v>
      </c>
      <c r="J186" s="11"/>
    </row>
    <row r="187" spans="1:12" x14ac:dyDescent="0.35">
      <c r="A187" s="26" t="s">
        <v>151</v>
      </c>
      <c r="B187" s="10">
        <f>(5*B17)+1200+1350</f>
        <v>5040</v>
      </c>
      <c r="C187" s="5"/>
      <c r="D187" s="5"/>
      <c r="E187" s="5"/>
      <c r="F187" s="5"/>
      <c r="G187" s="5"/>
      <c r="H187" s="5"/>
      <c r="I187" s="5">
        <f t="shared" si="48"/>
        <v>5040</v>
      </c>
      <c r="J187" s="11" t="s">
        <v>288</v>
      </c>
    </row>
    <row r="188" spans="1:12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48"/>
        <v>0</v>
      </c>
      <c r="J188" s="11"/>
    </row>
    <row r="189" spans="1:12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48"/>
        <v>0</v>
      </c>
      <c r="J189" s="11"/>
    </row>
    <row r="190" spans="1:12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48"/>
        <v>0</v>
      </c>
      <c r="J190" s="11"/>
    </row>
    <row r="191" spans="1:12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</row>
    <row r="192" spans="1:12" x14ac:dyDescent="0.35">
      <c r="A192" s="26" t="s">
        <v>254</v>
      </c>
      <c r="B192" s="10">
        <v>27060</v>
      </c>
      <c r="C192" s="5"/>
      <c r="D192" s="5"/>
      <c r="E192" s="5"/>
      <c r="F192" s="5"/>
      <c r="G192" s="5"/>
      <c r="H192" s="5"/>
      <c r="I192" s="5">
        <f t="shared" ref="I192:I195" si="49">SUM(B192:H192)</f>
        <v>27060</v>
      </c>
      <c r="J192" s="11"/>
    </row>
    <row r="193" spans="1:12" x14ac:dyDescent="0.35">
      <c r="A193" s="26" t="s">
        <v>255</v>
      </c>
      <c r="B193" s="10">
        <v>6665</v>
      </c>
      <c r="C193" s="5"/>
      <c r="D193" s="5"/>
      <c r="E193" s="5"/>
      <c r="F193" s="5"/>
      <c r="G193" s="5"/>
      <c r="H193" s="5"/>
      <c r="I193" s="5">
        <f t="shared" si="49"/>
        <v>6665</v>
      </c>
      <c r="J193" s="11"/>
    </row>
    <row r="194" spans="1:12" x14ac:dyDescent="0.35">
      <c r="A194" s="26" t="s">
        <v>275</v>
      </c>
      <c r="B194" s="10">
        <v>7500</v>
      </c>
      <c r="C194" s="5"/>
      <c r="D194" s="5"/>
      <c r="E194" s="5"/>
      <c r="F194" s="5"/>
      <c r="G194" s="5"/>
      <c r="H194" s="5"/>
      <c r="I194" s="5">
        <f t="shared" si="49"/>
        <v>7500</v>
      </c>
      <c r="J194" s="11"/>
    </row>
    <row r="195" spans="1:12" x14ac:dyDescent="0.35">
      <c r="A195" s="69" t="s">
        <v>458</v>
      </c>
      <c r="B195" s="5">
        <f>B74*0.02</f>
        <v>89301.36</v>
      </c>
      <c r="C195" s="5"/>
      <c r="D195" s="5"/>
      <c r="E195" s="5"/>
      <c r="F195" s="5"/>
      <c r="G195" s="5"/>
      <c r="H195" s="5"/>
      <c r="I195" s="5">
        <f t="shared" si="49"/>
        <v>89301.36</v>
      </c>
      <c r="J195" s="48" t="s">
        <v>511</v>
      </c>
      <c r="K195" s="112"/>
      <c r="L195" s="112"/>
    </row>
    <row r="196" spans="1:12" x14ac:dyDescent="0.35">
      <c r="A196" s="62" t="s">
        <v>182</v>
      </c>
      <c r="B196" s="63">
        <f>SUM(B172:B195)</f>
        <v>237261.36</v>
      </c>
      <c r="C196" s="63">
        <f t="shared" ref="C196:I196" si="50">SUM(C172:C195)</f>
        <v>0</v>
      </c>
      <c r="D196" s="63">
        <f t="shared" si="50"/>
        <v>431616.6</v>
      </c>
      <c r="E196" s="63">
        <f t="shared" si="50"/>
        <v>0</v>
      </c>
      <c r="F196" s="63">
        <f t="shared" si="50"/>
        <v>0</v>
      </c>
      <c r="G196" s="63">
        <f t="shared" si="50"/>
        <v>0</v>
      </c>
      <c r="H196" s="63">
        <f t="shared" si="50"/>
        <v>0</v>
      </c>
      <c r="I196" s="63">
        <f t="shared" si="50"/>
        <v>668877.96</v>
      </c>
      <c r="J196" s="7"/>
      <c r="K196" s="7"/>
      <c r="L196" s="7"/>
    </row>
    <row r="197" spans="1:12" x14ac:dyDescent="0.35">
      <c r="A197" s="66" t="s">
        <v>154</v>
      </c>
      <c r="B197" s="15" t="str">
        <f t="shared" ref="B197:I197" si="51">B1</f>
        <v>Operating</v>
      </c>
      <c r="C197" s="15" t="str">
        <f t="shared" si="51"/>
        <v>SPED</v>
      </c>
      <c r="D197" s="15" t="str">
        <f t="shared" si="51"/>
        <v>NSLP</v>
      </c>
      <c r="E197" s="15" t="str">
        <f t="shared" si="51"/>
        <v>Other</v>
      </c>
      <c r="F197" s="15" t="str">
        <f t="shared" si="51"/>
        <v>Title I</v>
      </c>
      <c r="G197" s="15" t="str">
        <f t="shared" si="51"/>
        <v>Title II</v>
      </c>
      <c r="H197" s="15" t="str">
        <f t="shared" si="51"/>
        <v>Title III</v>
      </c>
      <c r="I197" s="15" t="str">
        <f t="shared" si="51"/>
        <v>Total (23-24)</v>
      </c>
      <c r="J197" s="7"/>
      <c r="K197" s="7"/>
      <c r="L197" s="7"/>
    </row>
    <row r="198" spans="1:12" x14ac:dyDescent="0.35">
      <c r="A198" s="71" t="s">
        <v>155</v>
      </c>
      <c r="B198" s="120">
        <v>30000</v>
      </c>
      <c r="C198" s="5"/>
      <c r="D198" s="5"/>
      <c r="E198" s="5"/>
      <c r="F198" s="5"/>
      <c r="G198" s="5"/>
      <c r="H198" s="5"/>
      <c r="I198" s="5">
        <f t="shared" ref="I198:I207" si="52">SUM(B198:H198)</f>
        <v>30000</v>
      </c>
      <c r="J198" s="6"/>
      <c r="K198" s="53"/>
      <c r="L198" s="53"/>
    </row>
    <row r="199" spans="1:12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52"/>
        <v>0</v>
      </c>
      <c r="J199" s="11"/>
    </row>
    <row r="200" spans="1:12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52"/>
        <v>0</v>
      </c>
      <c r="J200" s="11"/>
    </row>
    <row r="201" spans="1:12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52"/>
        <v>0</v>
      </c>
      <c r="J201" s="11"/>
    </row>
    <row r="202" spans="1:12" x14ac:dyDescent="0.35">
      <c r="A202" s="26" t="s">
        <v>159</v>
      </c>
      <c r="B202" s="73">
        <v>5000</v>
      </c>
      <c r="C202" s="5"/>
      <c r="D202" s="5"/>
      <c r="E202" s="5"/>
      <c r="F202" s="5"/>
      <c r="G202" s="5"/>
      <c r="H202" s="5"/>
      <c r="I202" s="5">
        <f t="shared" si="52"/>
        <v>5000</v>
      </c>
      <c r="J202" s="11"/>
    </row>
    <row r="203" spans="1:12" x14ac:dyDescent="0.35">
      <c r="A203" s="26" t="s">
        <v>160</v>
      </c>
      <c r="B203" s="72">
        <f>2915*13</f>
        <v>37895</v>
      </c>
      <c r="C203" s="5"/>
      <c r="D203" s="5"/>
      <c r="E203" s="5"/>
      <c r="F203" s="5"/>
      <c r="G203" s="5"/>
      <c r="H203" s="5"/>
      <c r="I203" s="5">
        <f t="shared" si="52"/>
        <v>37895</v>
      </c>
      <c r="J203" s="11" t="s">
        <v>289</v>
      </c>
    </row>
    <row r="204" spans="1:12" x14ac:dyDescent="0.35">
      <c r="A204" s="26" t="s">
        <v>162</v>
      </c>
      <c r="B204" s="10">
        <v>50000</v>
      </c>
      <c r="C204" s="5"/>
      <c r="D204" s="5"/>
      <c r="E204" s="5"/>
      <c r="F204" s="5"/>
      <c r="G204" s="5"/>
      <c r="H204" s="5"/>
      <c r="I204" s="5">
        <f t="shared" si="52"/>
        <v>50000</v>
      </c>
      <c r="J204" s="11"/>
    </row>
    <row r="205" spans="1:12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52"/>
        <v>0</v>
      </c>
      <c r="J205" s="11"/>
    </row>
    <row r="206" spans="1:12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52"/>
        <v>0</v>
      </c>
      <c r="J206" s="11"/>
    </row>
    <row r="207" spans="1:12" x14ac:dyDescent="0.35">
      <c r="A207" s="69" t="s">
        <v>165</v>
      </c>
      <c r="B207" s="10">
        <v>0</v>
      </c>
      <c r="C207" s="5"/>
      <c r="D207" s="5"/>
      <c r="E207" s="5"/>
      <c r="F207" s="5"/>
      <c r="G207" s="5"/>
      <c r="H207" s="5"/>
      <c r="I207" s="5">
        <f t="shared" si="52"/>
        <v>0</v>
      </c>
      <c r="J207" s="11"/>
    </row>
    <row r="208" spans="1:12" x14ac:dyDescent="0.35">
      <c r="A208" s="62" t="s">
        <v>183</v>
      </c>
      <c r="B208" s="63">
        <f t="shared" ref="B208:I208" si="53">SUM(B198:B207)</f>
        <v>122895</v>
      </c>
      <c r="C208" s="63">
        <f t="shared" si="53"/>
        <v>0</v>
      </c>
      <c r="D208" s="63">
        <f t="shared" si="53"/>
        <v>0</v>
      </c>
      <c r="E208" s="63">
        <f t="shared" si="53"/>
        <v>0</v>
      </c>
      <c r="F208" s="63">
        <f t="shared" si="53"/>
        <v>0</v>
      </c>
      <c r="G208" s="63">
        <f t="shared" si="53"/>
        <v>0</v>
      </c>
      <c r="H208" s="63">
        <f t="shared" si="53"/>
        <v>0</v>
      </c>
      <c r="I208" s="63">
        <f t="shared" si="53"/>
        <v>122895</v>
      </c>
      <c r="J208" s="7"/>
      <c r="K208" s="7"/>
      <c r="L208" s="7"/>
    </row>
    <row r="209" spans="1:12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  <c r="K209" s="7"/>
      <c r="L209" s="7"/>
    </row>
    <row r="210" spans="1:12" x14ac:dyDescent="0.35">
      <c r="A210" s="62" t="s">
        <v>166</v>
      </c>
      <c r="B210" s="63">
        <f>B142+B154+B170+B196+B208</f>
        <v>4332077.49</v>
      </c>
      <c r="C210" s="63">
        <f t="shared" ref="C210:H210" si="54">C142+C154+C170+C196+C208</f>
        <v>624460.5</v>
      </c>
      <c r="D210" s="63">
        <f t="shared" si="54"/>
        <v>516229.6</v>
      </c>
      <c r="E210" s="63">
        <f t="shared" si="54"/>
        <v>160000</v>
      </c>
      <c r="F210" s="63">
        <f t="shared" si="54"/>
        <v>0</v>
      </c>
      <c r="G210" s="63">
        <f t="shared" si="54"/>
        <v>0</v>
      </c>
      <c r="H210" s="63">
        <f t="shared" si="54"/>
        <v>0</v>
      </c>
      <c r="I210" s="63">
        <f>I142+I154+I170+I196+I208</f>
        <v>5632767.5899999999</v>
      </c>
      <c r="J210" s="7"/>
      <c r="K210" s="7"/>
      <c r="L210" s="7"/>
    </row>
    <row r="211" spans="1:12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  <c r="K211" s="7"/>
      <c r="L211" s="7"/>
    </row>
    <row r="212" spans="1:12" x14ac:dyDescent="0.35">
      <c r="A212" s="38" t="s">
        <v>167</v>
      </c>
      <c r="B212" s="9">
        <f>1125.51*B17</f>
        <v>560503.98</v>
      </c>
      <c r="C212" s="9"/>
      <c r="D212" s="9"/>
      <c r="E212" s="9"/>
      <c r="F212" s="9"/>
      <c r="G212" s="9"/>
      <c r="H212" s="9"/>
      <c r="I212" s="9">
        <f t="shared" ref="I212:I217" si="55">SUM(B212:H212)</f>
        <v>560503.98</v>
      </c>
      <c r="J212" s="11" t="s">
        <v>290</v>
      </c>
      <c r="L212" s="109"/>
    </row>
    <row r="213" spans="1:12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55"/>
        <v>0</v>
      </c>
      <c r="J213" s="11"/>
    </row>
    <row r="214" spans="1:12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55"/>
        <v>0</v>
      </c>
      <c r="J214" s="119"/>
    </row>
    <row r="215" spans="1:12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55"/>
        <v>0</v>
      </c>
      <c r="J215" s="11"/>
    </row>
    <row r="216" spans="1:12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55"/>
        <v>0</v>
      </c>
      <c r="J216" s="11"/>
    </row>
    <row r="217" spans="1:12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si="55"/>
        <v>0</v>
      </c>
      <c r="J217" s="11"/>
      <c r="K217" s="7"/>
      <c r="L217" s="7"/>
    </row>
    <row r="218" spans="1:12" ht="15" thickBot="1" x14ac:dyDescent="0.4">
      <c r="A218" s="76" t="s">
        <v>168</v>
      </c>
      <c r="B218" s="77">
        <f t="shared" ref="B218:H218" si="56">(B97+B103)-B210-B212-B213-B215-B214</f>
        <v>198206.5299999998</v>
      </c>
      <c r="C218" s="77">
        <f t="shared" si="56"/>
        <v>-212071.5</v>
      </c>
      <c r="D218" s="77">
        <f t="shared" si="56"/>
        <v>39090.199999999953</v>
      </c>
      <c r="E218" s="77">
        <f t="shared" si="56"/>
        <v>0</v>
      </c>
      <c r="F218" s="77">
        <f t="shared" si="56"/>
        <v>0</v>
      </c>
      <c r="G218" s="77">
        <f t="shared" si="56"/>
        <v>0</v>
      </c>
      <c r="H218" s="77">
        <f t="shared" si="56"/>
        <v>0</v>
      </c>
      <c r="I218" s="77">
        <f t="shared" ref="I218" si="57">(I97+I103)-I210-I212-I213-I215-I214</f>
        <v>25225.229999999981</v>
      </c>
      <c r="J218" s="7"/>
      <c r="K218" s="7"/>
      <c r="L218" s="7"/>
    </row>
    <row r="219" spans="1:12" x14ac:dyDescent="0.35">
      <c r="A219" s="78"/>
      <c r="B219" s="79">
        <f t="shared" ref="B219:I219" si="58">B218/(B97)</f>
        <v>3.8934351617077707E-2</v>
      </c>
      <c r="C219" s="79">
        <f t="shared" si="58"/>
        <v>-0.51425110757076453</v>
      </c>
      <c r="D219" s="79">
        <f t="shared" si="58"/>
        <v>7.0392231647421824E-2</v>
      </c>
      <c r="E219" s="79" t="e">
        <f t="shared" si="58"/>
        <v>#DIV/0!</v>
      </c>
      <c r="F219" s="79" t="e">
        <f t="shared" si="58"/>
        <v>#DIV/0!</v>
      </c>
      <c r="G219" s="79" t="e">
        <f t="shared" si="58"/>
        <v>#DIV/0!</v>
      </c>
      <c r="H219" s="79" t="e">
        <f t="shared" si="58"/>
        <v>#DIV/0!</v>
      </c>
      <c r="I219" s="79">
        <f t="shared" si="58"/>
        <v>4.1636120035583712E-3</v>
      </c>
      <c r="J219" s="7"/>
      <c r="K219" s="7"/>
      <c r="L219" s="7"/>
    </row>
    <row r="220" spans="1:12" x14ac:dyDescent="0.35">
      <c r="B220" s="80"/>
      <c r="C220" s="80"/>
      <c r="D220" s="80"/>
      <c r="E220" s="80"/>
      <c r="F220" s="80"/>
      <c r="G220" s="80"/>
      <c r="H220" s="80"/>
      <c r="I220" s="80"/>
    </row>
    <row r="221" spans="1:12" x14ac:dyDescent="0.35">
      <c r="A221" s="1" t="str">
        <f t="shared" ref="A221:I221" si="59">A1</f>
        <v>Mater Academy of Northern Nevada (MANN) - FY24</v>
      </c>
      <c r="B221" s="1" t="str">
        <f t="shared" si="59"/>
        <v>Operating</v>
      </c>
      <c r="C221" s="1" t="str">
        <f t="shared" si="59"/>
        <v>SPED</v>
      </c>
      <c r="D221" s="1" t="str">
        <f t="shared" si="59"/>
        <v>NSLP</v>
      </c>
      <c r="E221" s="1" t="str">
        <f t="shared" si="59"/>
        <v>Other</v>
      </c>
      <c r="F221" s="1" t="str">
        <f t="shared" si="59"/>
        <v>Title I</v>
      </c>
      <c r="G221" s="1" t="str">
        <f t="shared" si="59"/>
        <v>Title II</v>
      </c>
      <c r="H221" s="1" t="str">
        <f t="shared" si="59"/>
        <v>Title III</v>
      </c>
      <c r="I221" s="1" t="str">
        <f t="shared" si="59"/>
        <v>Total (23-24)</v>
      </c>
      <c r="J221" s="2"/>
      <c r="K221" s="2"/>
      <c r="L221" s="2"/>
    </row>
    <row r="223" spans="1:12" s="54" customFormat="1" x14ac:dyDescent="0.35">
      <c r="A223" s="7"/>
      <c r="B223" s="81"/>
      <c r="C223" s="81"/>
      <c r="D223" s="81"/>
      <c r="E223" s="81"/>
      <c r="F223" s="81"/>
      <c r="G223" s="81"/>
      <c r="H223" s="81"/>
      <c r="I223" s="81"/>
    </row>
    <row r="224" spans="1:12" s="54" customFormat="1" x14ac:dyDescent="0.35">
      <c r="A224" s="82" t="s">
        <v>169</v>
      </c>
      <c r="B224" s="83"/>
      <c r="C224" s="83"/>
      <c r="D224" s="83"/>
      <c r="E224" s="83"/>
      <c r="F224" s="83"/>
      <c r="G224" s="83"/>
      <c r="H224" s="83"/>
      <c r="I224" s="83">
        <f>I97-I210</f>
        <v>425729.20999999996</v>
      </c>
    </row>
    <row r="225" spans="1:12" x14ac:dyDescent="0.35">
      <c r="A22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x14ac:dyDescent="0.35">
      <c r="A226" s="84" t="str">
        <f>A212</f>
        <v>Scheduled Lease Payment</v>
      </c>
      <c r="B226" s="85"/>
      <c r="C226" s="85"/>
      <c r="D226" s="85"/>
      <c r="E226" s="85"/>
      <c r="F226" s="85"/>
      <c r="G226" s="85"/>
      <c r="H226" s="85"/>
      <c r="I226" s="85">
        <f>I212</f>
        <v>560503.98</v>
      </c>
      <c r="J226" s="7"/>
      <c r="K226" s="7"/>
      <c r="L226" s="7"/>
    </row>
    <row r="227" spans="1:12" x14ac:dyDescent="0.35">
      <c r="A227" s="84" t="str">
        <f>A213</f>
        <v>Scheduled Bond Payment - Principal</v>
      </c>
      <c r="B227" s="85"/>
      <c r="C227" s="85"/>
      <c r="D227" s="85"/>
      <c r="E227" s="85"/>
      <c r="F227" s="85"/>
      <c r="G227" s="85"/>
      <c r="H227" s="85"/>
      <c r="I227" s="85">
        <f>I213</f>
        <v>0</v>
      </c>
      <c r="J227" s="7"/>
      <c r="K227" s="7"/>
      <c r="L227" s="7"/>
    </row>
    <row r="228" spans="1:12" x14ac:dyDescent="0.35">
      <c r="A228" s="84" t="str">
        <f>A214</f>
        <v>Scheduled Bond Payment - Interest</v>
      </c>
      <c r="B228" s="85"/>
      <c r="C228" s="85"/>
      <c r="D228" s="85"/>
      <c r="E228" s="85"/>
      <c r="F228" s="85"/>
      <c r="G228" s="85"/>
      <c r="H228" s="85"/>
      <c r="I228" s="85">
        <f>I214</f>
        <v>0</v>
      </c>
      <c r="J228" s="7"/>
      <c r="K228" s="7"/>
      <c r="L228" s="7"/>
    </row>
    <row r="229" spans="1:12" x14ac:dyDescent="0.35">
      <c r="A229"/>
      <c r="B229" s="85"/>
      <c r="C229" s="85"/>
      <c r="D229" s="85"/>
      <c r="E229" s="85"/>
      <c r="F229" s="85"/>
      <c r="G229" s="85"/>
      <c r="H229" s="85"/>
      <c r="I229" s="85"/>
      <c r="J229" s="7"/>
      <c r="K229" s="7"/>
      <c r="L229" s="7"/>
    </row>
    <row r="230" spans="1:12" x14ac:dyDescent="0.35">
      <c r="A230" s="82" t="s">
        <v>170</v>
      </c>
      <c r="B230" s="86"/>
      <c r="C230" s="86"/>
      <c r="D230" s="86"/>
      <c r="E230" s="86"/>
      <c r="F230" s="86"/>
      <c r="G230" s="86"/>
      <c r="H230" s="86"/>
      <c r="I230" s="86">
        <f>SUM(I226:I228)</f>
        <v>560503.98</v>
      </c>
      <c r="J230" s="7"/>
      <c r="K230" s="7"/>
      <c r="L230" s="7"/>
    </row>
    <row r="231" spans="1:12" x14ac:dyDescent="0.35">
      <c r="A231" s="87" t="s">
        <v>171</v>
      </c>
      <c r="B231" s="88"/>
      <c r="C231" s="88"/>
      <c r="D231" s="88"/>
      <c r="E231" s="88"/>
      <c r="F231" s="88"/>
      <c r="G231" s="88"/>
      <c r="H231" s="88"/>
      <c r="I231" s="88">
        <f>I224/I230</f>
        <v>0.75954716681940415</v>
      </c>
      <c r="J231" s="89"/>
      <c r="K231" s="89"/>
      <c r="L231" s="89"/>
    </row>
    <row r="232" spans="1:12" x14ac:dyDescent="0.35">
      <c r="A23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x14ac:dyDescent="0.35">
      <c r="A233" s="90" t="s">
        <v>172</v>
      </c>
      <c r="B233" s="91"/>
      <c r="C233" s="91"/>
      <c r="D233" s="91"/>
      <c r="E233" s="91"/>
      <c r="F233" s="91"/>
      <c r="G233" s="91"/>
      <c r="H233" s="91"/>
      <c r="I233" s="91"/>
      <c r="J233" s="7"/>
      <c r="K233" s="7"/>
      <c r="L233" s="7"/>
    </row>
    <row r="234" spans="1:12" x14ac:dyDescent="0.35">
      <c r="A234" t="s">
        <v>173</v>
      </c>
      <c r="B234" s="92"/>
      <c r="C234" s="92"/>
      <c r="D234" s="92"/>
      <c r="E234" s="92"/>
      <c r="F234" s="92"/>
      <c r="G234" s="92"/>
      <c r="H234" s="92"/>
      <c r="I234" s="93">
        <v>547618</v>
      </c>
      <c r="J234" s="7"/>
      <c r="K234" s="7"/>
      <c r="L234" s="7"/>
    </row>
    <row r="235" spans="1:12" x14ac:dyDescent="0.35">
      <c r="A235" s="7" t="s">
        <v>174</v>
      </c>
      <c r="B235" s="92"/>
      <c r="C235" s="92"/>
      <c r="D235" s="92"/>
      <c r="E235" s="92"/>
      <c r="F235" s="92"/>
      <c r="G235" s="92"/>
      <c r="H235" s="92"/>
      <c r="I235" s="92"/>
      <c r="J235" s="7"/>
      <c r="K235" s="7"/>
      <c r="L235" s="7"/>
    </row>
    <row r="236" spans="1:12" x14ac:dyDescent="0.35">
      <c r="A236" s="7" t="s">
        <v>175</v>
      </c>
      <c r="B236" s="92"/>
      <c r="C236" s="92"/>
      <c r="D236" s="92"/>
      <c r="E236" s="92"/>
      <c r="F236" s="92"/>
      <c r="G236" s="92"/>
      <c r="H236" s="92"/>
      <c r="I236" s="92">
        <f>I218</f>
        <v>25225.229999999981</v>
      </c>
      <c r="J236" s="89"/>
      <c r="K236" s="89"/>
      <c r="L236" s="89"/>
    </row>
    <row r="237" spans="1:12" x14ac:dyDescent="0.35">
      <c r="A237" s="94" t="s">
        <v>176</v>
      </c>
      <c r="B237" s="95"/>
      <c r="C237" s="95"/>
      <c r="D237" s="95"/>
      <c r="E237" s="95"/>
      <c r="F237" s="95"/>
      <c r="G237" s="95"/>
      <c r="H237" s="95"/>
      <c r="I237" s="95">
        <f>SUM(I234:I236)</f>
        <v>572843.23</v>
      </c>
      <c r="J237" s="7"/>
      <c r="K237" s="7"/>
      <c r="L237" s="7"/>
    </row>
    <row r="238" spans="1:12" x14ac:dyDescent="0.35">
      <c r="A238" s="96" t="s">
        <v>177</v>
      </c>
      <c r="B238" s="97"/>
      <c r="C238" s="97"/>
      <c r="D238" s="97"/>
      <c r="E238" s="97"/>
      <c r="F238" s="97"/>
      <c r="G238" s="97"/>
      <c r="H238" s="97"/>
      <c r="I238" s="97">
        <f>I237/((SUM(I210:I216))/365)</f>
        <v>33.760473214643802</v>
      </c>
      <c r="J238" s="7"/>
      <c r="K238" s="7"/>
      <c r="L238" s="7"/>
    </row>
    <row r="239" spans="1:12" x14ac:dyDescent="0.35">
      <c r="A239"/>
      <c r="B239" s="98"/>
    </row>
    <row r="240" spans="1:12" x14ac:dyDescent="0.35">
      <c r="C240" s="99"/>
      <c r="D240" s="99"/>
      <c r="E240" s="99"/>
      <c r="F240" s="99"/>
      <c r="G240" s="99"/>
      <c r="H240" s="99"/>
      <c r="I240" s="99"/>
    </row>
  </sheetData>
  <pageMargins left="0.7" right="0.7" top="0.75" bottom="0.75" header="0.3" footer="0.3"/>
  <pageSetup scale="41" orientation="portrait" r:id="rId1"/>
  <headerFooter>
    <oddFooter>&amp;LPage &amp;P&amp;C
&amp;R
 &amp;G</oddFooter>
  </headerFooter>
  <rowBreaks count="2" manualBreakCount="2">
    <brk id="70" max="5" man="1"/>
    <brk id="154" max="5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9" workbookViewId="0">
      <selection activeCell="H54" sqref="H54"/>
    </sheetView>
  </sheetViews>
  <sheetFormatPr defaultRowHeight="14.5" x14ac:dyDescent="0.35"/>
  <cols>
    <col min="1" max="3" width="3" style="132" customWidth="1"/>
    <col min="4" max="4" width="62.1796875" style="132" customWidth="1"/>
    <col min="5" max="5" width="7.6328125" style="125" bestFit="1" customWidth="1"/>
    <col min="6" max="6" width="10.08984375" style="125" bestFit="1" customWidth="1"/>
    <col min="7" max="7" width="9.08984375" style="125" bestFit="1" customWidth="1"/>
    <col min="8" max="8" width="8.54296875" style="125" bestFit="1" customWidth="1"/>
  </cols>
  <sheetData>
    <row r="1" spans="1:8" ht="15.5" x14ac:dyDescent="0.35">
      <c r="A1" s="126" t="s">
        <v>193</v>
      </c>
      <c r="B1" s="127"/>
      <c r="C1" s="127"/>
      <c r="D1" s="127"/>
      <c r="E1" s="162"/>
      <c r="F1" s="162"/>
      <c r="G1" s="162"/>
      <c r="H1" s="162"/>
    </row>
    <row r="2" spans="1:8" ht="18" x14ac:dyDescent="0.4">
      <c r="A2" s="128" t="s">
        <v>194</v>
      </c>
      <c r="B2" s="127"/>
      <c r="C2" s="127"/>
      <c r="D2" s="127"/>
      <c r="E2" s="162"/>
      <c r="F2" s="162"/>
      <c r="G2" s="162"/>
      <c r="H2" s="162"/>
    </row>
    <row r="3" spans="1:8" x14ac:dyDescent="0.35">
      <c r="A3" s="129" t="s">
        <v>314</v>
      </c>
      <c r="B3" s="127"/>
      <c r="C3" s="127"/>
      <c r="D3" s="127"/>
      <c r="E3" s="162"/>
      <c r="F3" s="162"/>
      <c r="G3" s="162"/>
      <c r="H3" s="162"/>
    </row>
    <row r="4" spans="1:8" x14ac:dyDescent="0.35">
      <c r="A4" s="130"/>
      <c r="B4" s="130"/>
      <c r="C4" s="130"/>
      <c r="D4" s="130"/>
      <c r="E4" s="163"/>
      <c r="F4" s="163"/>
      <c r="G4" s="163"/>
      <c r="H4" s="163"/>
    </row>
    <row r="5" spans="1:8" ht="15" thickBot="1" x14ac:dyDescent="0.4">
      <c r="A5" s="130"/>
      <c r="B5" s="130"/>
      <c r="C5" s="130"/>
      <c r="D5" s="130"/>
      <c r="E5" s="164" t="s">
        <v>302</v>
      </c>
      <c r="F5" s="163"/>
      <c r="G5" s="163"/>
      <c r="H5" s="163"/>
    </row>
    <row r="6" spans="1:8" ht="15.5" thickTop="1" thickBot="1" x14ac:dyDescent="0.4">
      <c r="A6" s="131"/>
      <c r="B6" s="131"/>
      <c r="C6" s="131"/>
      <c r="D6" s="131"/>
      <c r="E6" s="165" t="s">
        <v>196</v>
      </c>
      <c r="F6" s="165" t="s">
        <v>197</v>
      </c>
      <c r="G6" s="165" t="s">
        <v>198</v>
      </c>
      <c r="H6" s="165" t="s">
        <v>199</v>
      </c>
    </row>
    <row r="7" spans="1:8" ht="15" thickTop="1" x14ac:dyDescent="0.35">
      <c r="A7" s="130"/>
      <c r="B7" s="130" t="s">
        <v>200</v>
      </c>
      <c r="C7" s="130"/>
      <c r="D7" s="130"/>
      <c r="E7" s="166"/>
      <c r="F7" s="166"/>
      <c r="G7" s="167"/>
      <c r="H7" s="166"/>
    </row>
    <row r="8" spans="1:8" x14ac:dyDescent="0.35">
      <c r="A8" s="130"/>
      <c r="B8" s="130"/>
      <c r="C8" s="130" t="s">
        <v>201</v>
      </c>
      <c r="D8" s="130"/>
      <c r="E8" s="166"/>
      <c r="F8" s="166"/>
      <c r="G8" s="167"/>
      <c r="H8" s="166"/>
    </row>
    <row r="9" spans="1:8" ht="15" thickBot="1" x14ac:dyDescent="0.4">
      <c r="A9" s="130"/>
      <c r="B9" s="130"/>
      <c r="C9" s="130"/>
      <c r="D9" s="130" t="s">
        <v>202</v>
      </c>
      <c r="E9" s="168">
        <v>0</v>
      </c>
      <c r="F9" s="168">
        <v>0</v>
      </c>
      <c r="G9" s="169">
        <f>ROUND(IF(F40=0, 0, F9/F40),5)</f>
        <v>0</v>
      </c>
      <c r="H9" s="168">
        <v>0</v>
      </c>
    </row>
    <row r="10" spans="1:8" ht="15" thickBot="1" x14ac:dyDescent="0.4">
      <c r="A10" s="130"/>
      <c r="B10" s="130"/>
      <c r="C10" s="130"/>
      <c r="D10" s="130" t="s">
        <v>203</v>
      </c>
      <c r="E10" s="170">
        <v>19</v>
      </c>
      <c r="F10" s="168">
        <v>4750</v>
      </c>
      <c r="G10" s="169">
        <f>ROUND(IF(F40=0, 0, F10/F40),5)</f>
        <v>0.14585999999999999</v>
      </c>
      <c r="H10" s="168">
        <v>250</v>
      </c>
    </row>
    <row r="11" spans="1:8" x14ac:dyDescent="0.35">
      <c r="A11" s="130"/>
      <c r="B11" s="130"/>
      <c r="C11" s="130"/>
      <c r="D11" s="130" t="s">
        <v>315</v>
      </c>
      <c r="E11" s="166">
        <v>0</v>
      </c>
      <c r="F11" s="166">
        <v>0</v>
      </c>
      <c r="G11" s="167">
        <f>ROUND(IF(F40=0, 0, F11/F40),5)</f>
        <v>0</v>
      </c>
      <c r="H11" s="166">
        <v>0</v>
      </c>
    </row>
    <row r="12" spans="1:8" x14ac:dyDescent="0.35">
      <c r="A12" s="130"/>
      <c r="B12" s="130"/>
      <c r="C12" s="130" t="s">
        <v>204</v>
      </c>
      <c r="D12" s="130"/>
      <c r="E12" s="166">
        <f>ROUND(SUM(E8:E11),5)</f>
        <v>19</v>
      </c>
      <c r="F12" s="166">
        <f>ROUND(SUM(F8:F11),5)</f>
        <v>4750</v>
      </c>
      <c r="G12" s="167">
        <f>ROUND(IF(F40=0, 0, F12/F40),5)</f>
        <v>0.14585999999999999</v>
      </c>
      <c r="H12" s="166">
        <v>250</v>
      </c>
    </row>
    <row r="13" spans="1:8" x14ac:dyDescent="0.35">
      <c r="A13" s="130"/>
      <c r="B13" s="130"/>
      <c r="C13" s="130" t="s">
        <v>205</v>
      </c>
      <c r="D13" s="130"/>
      <c r="E13" s="166"/>
      <c r="F13" s="166"/>
      <c r="G13" s="167"/>
      <c r="H13" s="166"/>
    </row>
    <row r="14" spans="1:8" x14ac:dyDescent="0.35">
      <c r="A14" s="130"/>
      <c r="B14" s="130"/>
      <c r="C14" s="130"/>
      <c r="D14" s="130" t="s">
        <v>206</v>
      </c>
      <c r="E14" s="166">
        <v>0</v>
      </c>
      <c r="F14" s="166">
        <v>0</v>
      </c>
      <c r="G14" s="167">
        <f>ROUND(IF(F40=0, 0, F14/F40),5)</f>
        <v>0</v>
      </c>
      <c r="H14" s="166">
        <v>0</v>
      </c>
    </row>
    <row r="15" spans="1:8" x14ac:dyDescent="0.35">
      <c r="A15" s="130"/>
      <c r="B15" s="130"/>
      <c r="C15" s="130"/>
      <c r="D15" s="130" t="s">
        <v>207</v>
      </c>
      <c r="E15" s="166">
        <v>0.5</v>
      </c>
      <c r="F15" s="166">
        <v>25</v>
      </c>
      <c r="G15" s="167">
        <f>ROUND(IF(F40=0, 0, F15/F40),5)</f>
        <v>7.6999999999999996E-4</v>
      </c>
      <c r="H15" s="166">
        <v>50</v>
      </c>
    </row>
    <row r="16" spans="1:8" x14ac:dyDescent="0.35">
      <c r="A16" s="130"/>
      <c r="B16" s="130"/>
      <c r="C16" s="130"/>
      <c r="D16" s="130" t="s">
        <v>208</v>
      </c>
      <c r="E16" s="166">
        <v>0</v>
      </c>
      <c r="F16" s="166">
        <v>0</v>
      </c>
      <c r="G16" s="167">
        <f>ROUND(IF(F40=0, 0, F16/F40),5)</f>
        <v>0</v>
      </c>
      <c r="H16" s="166">
        <v>0</v>
      </c>
    </row>
    <row r="17" spans="1:8" x14ac:dyDescent="0.35">
      <c r="A17" s="130"/>
      <c r="B17" s="130"/>
      <c r="C17" s="130"/>
      <c r="D17" s="130" t="s">
        <v>209</v>
      </c>
      <c r="E17" s="166">
        <v>0</v>
      </c>
      <c r="F17" s="166">
        <v>0</v>
      </c>
      <c r="G17" s="167">
        <f>ROUND(IF(F40=0, 0, F17/F40),5)</f>
        <v>0</v>
      </c>
      <c r="H17" s="166">
        <v>0</v>
      </c>
    </row>
    <row r="18" spans="1:8" x14ac:dyDescent="0.35">
      <c r="A18" s="130"/>
      <c r="B18" s="130"/>
      <c r="C18" s="130"/>
      <c r="D18" s="130" t="s">
        <v>210</v>
      </c>
      <c r="E18" s="166">
        <v>0</v>
      </c>
      <c r="F18" s="166">
        <v>0</v>
      </c>
      <c r="G18" s="167">
        <f>ROUND(IF(F40=0, 0, F18/F40),5)</f>
        <v>0</v>
      </c>
      <c r="H18" s="166">
        <v>0</v>
      </c>
    </row>
    <row r="19" spans="1:8" x14ac:dyDescent="0.35">
      <c r="A19" s="130"/>
      <c r="B19" s="130"/>
      <c r="C19" s="130"/>
      <c r="D19" s="130" t="s">
        <v>211</v>
      </c>
      <c r="E19" s="166">
        <v>0.5</v>
      </c>
      <c r="F19" s="166">
        <v>34.75</v>
      </c>
      <c r="G19" s="167">
        <f>ROUND(IF(F40=0, 0, F19/F40),5)</f>
        <v>1.07E-3</v>
      </c>
      <c r="H19" s="166">
        <v>69.5</v>
      </c>
    </row>
    <row r="20" spans="1:8" x14ac:dyDescent="0.35">
      <c r="A20" s="130"/>
      <c r="B20" s="130"/>
      <c r="C20" s="130"/>
      <c r="D20" s="130" t="s">
        <v>212</v>
      </c>
      <c r="E20" s="166">
        <v>3.58</v>
      </c>
      <c r="F20" s="166">
        <v>246.74</v>
      </c>
      <c r="G20" s="167">
        <f>ROUND(IF(F40=0, 0, F20/F40),5)</f>
        <v>7.5799999999999999E-3</v>
      </c>
      <c r="H20" s="166">
        <v>68.92</v>
      </c>
    </row>
    <row r="21" spans="1:8" x14ac:dyDescent="0.35">
      <c r="A21" s="130"/>
      <c r="B21" s="130"/>
      <c r="C21" s="130"/>
      <c r="D21" s="130" t="s">
        <v>213</v>
      </c>
      <c r="E21" s="166">
        <v>113.49</v>
      </c>
      <c r="F21" s="166">
        <v>7241.08</v>
      </c>
      <c r="G21" s="167">
        <f>ROUND(IF(F40=0, 0, F21/F40),5)</f>
        <v>0.22234999999999999</v>
      </c>
      <c r="H21" s="166">
        <v>63.8</v>
      </c>
    </row>
    <row r="22" spans="1:8" x14ac:dyDescent="0.35">
      <c r="A22" s="130"/>
      <c r="B22" s="130"/>
      <c r="C22" s="130"/>
      <c r="D22" s="130" t="s">
        <v>214</v>
      </c>
      <c r="E22" s="166">
        <v>0</v>
      </c>
      <c r="F22" s="166">
        <v>0</v>
      </c>
      <c r="G22" s="167">
        <f>ROUND(IF(F40=0, 0, F22/F40),5)</f>
        <v>0</v>
      </c>
      <c r="H22" s="166">
        <v>0</v>
      </c>
    </row>
    <row r="23" spans="1:8" x14ac:dyDescent="0.35">
      <c r="A23" s="130"/>
      <c r="B23" s="130"/>
      <c r="C23" s="130"/>
      <c r="D23" s="130" t="s">
        <v>215</v>
      </c>
      <c r="E23" s="166">
        <v>0</v>
      </c>
      <c r="F23" s="166">
        <v>0</v>
      </c>
      <c r="G23" s="167">
        <f>ROUND(IF(F40=0, 0, F23/F40),5)</f>
        <v>0</v>
      </c>
      <c r="H23" s="166">
        <v>0</v>
      </c>
    </row>
    <row r="24" spans="1:8" x14ac:dyDescent="0.35">
      <c r="A24" s="130"/>
      <c r="B24" s="130"/>
      <c r="C24" s="130"/>
      <c r="D24" s="130" t="s">
        <v>216</v>
      </c>
      <c r="E24" s="166">
        <v>0</v>
      </c>
      <c r="F24" s="166">
        <v>0</v>
      </c>
      <c r="G24" s="167">
        <f>ROUND(IF(F40=0, 0, F24/F40),5)</f>
        <v>0</v>
      </c>
      <c r="H24" s="166">
        <v>0</v>
      </c>
    </row>
    <row r="25" spans="1:8" x14ac:dyDescent="0.35">
      <c r="A25" s="130"/>
      <c r="B25" s="130"/>
      <c r="C25" s="130"/>
      <c r="D25" s="130" t="s">
        <v>217</v>
      </c>
      <c r="E25" s="166">
        <v>152.25</v>
      </c>
      <c r="F25" s="166">
        <v>10200.75</v>
      </c>
      <c r="G25" s="167">
        <f>ROUND(IF(F40=0, 0, F25/F40),5)</f>
        <v>0.31323000000000001</v>
      </c>
      <c r="H25" s="166">
        <v>67</v>
      </c>
    </row>
    <row r="26" spans="1:8" x14ac:dyDescent="0.35">
      <c r="A26" s="130"/>
      <c r="B26" s="130"/>
      <c r="C26" s="130"/>
      <c r="D26" s="130" t="s">
        <v>218</v>
      </c>
      <c r="E26" s="166">
        <v>123.35</v>
      </c>
      <c r="F26" s="166">
        <v>8264.4500000000007</v>
      </c>
      <c r="G26" s="167">
        <f>ROUND(IF(F40=0, 0, F26/F40),5)</f>
        <v>0.25377</v>
      </c>
      <c r="H26" s="166">
        <v>67</v>
      </c>
    </row>
    <row r="27" spans="1:8" x14ac:dyDescent="0.35">
      <c r="A27" s="130"/>
      <c r="B27" s="130"/>
      <c r="C27" s="130"/>
      <c r="D27" s="130" t="s">
        <v>219</v>
      </c>
      <c r="E27" s="166">
        <v>27.75</v>
      </c>
      <c r="F27" s="166">
        <v>1803.75</v>
      </c>
      <c r="G27" s="167">
        <f>ROUND(IF(F40=0, 0, F27/F40),5)</f>
        <v>5.5390000000000002E-2</v>
      </c>
      <c r="H27" s="166">
        <v>65</v>
      </c>
    </row>
    <row r="28" spans="1:8" ht="15" thickBot="1" x14ac:dyDescent="0.4">
      <c r="A28" s="130"/>
      <c r="B28" s="130"/>
      <c r="C28" s="130"/>
      <c r="D28" s="130" t="s">
        <v>220</v>
      </c>
      <c r="E28" s="168">
        <v>0</v>
      </c>
      <c r="F28" s="168">
        <v>0</v>
      </c>
      <c r="G28" s="169">
        <f>ROUND(IF(F40=0, 0, F28/F40),5)</f>
        <v>0</v>
      </c>
      <c r="H28" s="168">
        <v>0</v>
      </c>
    </row>
    <row r="29" spans="1:8" x14ac:dyDescent="0.35">
      <c r="A29" s="130"/>
      <c r="B29" s="130"/>
      <c r="C29" s="130"/>
      <c r="D29" s="130" t="s">
        <v>222</v>
      </c>
      <c r="E29" s="166">
        <v>0</v>
      </c>
      <c r="F29" s="166">
        <v>0</v>
      </c>
      <c r="G29" s="167">
        <f>ROUND(IF(F40=0, 0, F29/F40),5)</f>
        <v>0</v>
      </c>
      <c r="H29" s="166">
        <v>0</v>
      </c>
    </row>
    <row r="30" spans="1:8" x14ac:dyDescent="0.35">
      <c r="A30" s="130"/>
      <c r="B30" s="130"/>
      <c r="C30" s="130"/>
      <c r="D30" s="130" t="s">
        <v>223</v>
      </c>
      <c r="E30" s="166">
        <v>0</v>
      </c>
      <c r="F30" s="166">
        <v>0</v>
      </c>
      <c r="G30" s="167">
        <f>ROUND(IF(F40=0, 0, F30/F40),5)</f>
        <v>0</v>
      </c>
      <c r="H30" s="166">
        <v>0</v>
      </c>
    </row>
    <row r="31" spans="1:8" ht="15" thickBot="1" x14ac:dyDescent="0.4">
      <c r="A31" s="130"/>
      <c r="B31" s="130"/>
      <c r="C31" s="130" t="s">
        <v>224</v>
      </c>
      <c r="D31" s="130"/>
      <c r="E31" s="168">
        <f>ROUND(SUM(E13:E30),5)</f>
        <v>421.42</v>
      </c>
      <c r="F31" s="168">
        <f>ROUND(SUM(F13:F30),5)</f>
        <v>27816.52</v>
      </c>
      <c r="G31" s="169">
        <f>ROUND(IF(F40=0, 0, F31/F40),5)</f>
        <v>0.85414000000000001</v>
      </c>
      <c r="H31" s="168">
        <v>66.010000000000005</v>
      </c>
    </row>
    <row r="32" spans="1:8" x14ac:dyDescent="0.35">
      <c r="A32" s="130"/>
      <c r="B32" s="130"/>
      <c r="C32" s="130" t="s">
        <v>225</v>
      </c>
      <c r="D32" s="130"/>
      <c r="E32" s="166">
        <v>0</v>
      </c>
      <c r="F32" s="166">
        <v>0</v>
      </c>
      <c r="G32" s="167">
        <f>ROUND(IF(F40=0, 0, F32/F40),5)</f>
        <v>0</v>
      </c>
      <c r="H32" s="166">
        <v>0</v>
      </c>
    </row>
    <row r="33" spans="1:8" x14ac:dyDescent="0.35">
      <c r="A33" s="130"/>
      <c r="B33" s="130"/>
      <c r="C33" s="130" t="s">
        <v>226</v>
      </c>
      <c r="D33" s="130"/>
      <c r="E33" s="166">
        <v>0</v>
      </c>
      <c r="F33" s="166">
        <v>0</v>
      </c>
      <c r="G33" s="167">
        <f>ROUND(IF(F40=0, 0, F33/F40),5)</f>
        <v>0</v>
      </c>
      <c r="H33" s="166">
        <v>0</v>
      </c>
    </row>
    <row r="34" spans="1:8" x14ac:dyDescent="0.35">
      <c r="A34" s="130"/>
      <c r="B34" s="130"/>
      <c r="C34" s="130" t="s">
        <v>227</v>
      </c>
      <c r="D34" s="130"/>
      <c r="E34" s="166">
        <v>0</v>
      </c>
      <c r="F34" s="166">
        <v>0</v>
      </c>
      <c r="G34" s="167">
        <f>ROUND(IF(F40=0, 0, F34/F40),5)</f>
        <v>0</v>
      </c>
      <c r="H34" s="166">
        <v>0</v>
      </c>
    </row>
    <row r="35" spans="1:8" ht="15" thickBot="1" x14ac:dyDescent="0.4">
      <c r="A35" s="130"/>
      <c r="B35" s="130" t="s">
        <v>228</v>
      </c>
      <c r="C35" s="130"/>
      <c r="D35" s="130"/>
      <c r="E35" s="166">
        <f>ROUND(E7+E12+SUM(E31:E34),5)</f>
        <v>440.42</v>
      </c>
      <c r="F35" s="166">
        <f>ROUND(F7+F12+SUM(F31:F34),5)</f>
        <v>32566.52</v>
      </c>
      <c r="G35" s="167">
        <f>ROUND(IF(F40=0, 0, F35/F40),5)</f>
        <v>1</v>
      </c>
      <c r="H35" s="166">
        <v>73.94</v>
      </c>
    </row>
    <row r="36" spans="1:8" ht="15" thickBot="1" x14ac:dyDescent="0.4">
      <c r="A36" s="130"/>
      <c r="B36" s="130" t="s">
        <v>316</v>
      </c>
      <c r="C36" s="130"/>
      <c r="D36" s="130"/>
      <c r="E36" s="171"/>
      <c r="F36" s="171"/>
      <c r="G36" s="172"/>
      <c r="H36" s="171"/>
    </row>
    <row r="37" spans="1:8" ht="15" thickBot="1" x14ac:dyDescent="0.4">
      <c r="A37" s="130"/>
      <c r="B37" s="130"/>
      <c r="C37" s="130" t="s">
        <v>317</v>
      </c>
      <c r="D37" s="130"/>
      <c r="E37" s="173">
        <v>0</v>
      </c>
      <c r="F37" s="173">
        <v>0</v>
      </c>
      <c r="G37" s="174">
        <f>ROUND(IF(F40=0, 0, F37/F40),5)</f>
        <v>0</v>
      </c>
      <c r="H37" s="173">
        <v>0</v>
      </c>
    </row>
    <row r="38" spans="1:8" ht="15" thickTop="1" x14ac:dyDescent="0.35">
      <c r="A38" s="130"/>
      <c r="B38" s="130"/>
      <c r="C38" s="130" t="s">
        <v>318</v>
      </c>
      <c r="D38" s="130"/>
      <c r="E38" s="125">
        <v>0</v>
      </c>
      <c r="F38" s="125">
        <v>0</v>
      </c>
      <c r="G38" s="125">
        <f>ROUND(IF(F40=0, 0, F38/F40),5)</f>
        <v>0</v>
      </c>
      <c r="H38" s="125">
        <v>0</v>
      </c>
    </row>
    <row r="39" spans="1:8" x14ac:dyDescent="0.35">
      <c r="A39" s="130"/>
      <c r="B39" s="130" t="s">
        <v>319</v>
      </c>
      <c r="C39" s="130"/>
      <c r="D39" s="130"/>
      <c r="E39" s="125">
        <f>ROUND(SUM(E36:E38),5)</f>
        <v>0</v>
      </c>
      <c r="F39" s="125">
        <f>ROUND(SUM(F36:F38),5)</f>
        <v>0</v>
      </c>
      <c r="G39" s="125">
        <f>ROUND(IF(F40=0, 0, F39/F40),5)</f>
        <v>0</v>
      </c>
      <c r="H39" s="125">
        <v>0</v>
      </c>
    </row>
    <row r="40" spans="1:8" s="143" customFormat="1" x14ac:dyDescent="0.35">
      <c r="A40" s="179" t="s">
        <v>229</v>
      </c>
      <c r="B40" s="179"/>
      <c r="C40" s="179"/>
      <c r="D40" s="179"/>
      <c r="E40" s="175">
        <f>ROUND(E35+E39,5)</f>
        <v>440.42</v>
      </c>
      <c r="F40" s="175">
        <f>ROUND(F35+F39,5)</f>
        <v>32566.52</v>
      </c>
      <c r="G40" s="175">
        <f>ROUND(IF(F40=0, 0, F40/F40),5)</f>
        <v>1</v>
      </c>
      <c r="H40" s="175">
        <v>73.94</v>
      </c>
    </row>
    <row r="41" spans="1:8" x14ac:dyDescent="0.35">
      <c r="F41" s="176">
        <f>F40*1.2</f>
        <v>39079.824000000001</v>
      </c>
    </row>
    <row r="42" spans="1:8" x14ac:dyDescent="0.35">
      <c r="F42" s="125">
        <v>485</v>
      </c>
    </row>
    <row r="43" spans="1:8" x14ac:dyDescent="0.35">
      <c r="F43" s="176">
        <f>F41/F42</f>
        <v>80.576956701030923</v>
      </c>
    </row>
    <row r="44" spans="1:8" x14ac:dyDescent="0.35">
      <c r="F44" s="176">
        <f>F43*1.2</f>
        <v>96.692348041237111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2" sqref="A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workbookViewId="0">
      <selection activeCell="D6" sqref="D6"/>
    </sheetView>
  </sheetViews>
  <sheetFormatPr defaultRowHeight="14.5" x14ac:dyDescent="0.35"/>
  <cols>
    <col min="1" max="5" width="13.54296875" customWidth="1"/>
  </cols>
  <sheetData>
    <row r="2" spans="1:5" x14ac:dyDescent="0.35">
      <c r="A2" s="121" t="s">
        <v>309</v>
      </c>
      <c r="B2" s="121" t="s">
        <v>310</v>
      </c>
      <c r="C2" s="121" t="s">
        <v>311</v>
      </c>
      <c r="D2" s="121" t="s">
        <v>312</v>
      </c>
      <c r="E2" s="121" t="s">
        <v>313</v>
      </c>
    </row>
    <row r="3" spans="1:5" x14ac:dyDescent="0.35">
      <c r="A3" s="149" t="s">
        <v>283</v>
      </c>
      <c r="B3" s="101">
        <v>2017</v>
      </c>
      <c r="C3" s="101">
        <v>2024</v>
      </c>
      <c r="D3" s="101"/>
      <c r="E3" s="10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E34" sqref="E34"/>
    </sheetView>
  </sheetViews>
  <sheetFormatPr defaultRowHeight="14.5" x14ac:dyDescent="0.35"/>
  <cols>
    <col min="1" max="8" width="21.453125" customWidth="1"/>
    <col min="10" max="10" width="16.81640625" customWidth="1"/>
  </cols>
  <sheetData>
    <row r="1" spans="1:10" s="154" customFormat="1" ht="30.5" x14ac:dyDescent="0.35">
      <c r="A1" s="154" t="s">
        <v>231</v>
      </c>
      <c r="B1" s="155" t="s">
        <v>232</v>
      </c>
      <c r="C1" s="155" t="s">
        <v>233</v>
      </c>
      <c r="D1" s="155" t="s">
        <v>234</v>
      </c>
      <c r="E1" s="155" t="s">
        <v>235</v>
      </c>
      <c r="F1" s="155" t="s">
        <v>236</v>
      </c>
      <c r="G1" s="155" t="s">
        <v>237</v>
      </c>
      <c r="H1" s="155" t="s">
        <v>238</v>
      </c>
    </row>
    <row r="2" spans="1:10" s="154" customFormat="1" ht="28" x14ac:dyDescent="0.35">
      <c r="A2" s="156" t="s">
        <v>283</v>
      </c>
      <c r="B2" s="157" t="s">
        <v>239</v>
      </c>
      <c r="C2" s="157">
        <v>4027978</v>
      </c>
      <c r="D2" s="157" t="s">
        <v>240</v>
      </c>
      <c r="E2" s="158" t="s">
        <v>241</v>
      </c>
      <c r="F2" s="159">
        <v>9176</v>
      </c>
      <c r="G2" s="159">
        <v>2214.4</v>
      </c>
      <c r="H2" s="160" t="s">
        <v>242</v>
      </c>
    </row>
    <row r="4" spans="1:10" ht="15" thickBot="1" x14ac:dyDescent="0.4"/>
    <row r="5" spans="1:10" x14ac:dyDescent="0.35">
      <c r="A5" s="133" t="s">
        <v>243</v>
      </c>
      <c r="B5" s="134" t="s">
        <v>244</v>
      </c>
      <c r="C5" s="134" t="s">
        <v>245</v>
      </c>
      <c r="D5" s="134" t="s">
        <v>246</v>
      </c>
      <c r="E5" s="134" t="s">
        <v>247</v>
      </c>
      <c r="F5" s="135" t="s">
        <v>248</v>
      </c>
      <c r="G5" s="136" t="s">
        <v>249</v>
      </c>
    </row>
    <row r="6" spans="1:10" x14ac:dyDescent="0.35">
      <c r="A6" s="137" t="s">
        <v>301</v>
      </c>
      <c r="B6" s="138">
        <v>15144</v>
      </c>
      <c r="C6" s="138">
        <v>0</v>
      </c>
      <c r="D6" s="138">
        <v>6374</v>
      </c>
      <c r="E6" s="138">
        <v>3145</v>
      </c>
      <c r="F6" s="139">
        <v>884.61368444015079</v>
      </c>
      <c r="G6" s="140">
        <f>SUM(B6:F6)</f>
        <v>25547.613684440152</v>
      </c>
    </row>
    <row r="9" spans="1:10" x14ac:dyDescent="0.35">
      <c r="G9" s="161">
        <f>G2+G6</f>
        <v>27762.013684440153</v>
      </c>
    </row>
    <row r="14" spans="1:10" ht="15" thickBot="1" x14ac:dyDescent="0.4"/>
    <row r="15" spans="1:10" ht="29" x14ac:dyDescent="0.35">
      <c r="A15" s="133" t="s">
        <v>243</v>
      </c>
      <c r="B15" s="134" t="s">
        <v>244</v>
      </c>
      <c r="C15" s="134" t="s">
        <v>250</v>
      </c>
      <c r="D15" s="134" t="s">
        <v>245</v>
      </c>
      <c r="E15" s="134" t="s">
        <v>251</v>
      </c>
      <c r="F15" s="134" t="s">
        <v>246</v>
      </c>
      <c r="G15" s="135" t="s">
        <v>252</v>
      </c>
      <c r="H15" s="134" t="s">
        <v>247</v>
      </c>
      <c r="I15" s="135" t="s">
        <v>248</v>
      </c>
      <c r="J15" s="136" t="s">
        <v>249</v>
      </c>
    </row>
    <row r="16" spans="1:10" x14ac:dyDescent="0.35">
      <c r="A16" s="137" t="s">
        <v>301</v>
      </c>
      <c r="B16" s="138">
        <v>13357</v>
      </c>
      <c r="C16" s="138">
        <v>1787</v>
      </c>
      <c r="D16" s="138">
        <v>0</v>
      </c>
      <c r="E16" s="138">
        <v>9176</v>
      </c>
      <c r="F16" s="138">
        <v>6374</v>
      </c>
      <c r="G16" s="139">
        <v>4057.3</v>
      </c>
      <c r="H16" s="138">
        <v>3145</v>
      </c>
      <c r="I16" s="139">
        <v>876.08363613699396</v>
      </c>
      <c r="J16" s="140">
        <v>38772.383636136998</v>
      </c>
    </row>
    <row r="17" spans="2:10" x14ac:dyDescent="0.35">
      <c r="B17" s="141">
        <f>B16*1.1</f>
        <v>14692.7</v>
      </c>
      <c r="C17" s="141">
        <f t="shared" ref="C17:I17" si="0">C16*1.1</f>
        <v>1965.7</v>
      </c>
      <c r="D17" s="141">
        <f t="shared" si="0"/>
        <v>0</v>
      </c>
      <c r="E17" s="141">
        <f t="shared" si="0"/>
        <v>10093.6</v>
      </c>
      <c r="F17" s="141">
        <f t="shared" si="0"/>
        <v>7011.4000000000005</v>
      </c>
      <c r="G17" s="141">
        <f t="shared" si="0"/>
        <v>4463.0300000000007</v>
      </c>
      <c r="H17" s="141">
        <f t="shared" si="0"/>
        <v>3459.5000000000005</v>
      </c>
      <c r="I17" s="141">
        <f t="shared" si="0"/>
        <v>963.69199975069341</v>
      </c>
      <c r="J17" s="141">
        <f>SUM(B17:I17)</f>
        <v>42649.621999750692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7"/>
  <sheetViews>
    <sheetView zoomScale="85" zoomScaleNormal="85" workbookViewId="0">
      <selection activeCell="B17" sqref="B17"/>
    </sheetView>
  </sheetViews>
  <sheetFormatPr defaultRowHeight="14.5" x14ac:dyDescent="0.35"/>
  <cols>
    <col min="2" max="5" width="12.54296875" style="143" customWidth="1"/>
    <col min="6" max="9" width="8.81640625" style="143"/>
  </cols>
  <sheetData>
    <row r="4" spans="1:5" x14ac:dyDescent="0.35">
      <c r="B4" s="143" t="s">
        <v>271</v>
      </c>
      <c r="C4" s="143" t="s">
        <v>272</v>
      </c>
      <c r="D4" s="144" t="s">
        <v>274</v>
      </c>
      <c r="E4" s="143" t="s">
        <v>273</v>
      </c>
    </row>
    <row r="5" spans="1:5" x14ac:dyDescent="0.35">
      <c r="A5" s="142" t="s">
        <v>259</v>
      </c>
      <c r="B5" s="143">
        <v>2475.48</v>
      </c>
      <c r="D5" s="99"/>
    </row>
    <row r="6" spans="1:5" x14ac:dyDescent="0.35">
      <c r="A6" s="142" t="s">
        <v>260</v>
      </c>
      <c r="B6" s="143">
        <v>1848.34</v>
      </c>
    </row>
    <row r="7" spans="1:5" x14ac:dyDescent="0.35">
      <c r="A7" s="142" t="s">
        <v>261</v>
      </c>
      <c r="B7" s="143">
        <v>1840.04</v>
      </c>
    </row>
    <row r="8" spans="1:5" x14ac:dyDescent="0.35">
      <c r="A8" s="142" t="s">
        <v>262</v>
      </c>
      <c r="B8" s="143">
        <v>1464.41</v>
      </c>
    </row>
    <row r="9" spans="1:5" x14ac:dyDescent="0.35">
      <c r="A9" s="142" t="s">
        <v>263</v>
      </c>
      <c r="B9" s="143">
        <v>1620.94</v>
      </c>
    </row>
    <row r="10" spans="1:5" x14ac:dyDescent="0.35">
      <c r="A10" s="142" t="s">
        <v>264</v>
      </c>
      <c r="B10" s="143">
        <v>0</v>
      </c>
    </row>
    <row r="11" spans="1:5" x14ac:dyDescent="0.35">
      <c r="A11" s="142" t="s">
        <v>265</v>
      </c>
      <c r="B11" s="143">
        <v>2331.09</v>
      </c>
    </row>
    <row r="12" spans="1:5" x14ac:dyDescent="0.35">
      <c r="A12" s="142" t="s">
        <v>266</v>
      </c>
      <c r="B12" s="143">
        <v>5891.16</v>
      </c>
    </row>
    <row r="13" spans="1:5" x14ac:dyDescent="0.35">
      <c r="A13" s="142" t="s">
        <v>267</v>
      </c>
      <c r="B13" s="143">
        <v>2607.87</v>
      </c>
      <c r="D13" s="99"/>
    </row>
    <row r="14" spans="1:5" x14ac:dyDescent="0.35">
      <c r="A14" s="142" t="s">
        <v>268</v>
      </c>
      <c r="B14" s="145">
        <v>2000</v>
      </c>
      <c r="C14" s="145"/>
      <c r="D14" s="145"/>
      <c r="E14" s="145"/>
    </row>
    <row r="15" spans="1:5" x14ac:dyDescent="0.35">
      <c r="A15" s="142" t="s">
        <v>269</v>
      </c>
      <c r="B15" s="145">
        <v>2000</v>
      </c>
      <c r="C15" s="145"/>
      <c r="D15" s="145"/>
      <c r="E15" s="145"/>
    </row>
    <row r="16" spans="1:5" x14ac:dyDescent="0.35">
      <c r="A16" s="142" t="s">
        <v>270</v>
      </c>
      <c r="B16" s="146">
        <v>2000</v>
      </c>
      <c r="C16" s="146"/>
      <c r="D16" s="146"/>
      <c r="E16" s="146"/>
    </row>
    <row r="17" spans="2:5" x14ac:dyDescent="0.35">
      <c r="B17" s="143">
        <f>SUM(B5:B16)</f>
        <v>26079.329999999998</v>
      </c>
      <c r="C17" s="143">
        <f t="shared" ref="C17:E17" si="0">SUM(C5:C16)</f>
        <v>0</v>
      </c>
      <c r="D17" s="143">
        <f t="shared" si="0"/>
        <v>0</v>
      </c>
      <c r="E17" s="143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opLeftCell="A190" zoomScale="75" zoomScaleNormal="75" workbookViewId="0">
      <pane xSplit="1" topLeftCell="B1" activePane="topRight" state="frozen"/>
      <selection activeCell="C185" sqref="C185"/>
      <selection pane="topRight" activeCell="B20" sqref="B20:J217"/>
    </sheetView>
  </sheetViews>
  <sheetFormatPr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</cols>
  <sheetData>
    <row r="1" spans="1:10" x14ac:dyDescent="0.35">
      <c r="A1" s="1" t="s">
        <v>324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325</v>
      </c>
      <c r="J1" s="2"/>
    </row>
    <row r="2" spans="1:10" x14ac:dyDescent="0.35">
      <c r="A2" s="4" t="s">
        <v>3</v>
      </c>
      <c r="B2" s="5">
        <v>9414</v>
      </c>
      <c r="C2" s="5"/>
      <c r="D2" s="5"/>
      <c r="E2" s="5"/>
      <c r="F2" s="5"/>
      <c r="G2" s="5"/>
      <c r="H2" s="5"/>
      <c r="I2" s="5">
        <f>SUM(B2:H2)</f>
        <v>9414</v>
      </c>
      <c r="J2" s="6"/>
    </row>
    <row r="3" spans="1:10" x14ac:dyDescent="0.35">
      <c r="A3" s="8" t="s">
        <v>4</v>
      </c>
      <c r="B3" s="9">
        <f t="shared" ref="B3" si="0">B4+B5+B6+B7+B8+B9+B10+B11+B12+B13+B14+B15+B16</f>
        <v>498</v>
      </c>
      <c r="C3" s="9"/>
      <c r="D3" s="9"/>
      <c r="E3" s="9"/>
      <c r="F3" s="9"/>
      <c r="G3" s="9"/>
      <c r="H3" s="9"/>
      <c r="I3" s="9">
        <f t="shared" ref="I3:I16" si="1">SUM(B3:H3)</f>
        <v>498</v>
      </c>
      <c r="J3" s="6"/>
    </row>
    <row r="4" spans="1:10" x14ac:dyDescent="0.35">
      <c r="A4" s="103" t="s">
        <v>5</v>
      </c>
      <c r="B4" s="5">
        <v>50</v>
      </c>
      <c r="C4" s="10"/>
      <c r="D4" s="10"/>
      <c r="E4" s="10"/>
      <c r="F4" s="10"/>
      <c r="G4" s="10"/>
      <c r="H4" s="10"/>
      <c r="I4" s="10">
        <f t="shared" si="1"/>
        <v>50</v>
      </c>
      <c r="J4" s="116">
        <v>2</v>
      </c>
    </row>
    <row r="5" spans="1:10" x14ac:dyDescent="0.35">
      <c r="A5" s="8" t="s">
        <v>6</v>
      </c>
      <c r="B5" s="5">
        <v>52</v>
      </c>
      <c r="C5" s="10"/>
      <c r="D5" s="10"/>
      <c r="E5" s="10"/>
      <c r="F5" s="10"/>
      <c r="G5" s="10"/>
      <c r="H5" s="10"/>
      <c r="I5" s="10">
        <f t="shared" si="1"/>
        <v>52</v>
      </c>
      <c r="J5" s="116">
        <v>2</v>
      </c>
    </row>
    <row r="6" spans="1:10" x14ac:dyDescent="0.35">
      <c r="A6" s="8" t="s">
        <v>7</v>
      </c>
      <c r="B6" s="5">
        <v>52</v>
      </c>
      <c r="C6" s="10"/>
      <c r="D6" s="10"/>
      <c r="E6" s="10"/>
      <c r="F6" s="10"/>
      <c r="G6" s="10"/>
      <c r="H6" s="10"/>
      <c r="I6" s="10">
        <f t="shared" si="1"/>
        <v>52</v>
      </c>
      <c r="J6" s="116">
        <v>2</v>
      </c>
    </row>
    <row r="7" spans="1:10" x14ac:dyDescent="0.35">
      <c r="A7" s="12" t="s">
        <v>8</v>
      </c>
      <c r="B7" s="5">
        <v>52</v>
      </c>
      <c r="C7" s="10"/>
      <c r="D7" s="10"/>
      <c r="E7" s="10"/>
      <c r="F7" s="10"/>
      <c r="G7" s="10"/>
      <c r="H7" s="10"/>
      <c r="I7" s="10">
        <f t="shared" si="1"/>
        <v>52</v>
      </c>
      <c r="J7" s="116">
        <v>2</v>
      </c>
    </row>
    <row r="8" spans="1:10" x14ac:dyDescent="0.35">
      <c r="A8" s="12" t="s">
        <v>9</v>
      </c>
      <c r="B8" s="5">
        <v>52</v>
      </c>
      <c r="C8" s="10"/>
      <c r="D8" s="10"/>
      <c r="E8" s="10"/>
      <c r="F8" s="10"/>
      <c r="G8" s="10"/>
      <c r="H8" s="10"/>
      <c r="I8" s="10">
        <f t="shared" si="1"/>
        <v>52</v>
      </c>
      <c r="J8" s="116">
        <v>2</v>
      </c>
    </row>
    <row r="9" spans="1:10" x14ac:dyDescent="0.35">
      <c r="A9" s="12" t="s">
        <v>10</v>
      </c>
      <c r="B9" s="5">
        <v>54</v>
      </c>
      <c r="C9" s="10"/>
      <c r="D9" s="10"/>
      <c r="E9" s="10"/>
      <c r="F9" s="10"/>
      <c r="G9" s="10"/>
      <c r="H9" s="10"/>
      <c r="I9" s="10">
        <f t="shared" si="1"/>
        <v>54</v>
      </c>
      <c r="J9" s="116">
        <v>2</v>
      </c>
    </row>
    <row r="10" spans="1:10" x14ac:dyDescent="0.35">
      <c r="A10" s="12" t="s">
        <v>11</v>
      </c>
      <c r="B10" s="5">
        <v>62</v>
      </c>
      <c r="C10" s="5"/>
      <c r="D10" s="5"/>
      <c r="E10" s="5"/>
      <c r="F10" s="5"/>
      <c r="G10" s="5"/>
      <c r="H10" s="5"/>
      <c r="I10" s="10">
        <f t="shared" si="1"/>
        <v>62</v>
      </c>
      <c r="J10" s="116">
        <v>2</v>
      </c>
    </row>
    <row r="11" spans="1:10" x14ac:dyDescent="0.35">
      <c r="A11" s="12" t="s">
        <v>12</v>
      </c>
      <c r="B11" s="5">
        <v>62</v>
      </c>
      <c r="C11" s="5"/>
      <c r="D11" s="5"/>
      <c r="E11" s="5"/>
      <c r="F11" s="5"/>
      <c r="G11" s="5"/>
      <c r="H11" s="5"/>
      <c r="I11" s="10">
        <f t="shared" si="1"/>
        <v>62</v>
      </c>
      <c r="J11" s="116">
        <v>2</v>
      </c>
    </row>
    <row r="12" spans="1:10" x14ac:dyDescent="0.35">
      <c r="A12" s="12" t="s">
        <v>13</v>
      </c>
      <c r="B12" s="5">
        <v>62</v>
      </c>
      <c r="C12" s="5"/>
      <c r="D12" s="5"/>
      <c r="E12" s="5"/>
      <c r="F12" s="5"/>
      <c r="G12" s="5"/>
      <c r="H12" s="5"/>
      <c r="I12" s="10">
        <f t="shared" si="1"/>
        <v>62</v>
      </c>
      <c r="J12" s="116">
        <v>2</v>
      </c>
    </row>
    <row r="13" spans="1:10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f>B13/30</f>
        <v>0</v>
      </c>
    </row>
    <row r="14" spans="1:10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2">B14/30</f>
        <v>0</v>
      </c>
    </row>
    <row r="15" spans="1:10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2"/>
        <v>0</v>
      </c>
    </row>
    <row r="16" spans="1:10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</row>
    <row r="17" spans="1:10" x14ac:dyDescent="0.35">
      <c r="A17" s="104" t="s">
        <v>4</v>
      </c>
      <c r="B17" s="9">
        <f t="shared" ref="B17:H17" si="3">SUM(B4:B16)</f>
        <v>498</v>
      </c>
      <c r="C17" s="9">
        <f t="shared" si="3"/>
        <v>0</v>
      </c>
      <c r="D17" s="9">
        <f t="shared" si="3"/>
        <v>0</v>
      </c>
      <c r="E17" s="9"/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>SUM(I4:I16)</f>
        <v>498</v>
      </c>
      <c r="J17" s="117">
        <f>SUM(J4:J16)</f>
        <v>18</v>
      </c>
    </row>
    <row r="18" spans="1:10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</row>
    <row r="19" spans="1:10" x14ac:dyDescent="0.35">
      <c r="A19" s="14" t="s">
        <v>18</v>
      </c>
      <c r="B19" s="15" t="str">
        <f t="shared" ref="B19:I19" si="4">B1</f>
        <v>Operating</v>
      </c>
      <c r="C19" s="15" t="str">
        <f t="shared" si="4"/>
        <v>SPED</v>
      </c>
      <c r="D19" s="15" t="str">
        <f t="shared" si="4"/>
        <v>NSLP</v>
      </c>
      <c r="E19" s="15" t="str">
        <f t="shared" si="4"/>
        <v>Other</v>
      </c>
      <c r="F19" s="15" t="str">
        <f t="shared" si="4"/>
        <v>Title I</v>
      </c>
      <c r="G19" s="15" t="str">
        <f t="shared" si="4"/>
        <v>Title II</v>
      </c>
      <c r="H19" s="15" t="str">
        <f t="shared" si="4"/>
        <v>Title III</v>
      </c>
      <c r="I19" s="15" t="str">
        <f t="shared" si="4"/>
        <v>B&amp;G</v>
      </c>
      <c r="J19" s="16"/>
    </row>
    <row r="20" spans="1:10" x14ac:dyDescent="0.35">
      <c r="A20" s="12" t="s">
        <v>19</v>
      </c>
      <c r="B20" s="5"/>
      <c r="C20" s="5">
        <v>76</v>
      </c>
      <c r="D20" s="5"/>
      <c r="E20" s="5"/>
      <c r="F20" s="5"/>
      <c r="G20" s="5"/>
      <c r="H20" s="5"/>
      <c r="I20" s="5">
        <f>SUM(B20:H20)</f>
        <v>76</v>
      </c>
      <c r="J20" s="17" t="s">
        <v>20</v>
      </c>
    </row>
    <row r="21" spans="1:10" x14ac:dyDescent="0.35">
      <c r="A21" s="12" t="s">
        <v>21</v>
      </c>
      <c r="B21" s="5">
        <v>152</v>
      </c>
      <c r="C21" s="5"/>
      <c r="D21" s="5"/>
      <c r="E21" s="5"/>
      <c r="F21" s="5"/>
      <c r="G21" s="5"/>
      <c r="H21" s="5"/>
      <c r="I21" s="5">
        <f>SUM(B21:H21)</f>
        <v>152</v>
      </c>
      <c r="J21" s="17"/>
    </row>
    <row r="22" spans="1:10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</row>
    <row r="23" spans="1:10" x14ac:dyDescent="0.35">
      <c r="A23" s="12" t="s">
        <v>23</v>
      </c>
      <c r="B23" s="18"/>
      <c r="C23" s="18"/>
      <c r="D23" s="118">
        <v>1</v>
      </c>
      <c r="E23" s="118"/>
      <c r="F23" s="118"/>
      <c r="G23" s="118"/>
      <c r="H23" s="118"/>
      <c r="I23" s="18">
        <f>SUM(B23:H23)</f>
        <v>1</v>
      </c>
      <c r="J23" s="19"/>
    </row>
    <row r="24" spans="1:10" x14ac:dyDescent="0.35">
      <c r="A24" s="12" t="s">
        <v>24</v>
      </c>
      <c r="B24" s="5">
        <v>4</v>
      </c>
      <c r="C24" s="5"/>
      <c r="D24" s="5"/>
      <c r="E24" s="5"/>
      <c r="F24" s="5"/>
      <c r="G24" s="5"/>
      <c r="H24" s="5"/>
      <c r="I24" s="5">
        <f>SUM(B24:H24)</f>
        <v>4</v>
      </c>
      <c r="J24" s="19"/>
    </row>
    <row r="25" spans="1:10" x14ac:dyDescent="0.35">
      <c r="A25" s="12"/>
      <c r="B25" s="5"/>
      <c r="C25" s="5"/>
      <c r="D25" s="5"/>
      <c r="E25" s="5"/>
      <c r="F25" s="5"/>
      <c r="G25" s="5"/>
      <c r="H25" s="5"/>
      <c r="I25" s="5"/>
      <c r="J25" s="7"/>
    </row>
    <row r="26" spans="1:10" x14ac:dyDescent="0.35">
      <c r="A26" s="20" t="s">
        <v>25</v>
      </c>
      <c r="B26" s="15" t="str">
        <f t="shared" ref="B26:I26" si="5">B1</f>
        <v>Operating</v>
      </c>
      <c r="C26" s="15" t="str">
        <f t="shared" si="5"/>
        <v>SPED</v>
      </c>
      <c r="D26" s="15" t="str">
        <f t="shared" si="5"/>
        <v>NSLP</v>
      </c>
      <c r="E26" s="15" t="str">
        <f t="shared" si="5"/>
        <v>Other</v>
      </c>
      <c r="F26" s="15" t="str">
        <f t="shared" si="5"/>
        <v>Title I</v>
      </c>
      <c r="G26" s="15" t="str">
        <f t="shared" si="5"/>
        <v>Title II</v>
      </c>
      <c r="H26" s="15" t="str">
        <f t="shared" si="5"/>
        <v>Title III</v>
      </c>
      <c r="I26" s="15" t="str">
        <f t="shared" si="5"/>
        <v>B&amp;G</v>
      </c>
      <c r="J26" s="16"/>
    </row>
    <row r="27" spans="1:10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6">SUM(B27:H27)</f>
        <v>18</v>
      </c>
      <c r="J27" s="17">
        <f>I27/6</f>
        <v>3</v>
      </c>
    </row>
    <row r="28" spans="1:10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6"/>
        <v>3</v>
      </c>
      <c r="J28" s="17">
        <f>I20/21</f>
        <v>3.6190476190476191</v>
      </c>
    </row>
    <row r="29" spans="1:10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</row>
    <row r="30" spans="1:10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6"/>
        <v>1</v>
      </c>
      <c r="J30" s="11"/>
    </row>
    <row r="31" spans="1:10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6"/>
        <v>1</v>
      </c>
      <c r="J31" s="11"/>
    </row>
    <row r="32" spans="1:10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6"/>
        <v>0</v>
      </c>
      <c r="J32" s="11"/>
    </row>
    <row r="33" spans="1:10" x14ac:dyDescent="0.35">
      <c r="A33" s="100" t="s">
        <v>32</v>
      </c>
      <c r="B33" s="21">
        <v>0.5</v>
      </c>
      <c r="C33" s="21"/>
      <c r="D33" s="21"/>
      <c r="E33" s="21"/>
      <c r="F33" s="21"/>
      <c r="G33" s="21"/>
      <c r="H33" s="21"/>
      <c r="I33" s="21">
        <f>SUM(B33:H33)</f>
        <v>0.5</v>
      </c>
      <c r="J33" s="11"/>
    </row>
    <row r="34" spans="1:10" x14ac:dyDescent="0.35">
      <c r="A34" s="100" t="s">
        <v>33</v>
      </c>
      <c r="B34" s="21">
        <v>0.5</v>
      </c>
      <c r="C34" s="21"/>
      <c r="D34" s="21"/>
      <c r="E34" s="21"/>
      <c r="F34" s="21"/>
      <c r="G34" s="21"/>
      <c r="H34" s="21"/>
      <c r="I34" s="21">
        <f>SUM(B34:H34)</f>
        <v>0.5</v>
      </c>
      <c r="J34" s="11"/>
    </row>
    <row r="35" spans="1:10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</row>
    <row r="36" spans="1:10" x14ac:dyDescent="0.35">
      <c r="A36" s="20" t="s">
        <v>37</v>
      </c>
      <c r="B36" s="24">
        <f>SUM(B27:B35)</f>
        <v>22</v>
      </c>
      <c r="C36" s="24">
        <f t="shared" ref="C36:H36" si="7">SUM(C27:C35)</f>
        <v>3</v>
      </c>
      <c r="D36" s="24">
        <f t="shared" si="7"/>
        <v>0</v>
      </c>
      <c r="E36" s="24"/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>SUM(I27:I35)</f>
        <v>25</v>
      </c>
      <c r="J36" s="7"/>
    </row>
    <row r="37" spans="1:10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</row>
    <row r="38" spans="1:10" x14ac:dyDescent="0.35">
      <c r="A38" s="20" t="s">
        <v>39</v>
      </c>
      <c r="B38" s="15" t="str">
        <f t="shared" ref="B38:I38" si="8">B1</f>
        <v>Operating</v>
      </c>
      <c r="C38" s="15" t="str">
        <f t="shared" si="8"/>
        <v>SPED</v>
      </c>
      <c r="D38" s="15" t="str">
        <f t="shared" si="8"/>
        <v>NSLP</v>
      </c>
      <c r="E38" s="15" t="str">
        <f t="shared" si="8"/>
        <v>Other</v>
      </c>
      <c r="F38" s="15" t="str">
        <f t="shared" si="8"/>
        <v>Title I</v>
      </c>
      <c r="G38" s="15" t="str">
        <f t="shared" si="8"/>
        <v>Title II</v>
      </c>
      <c r="H38" s="15" t="str">
        <f t="shared" si="8"/>
        <v>Title III</v>
      </c>
      <c r="I38" s="15" t="str">
        <f t="shared" si="8"/>
        <v>B&amp;G</v>
      </c>
      <c r="J38" s="16"/>
    </row>
    <row r="39" spans="1:10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9">SUM(B39:H39)</f>
        <v>1</v>
      </c>
      <c r="J39" s="11"/>
    </row>
    <row r="40" spans="1:10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</row>
    <row r="41" spans="1:10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</row>
    <row r="42" spans="1:10" x14ac:dyDescent="0.35">
      <c r="A42" s="27" t="s">
        <v>36</v>
      </c>
      <c r="B42" s="22">
        <v>2</v>
      </c>
      <c r="C42" s="22"/>
      <c r="D42" s="22"/>
      <c r="E42" s="22"/>
      <c r="F42" s="22"/>
      <c r="G42" s="22"/>
      <c r="H42" s="22"/>
      <c r="I42" s="21">
        <f>SUM(B42:H42)</f>
        <v>2</v>
      </c>
      <c r="J42" s="11"/>
    </row>
    <row r="43" spans="1:10" x14ac:dyDescent="0.35">
      <c r="A43" s="27" t="s">
        <v>38</v>
      </c>
      <c r="B43" s="22">
        <v>1.5</v>
      </c>
      <c r="C43" s="22"/>
      <c r="D43" s="22"/>
      <c r="E43" s="22"/>
      <c r="F43" s="22"/>
      <c r="G43" s="22"/>
      <c r="H43" s="22"/>
      <c r="I43" s="21">
        <f>SUM(B43:H43)</f>
        <v>1.5</v>
      </c>
      <c r="J43" s="11"/>
    </row>
    <row r="44" spans="1:10" x14ac:dyDescent="0.35">
      <c r="A44" s="27" t="s">
        <v>46</v>
      </c>
      <c r="B44" s="22">
        <v>0</v>
      </c>
      <c r="C44" s="22"/>
      <c r="D44" s="22"/>
      <c r="E44" s="22"/>
      <c r="F44" s="22"/>
      <c r="G44" s="22"/>
      <c r="H44" s="22"/>
      <c r="I44" s="21">
        <f>SUM(B44:H44)</f>
        <v>0</v>
      </c>
      <c r="J44" s="11"/>
    </row>
    <row r="45" spans="1:10" x14ac:dyDescent="0.35">
      <c r="A45" s="27" t="s">
        <v>48</v>
      </c>
      <c r="B45" s="22">
        <v>1</v>
      </c>
      <c r="C45" s="22"/>
      <c r="D45" s="22"/>
      <c r="E45" s="22"/>
      <c r="F45" s="22"/>
      <c r="G45" s="22"/>
      <c r="H45" s="22"/>
      <c r="I45" s="21">
        <f t="shared" si="9"/>
        <v>1</v>
      </c>
      <c r="J45" s="11"/>
    </row>
    <row r="46" spans="1:10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9"/>
        <v>1</v>
      </c>
      <c r="J46" s="11"/>
    </row>
    <row r="47" spans="1:10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</row>
    <row r="48" spans="1:10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9"/>
        <v>1</v>
      </c>
      <c r="J48" s="11"/>
    </row>
    <row r="49" spans="1:10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</row>
    <row r="50" spans="1:10" x14ac:dyDescent="0.35">
      <c r="A50" s="25" t="s">
        <v>51</v>
      </c>
      <c r="B50" s="22">
        <v>5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10</v>
      </c>
      <c r="J50" s="11"/>
    </row>
    <row r="51" spans="1:10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9"/>
        <v>0</v>
      </c>
      <c r="J51" s="11"/>
    </row>
    <row r="52" spans="1:10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</row>
    <row r="53" spans="1:10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9"/>
        <v>0</v>
      </c>
      <c r="J53" s="6"/>
    </row>
    <row r="54" spans="1:10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9"/>
        <v>0</v>
      </c>
      <c r="J54" s="6"/>
    </row>
    <row r="55" spans="1:10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9"/>
        <v>1</v>
      </c>
      <c r="J55" s="6"/>
    </row>
    <row r="56" spans="1:10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</row>
    <row r="57" spans="1:10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9"/>
        <v>0</v>
      </c>
      <c r="J57" s="6"/>
    </row>
    <row r="58" spans="1:10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</row>
    <row r="59" spans="1:10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9"/>
        <v>0</v>
      </c>
      <c r="J59" s="6"/>
    </row>
    <row r="60" spans="1:10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9"/>
        <v>0</v>
      </c>
      <c r="J60" s="6"/>
    </row>
    <row r="61" spans="1:10" x14ac:dyDescent="0.35">
      <c r="A61" s="20" t="s">
        <v>58</v>
      </c>
      <c r="B61" s="28">
        <f t="shared" ref="B61:I61" si="10">SUM(B39:B60)</f>
        <v>14.5</v>
      </c>
      <c r="C61" s="28">
        <f t="shared" si="10"/>
        <v>4</v>
      </c>
      <c r="D61" s="28">
        <f t="shared" si="10"/>
        <v>2</v>
      </c>
      <c r="E61" s="28">
        <f t="shared" si="10"/>
        <v>0</v>
      </c>
      <c r="F61" s="28">
        <f t="shared" si="10"/>
        <v>0</v>
      </c>
      <c r="G61" s="28">
        <f t="shared" si="10"/>
        <v>0</v>
      </c>
      <c r="H61" s="28">
        <f t="shared" si="10"/>
        <v>0</v>
      </c>
      <c r="I61" s="28">
        <f t="shared" si="10"/>
        <v>20.5</v>
      </c>
      <c r="J61" s="7"/>
    </row>
    <row r="62" spans="1:10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</row>
    <row r="63" spans="1:10" x14ac:dyDescent="0.35">
      <c r="A63" s="31" t="s">
        <v>59</v>
      </c>
      <c r="B63" s="32">
        <f t="shared" ref="B63:I63" si="11">B36</f>
        <v>22</v>
      </c>
      <c r="C63" s="32">
        <f t="shared" si="11"/>
        <v>3</v>
      </c>
      <c r="D63" s="32">
        <f t="shared" si="11"/>
        <v>0</v>
      </c>
      <c r="E63" s="32">
        <f t="shared" si="11"/>
        <v>0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25</v>
      </c>
      <c r="J63" s="7"/>
    </row>
    <row r="64" spans="1:10" x14ac:dyDescent="0.35">
      <c r="A64" s="33" t="s">
        <v>60</v>
      </c>
      <c r="B64" s="34">
        <f>B61</f>
        <v>14.5</v>
      </c>
      <c r="C64" s="34">
        <f t="shared" ref="C64:I64" si="12">C61</f>
        <v>4</v>
      </c>
      <c r="D64" s="34">
        <f t="shared" si="12"/>
        <v>2</v>
      </c>
      <c r="E64" s="34">
        <f t="shared" si="12"/>
        <v>0</v>
      </c>
      <c r="F64" s="34">
        <f t="shared" si="12"/>
        <v>0</v>
      </c>
      <c r="G64" s="34">
        <f t="shared" si="12"/>
        <v>0</v>
      </c>
      <c r="H64" s="34">
        <f t="shared" si="12"/>
        <v>0</v>
      </c>
      <c r="I64" s="34">
        <f t="shared" si="12"/>
        <v>20.5</v>
      </c>
      <c r="J64" s="7"/>
    </row>
    <row r="65" spans="1:10" ht="15" thickBot="1" x14ac:dyDescent="0.4">
      <c r="A65" s="35" t="s">
        <v>61</v>
      </c>
      <c r="B65" s="36">
        <f>SUM(B63:B64)</f>
        <v>36.5</v>
      </c>
      <c r="C65" s="36">
        <f t="shared" ref="C65:H65" si="13">SUM(C63:C64)</f>
        <v>7</v>
      </c>
      <c r="D65" s="36">
        <f t="shared" si="13"/>
        <v>2</v>
      </c>
      <c r="E65" s="36">
        <f t="shared" si="13"/>
        <v>0</v>
      </c>
      <c r="F65" s="36">
        <f t="shared" si="13"/>
        <v>0</v>
      </c>
      <c r="G65" s="36">
        <f t="shared" si="13"/>
        <v>0</v>
      </c>
      <c r="H65" s="36">
        <f t="shared" si="13"/>
        <v>0</v>
      </c>
      <c r="I65" s="36">
        <f>SUM(I63:I64)</f>
        <v>45.5</v>
      </c>
      <c r="J65" s="7"/>
    </row>
    <row r="66" spans="1:10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</row>
    <row r="67" spans="1:10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0.64409250943747964</v>
      </c>
      <c r="J67" s="7"/>
    </row>
    <row r="68" spans="1:10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0.68771517264497617</v>
      </c>
      <c r="J68" s="7"/>
    </row>
    <row r="69" spans="1:10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0.17934278316219199</v>
      </c>
      <c r="J69" s="7"/>
    </row>
    <row r="70" spans="1:10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(I213+I214+I215+I216+I212)/(I97-I83-I84)</f>
        <v>0.100290238923682</v>
      </c>
      <c r="J70" s="7"/>
    </row>
    <row r="71" spans="1:10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</row>
    <row r="72" spans="1:10" ht="15" thickBot="1" x14ac:dyDescent="0.4">
      <c r="A72" s="41" t="s">
        <v>66</v>
      </c>
      <c r="B72" s="42" t="str">
        <f t="shared" ref="B72:I72" si="14">B1</f>
        <v>Operating</v>
      </c>
      <c r="C72" s="42" t="str">
        <f t="shared" si="14"/>
        <v>SPED</v>
      </c>
      <c r="D72" s="42" t="str">
        <f t="shared" si="14"/>
        <v>NSLP</v>
      </c>
      <c r="E72" s="42" t="str">
        <f t="shared" si="14"/>
        <v>Other</v>
      </c>
      <c r="F72" s="42" t="str">
        <f t="shared" si="14"/>
        <v>Title I</v>
      </c>
      <c r="G72" s="42" t="str">
        <f t="shared" si="14"/>
        <v>Title II</v>
      </c>
      <c r="H72" s="42" t="str">
        <f t="shared" si="14"/>
        <v>Title III</v>
      </c>
      <c r="I72" s="42" t="str">
        <f t="shared" si="14"/>
        <v>B&amp;G</v>
      </c>
      <c r="J72" s="7"/>
    </row>
    <row r="73" spans="1:10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</row>
    <row r="74" spans="1:10" x14ac:dyDescent="0.35">
      <c r="A74" s="26" t="s">
        <v>68</v>
      </c>
      <c r="B74" s="46">
        <f>(B2*B3)</f>
        <v>4688172</v>
      </c>
      <c r="C74" s="46"/>
      <c r="D74" s="46"/>
      <c r="E74" s="46"/>
      <c r="F74" s="46"/>
      <c r="G74" s="46"/>
      <c r="H74" s="46"/>
      <c r="I74" s="47">
        <f t="shared" ref="I74:I79" si="15">SUM(B74:H74)</f>
        <v>4688172</v>
      </c>
      <c r="J74" s="11"/>
    </row>
    <row r="75" spans="1:10" x14ac:dyDescent="0.35">
      <c r="A75" s="26" t="s">
        <v>69</v>
      </c>
      <c r="B75" s="30">
        <f>4236*B21</f>
        <v>643872</v>
      </c>
      <c r="C75" s="30"/>
      <c r="D75" s="30"/>
      <c r="E75" s="30"/>
      <c r="F75" s="30"/>
      <c r="G75" s="30"/>
      <c r="H75" s="30"/>
      <c r="I75" s="5">
        <f t="shared" si="15"/>
        <v>643872</v>
      </c>
      <c r="J75" s="6">
        <v>4236</v>
      </c>
    </row>
    <row r="76" spans="1:10" x14ac:dyDescent="0.35">
      <c r="A76" s="26" t="s">
        <v>70</v>
      </c>
      <c r="B76" s="5">
        <f>1129*B22</f>
        <v>0</v>
      </c>
      <c r="C76" s="5"/>
      <c r="D76" s="5"/>
      <c r="E76" s="5"/>
      <c r="F76" s="5"/>
      <c r="G76" s="5"/>
      <c r="H76" s="5"/>
      <c r="I76" s="5">
        <f t="shared" si="15"/>
        <v>0</v>
      </c>
      <c r="J76" s="6">
        <v>1129</v>
      </c>
    </row>
    <row r="77" spans="1:10" x14ac:dyDescent="0.35">
      <c r="A77" s="26" t="s">
        <v>71</v>
      </c>
      <c r="B77" s="5">
        <f>3294*B24</f>
        <v>13176</v>
      </c>
      <c r="C77" s="5"/>
      <c r="D77" s="5"/>
      <c r="E77" s="5"/>
      <c r="F77" s="5"/>
      <c r="G77" s="5"/>
      <c r="H77" s="5"/>
      <c r="I77" s="5">
        <f t="shared" si="15"/>
        <v>13176</v>
      </c>
      <c r="J77" s="6">
        <v>3294</v>
      </c>
    </row>
    <row r="78" spans="1:10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15"/>
        <v>53862</v>
      </c>
      <c r="J78" s="48"/>
    </row>
    <row r="79" spans="1:10" x14ac:dyDescent="0.35">
      <c r="A79" s="26" t="s">
        <v>72</v>
      </c>
      <c r="B79" s="30">
        <v>0</v>
      </c>
      <c r="C79" s="30">
        <f>3800*C20</f>
        <v>288800</v>
      </c>
      <c r="D79" s="30"/>
      <c r="E79" s="30"/>
      <c r="F79" s="30"/>
      <c r="G79" s="30"/>
      <c r="H79" s="30"/>
      <c r="I79" s="30">
        <f t="shared" si="15"/>
        <v>288800</v>
      </c>
      <c r="J79" s="6">
        <v>3800</v>
      </c>
    </row>
    <row r="80" spans="1:10" x14ac:dyDescent="0.35">
      <c r="A80" s="49" t="s">
        <v>74</v>
      </c>
      <c r="B80" s="50">
        <f t="shared" ref="B80:I80" si="16">SUM(B74:B79)</f>
        <v>5345220</v>
      </c>
      <c r="C80" s="50">
        <f t="shared" si="16"/>
        <v>342662</v>
      </c>
      <c r="D80" s="50">
        <f t="shared" si="16"/>
        <v>0</v>
      </c>
      <c r="E80" s="50"/>
      <c r="F80" s="50">
        <f t="shared" si="16"/>
        <v>0</v>
      </c>
      <c r="G80" s="50">
        <f t="shared" si="16"/>
        <v>0</v>
      </c>
      <c r="H80" s="50">
        <f t="shared" si="16"/>
        <v>0</v>
      </c>
      <c r="I80" s="50">
        <f t="shared" si="16"/>
        <v>5687882</v>
      </c>
      <c r="J80" s="7"/>
    </row>
    <row r="81" spans="1:10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</row>
    <row r="82" spans="1:10" x14ac:dyDescent="0.35">
      <c r="A82" s="26" t="s">
        <v>76</v>
      </c>
      <c r="B82" s="5"/>
      <c r="C82" s="5">
        <f>950*C20</f>
        <v>72200</v>
      </c>
      <c r="D82" s="5"/>
      <c r="E82" s="5"/>
      <c r="F82" s="5"/>
      <c r="G82" s="5"/>
      <c r="H82" s="5"/>
      <c r="I82" s="5">
        <f>SUM(B82:H82)</f>
        <v>72200</v>
      </c>
      <c r="J82" s="6"/>
    </row>
    <row r="83" spans="1:10" x14ac:dyDescent="0.35">
      <c r="A83" s="26" t="s">
        <v>77</v>
      </c>
      <c r="B83" s="5"/>
      <c r="C83" s="5"/>
      <c r="D83" s="10">
        <f>((B17*0.95)*2.75*180)</f>
        <v>234184.49999999997</v>
      </c>
      <c r="E83" s="10"/>
      <c r="F83" s="10"/>
      <c r="G83" s="10"/>
      <c r="H83" s="10"/>
      <c r="I83" s="5">
        <f t="shared" ref="I83:I95" si="17">SUM(B83:H83)</f>
        <v>234184.49999999997</v>
      </c>
      <c r="J83" s="52">
        <v>2.75</v>
      </c>
    </row>
    <row r="84" spans="1:10" x14ac:dyDescent="0.35">
      <c r="A84" s="26" t="s">
        <v>78</v>
      </c>
      <c r="B84" s="30"/>
      <c r="C84" s="30"/>
      <c r="D84" s="10">
        <f>((B17*0.95)*4.37*180)</f>
        <v>372140.46</v>
      </c>
      <c r="E84" s="10"/>
      <c r="F84" s="10"/>
      <c r="G84" s="10"/>
      <c r="H84" s="10"/>
      <c r="I84" s="5">
        <f t="shared" si="17"/>
        <v>372140.46</v>
      </c>
      <c r="J84" s="52">
        <v>4.37</v>
      </c>
    </row>
    <row r="85" spans="1:10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17"/>
        <v>0</v>
      </c>
      <c r="J85" s="6"/>
    </row>
    <row r="86" spans="1:10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17"/>
        <v>0</v>
      </c>
      <c r="J86" s="6"/>
    </row>
    <row r="87" spans="1:10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17"/>
        <v>0</v>
      </c>
      <c r="J87" s="6"/>
    </row>
    <row r="88" spans="1:10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17"/>
        <v>0</v>
      </c>
      <c r="J88" s="6"/>
    </row>
    <row r="89" spans="1:10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</row>
    <row r="90" spans="1:10" x14ac:dyDescent="0.35">
      <c r="A90" s="49" t="s">
        <v>84</v>
      </c>
      <c r="B90" s="50">
        <f>SUM(B82:B88)</f>
        <v>0</v>
      </c>
      <c r="C90" s="50">
        <f t="shared" ref="C90:I90" si="18">SUM(C82:C88)</f>
        <v>72200</v>
      </c>
      <c r="D90" s="50">
        <f t="shared" si="18"/>
        <v>606324.96</v>
      </c>
      <c r="E90" s="50"/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678524.96</v>
      </c>
      <c r="J90" s="7"/>
    </row>
    <row r="91" spans="1:10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</row>
    <row r="92" spans="1:10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17"/>
        <v>0</v>
      </c>
      <c r="J92" s="11"/>
    </row>
    <row r="93" spans="1:10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19">F161</f>
        <v>0</v>
      </c>
      <c r="G93" s="10">
        <f t="shared" si="19"/>
        <v>0</v>
      </c>
      <c r="H93" s="10">
        <f t="shared" si="19"/>
        <v>0</v>
      </c>
      <c r="I93" s="5">
        <f t="shared" si="17"/>
        <v>0</v>
      </c>
      <c r="J93" s="11"/>
    </row>
    <row r="94" spans="1:10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17"/>
        <v>0</v>
      </c>
      <c r="J94" s="11"/>
    </row>
    <row r="95" spans="1:10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17"/>
        <v>0</v>
      </c>
      <c r="J95" s="11"/>
    </row>
    <row r="96" spans="1:10" x14ac:dyDescent="0.35">
      <c r="A96" s="49" t="s">
        <v>87</v>
      </c>
      <c r="B96" s="50">
        <f>SUM(B92:B95)</f>
        <v>0</v>
      </c>
      <c r="C96" s="50">
        <f t="shared" ref="C96:H96" si="20">SUM(C92:C95)</f>
        <v>0</v>
      </c>
      <c r="D96" s="50">
        <f t="shared" si="20"/>
        <v>0</v>
      </c>
      <c r="E96" s="50"/>
      <c r="F96" s="50">
        <f t="shared" si="20"/>
        <v>0</v>
      </c>
      <c r="G96" s="50">
        <f t="shared" si="20"/>
        <v>0</v>
      </c>
      <c r="H96" s="50">
        <f t="shared" si="20"/>
        <v>0</v>
      </c>
      <c r="I96" s="50">
        <f>SUM(I92:I95)</f>
        <v>0</v>
      </c>
      <c r="J96" s="7"/>
    </row>
    <row r="97" spans="1:10" x14ac:dyDescent="0.35">
      <c r="A97" s="150" t="s">
        <v>88</v>
      </c>
      <c r="B97" s="151">
        <f t="shared" ref="B97:H97" si="21">B80+B90+B96</f>
        <v>5345220</v>
      </c>
      <c r="C97" s="151">
        <f t="shared" si="21"/>
        <v>414862</v>
      </c>
      <c r="D97" s="151">
        <f t="shared" si="21"/>
        <v>606324.96</v>
      </c>
      <c r="E97" s="151"/>
      <c r="F97" s="151">
        <f t="shared" si="21"/>
        <v>0</v>
      </c>
      <c r="G97" s="151">
        <f t="shared" si="21"/>
        <v>0</v>
      </c>
      <c r="H97" s="151">
        <f t="shared" si="21"/>
        <v>0</v>
      </c>
      <c r="I97" s="151">
        <f>I80+I90+I96</f>
        <v>6366406.96</v>
      </c>
      <c r="J97" s="7"/>
    </row>
    <row r="98" spans="1:10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</row>
    <row r="99" spans="1:10" x14ac:dyDescent="0.35">
      <c r="A99" s="26" t="s">
        <v>281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11"/>
    </row>
    <row r="100" spans="1:10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22">F168</f>
        <v>0</v>
      </c>
      <c r="G100" s="10">
        <f t="shared" si="22"/>
        <v>0</v>
      </c>
      <c r="H100" s="10">
        <f t="shared" si="22"/>
        <v>0</v>
      </c>
      <c r="I100" s="5">
        <f t="shared" ref="I100:I102" si="23">SUM(B100:H100)</f>
        <v>0</v>
      </c>
      <c r="J100" s="11"/>
    </row>
    <row r="101" spans="1:10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23"/>
        <v>0</v>
      </c>
      <c r="J101" s="11"/>
    </row>
    <row r="102" spans="1:10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23"/>
        <v>0</v>
      </c>
      <c r="J102" s="11"/>
    </row>
    <row r="103" spans="1:10" x14ac:dyDescent="0.35">
      <c r="A103" s="49" t="s">
        <v>280</v>
      </c>
      <c r="B103" s="50">
        <f>SUM(B99:B102)</f>
        <v>0</v>
      </c>
      <c r="C103" s="50">
        <f t="shared" ref="C103:I103" si="24">SUM(C99:C102)</f>
        <v>0</v>
      </c>
      <c r="D103" s="50">
        <f t="shared" si="24"/>
        <v>0</v>
      </c>
      <c r="E103" s="50">
        <f t="shared" si="24"/>
        <v>0</v>
      </c>
      <c r="F103" s="50">
        <f t="shared" si="24"/>
        <v>0</v>
      </c>
      <c r="G103" s="50">
        <f t="shared" si="24"/>
        <v>0</v>
      </c>
      <c r="H103" s="50">
        <f t="shared" si="24"/>
        <v>0</v>
      </c>
      <c r="I103" s="50">
        <f t="shared" si="24"/>
        <v>0</v>
      </c>
      <c r="J103" s="7"/>
    </row>
    <row r="104" spans="1:10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</row>
    <row r="105" spans="1:10" ht="15" thickBot="1" x14ac:dyDescent="0.4">
      <c r="A105" s="55" t="s">
        <v>89</v>
      </c>
      <c r="B105" s="56" t="str">
        <f t="shared" ref="B105:I105" si="25">B1</f>
        <v>Operating</v>
      </c>
      <c r="C105" s="56" t="str">
        <f t="shared" si="25"/>
        <v>SPED</v>
      </c>
      <c r="D105" s="56" t="str">
        <f t="shared" si="25"/>
        <v>NSLP</v>
      </c>
      <c r="E105" s="56" t="str">
        <f t="shared" si="25"/>
        <v>Other</v>
      </c>
      <c r="F105" s="56" t="str">
        <f t="shared" si="25"/>
        <v>Title I</v>
      </c>
      <c r="G105" s="56" t="str">
        <f t="shared" si="25"/>
        <v>Title II</v>
      </c>
      <c r="H105" s="56" t="str">
        <f t="shared" si="25"/>
        <v>Title III</v>
      </c>
      <c r="I105" s="56" t="str">
        <f t="shared" si="25"/>
        <v>B&amp;G</v>
      </c>
      <c r="J105" s="7"/>
    </row>
    <row r="106" spans="1:10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</row>
    <row r="107" spans="1:10" x14ac:dyDescent="0.35">
      <c r="A107" s="26" t="s">
        <v>40</v>
      </c>
      <c r="B107" s="72">
        <f>143000*1.03</f>
        <v>147290</v>
      </c>
      <c r="C107" s="10"/>
      <c r="D107" s="5"/>
      <c r="E107" s="5"/>
      <c r="F107" s="5"/>
      <c r="G107" s="5"/>
      <c r="H107" s="5"/>
      <c r="I107" s="5">
        <f t="shared" ref="I107:I120" si="26">SUM(B107:H107)</f>
        <v>147290</v>
      </c>
      <c r="J107" s="11"/>
    </row>
    <row r="108" spans="1:10" x14ac:dyDescent="0.35">
      <c r="A108" s="26" t="s">
        <v>91</v>
      </c>
      <c r="B108" s="72">
        <f>115000*1.03</f>
        <v>118450</v>
      </c>
      <c r="C108" s="10"/>
      <c r="D108" s="5"/>
      <c r="E108" s="5"/>
      <c r="F108" s="5"/>
      <c r="G108" s="5"/>
      <c r="H108" s="5"/>
      <c r="I108" s="5">
        <f t="shared" si="26"/>
        <v>118450</v>
      </c>
      <c r="J108" s="11"/>
    </row>
    <row r="109" spans="1:10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26"/>
        <v>0</v>
      </c>
      <c r="J109" s="11"/>
    </row>
    <row r="110" spans="1:10" x14ac:dyDescent="0.35">
      <c r="A110" s="27" t="s">
        <v>36</v>
      </c>
      <c r="B110" s="72">
        <f>(84850+73200)*1.03</f>
        <v>162791.5</v>
      </c>
      <c r="C110" s="10"/>
      <c r="D110" s="5"/>
      <c r="E110" s="5"/>
      <c r="F110" s="5"/>
      <c r="G110" s="5"/>
      <c r="H110" s="5"/>
      <c r="I110" s="5">
        <f t="shared" si="26"/>
        <v>162791.5</v>
      </c>
      <c r="J110" s="11"/>
    </row>
    <row r="111" spans="1:10" x14ac:dyDescent="0.35">
      <c r="A111" s="27" t="s">
        <v>38</v>
      </c>
      <c r="B111" s="72">
        <f>(89050+25000)*1.03</f>
        <v>117471.5</v>
      </c>
      <c r="C111" s="10"/>
      <c r="D111" s="5"/>
      <c r="E111" s="5"/>
      <c r="F111" s="5"/>
      <c r="G111" s="5"/>
      <c r="H111" s="5"/>
      <c r="I111" s="5">
        <f t="shared" si="26"/>
        <v>117471.5</v>
      </c>
      <c r="J111" s="11"/>
    </row>
    <row r="112" spans="1:10" x14ac:dyDescent="0.35">
      <c r="A112" s="26" t="s">
        <v>92</v>
      </c>
      <c r="B112" s="72">
        <v>0</v>
      </c>
      <c r="C112" s="10"/>
      <c r="D112" s="5"/>
      <c r="E112" s="5"/>
      <c r="F112" s="5"/>
      <c r="G112" s="5"/>
      <c r="H112" s="5"/>
      <c r="I112" s="5">
        <f t="shared" si="26"/>
        <v>0</v>
      </c>
      <c r="J112" s="11"/>
    </row>
    <row r="113" spans="1:10" x14ac:dyDescent="0.35">
      <c r="A113" s="26" t="s">
        <v>93</v>
      </c>
      <c r="B113" s="10">
        <f>73200*1.03</f>
        <v>75396</v>
      </c>
      <c r="C113" s="10"/>
      <c r="D113" s="5"/>
      <c r="E113" s="5"/>
      <c r="F113" s="5"/>
      <c r="G113" s="5"/>
      <c r="H113" s="5"/>
      <c r="I113" s="5">
        <f t="shared" si="26"/>
        <v>75396</v>
      </c>
      <c r="J113" s="11"/>
    </row>
    <row r="114" spans="1:10" x14ac:dyDescent="0.35">
      <c r="A114" s="26" t="s">
        <v>94</v>
      </c>
      <c r="B114" s="10">
        <f>61800*(B36-B35)</f>
        <v>1359600</v>
      </c>
      <c r="C114" s="10"/>
      <c r="D114" s="5"/>
      <c r="E114" s="5"/>
      <c r="F114" s="5"/>
      <c r="G114" s="5"/>
      <c r="H114" s="5"/>
      <c r="I114" s="5">
        <f t="shared" si="26"/>
        <v>1359600</v>
      </c>
      <c r="J114" s="6">
        <v>61800</v>
      </c>
    </row>
    <row r="115" spans="1:10" x14ac:dyDescent="0.35">
      <c r="A115" s="26" t="s">
        <v>27</v>
      </c>
      <c r="B115" s="10"/>
      <c r="C115" s="10">
        <f>61800*C36</f>
        <v>185400</v>
      </c>
      <c r="D115" s="5"/>
      <c r="E115" s="5"/>
      <c r="F115" s="5"/>
      <c r="G115" s="5"/>
      <c r="H115" s="5"/>
      <c r="I115" s="5">
        <f t="shared" si="26"/>
        <v>185400</v>
      </c>
      <c r="J115" s="11"/>
    </row>
    <row r="116" spans="1:10" x14ac:dyDescent="0.35">
      <c r="A116" s="26" t="s">
        <v>95</v>
      </c>
      <c r="B116" s="72">
        <f>(50000+67200)*1.03</f>
        <v>120716</v>
      </c>
      <c r="C116" s="10"/>
      <c r="D116" s="5"/>
      <c r="E116" s="5"/>
      <c r="F116" s="5"/>
      <c r="G116" s="5"/>
      <c r="H116" s="5"/>
      <c r="I116" s="5">
        <f t="shared" si="26"/>
        <v>120716</v>
      </c>
      <c r="J116" s="11"/>
    </row>
    <row r="117" spans="1:10" x14ac:dyDescent="0.35">
      <c r="A117" s="26" t="s">
        <v>96</v>
      </c>
      <c r="B117" s="10">
        <f>33120*1.03</f>
        <v>34113.599999999999</v>
      </c>
      <c r="C117" s="10"/>
      <c r="D117" s="5"/>
      <c r="E117" s="5"/>
      <c r="F117" s="5"/>
      <c r="G117" s="5"/>
      <c r="H117" s="5"/>
      <c r="I117" s="5">
        <f t="shared" si="26"/>
        <v>34113.599999999999</v>
      </c>
      <c r="J117" s="11"/>
    </row>
    <row r="118" spans="1:10" x14ac:dyDescent="0.35">
      <c r="A118" s="26" t="s">
        <v>292</v>
      </c>
      <c r="B118" s="10">
        <f>((21*8*180)*B50)</f>
        <v>151200</v>
      </c>
      <c r="C118" s="10">
        <f>(21*8*180)*C50</f>
        <v>90720</v>
      </c>
      <c r="D118" s="10">
        <f>(21*7*180)*D50</f>
        <v>52920</v>
      </c>
      <c r="E118" s="5"/>
      <c r="F118" s="5">
        <f>(14*8*180)*F50</f>
        <v>0</v>
      </c>
      <c r="G118" s="5"/>
      <c r="H118" s="5"/>
      <c r="I118" s="5">
        <f t="shared" si="26"/>
        <v>294840</v>
      </c>
      <c r="J118" s="11"/>
    </row>
    <row r="119" spans="1:10" x14ac:dyDescent="0.35">
      <c r="A119" s="26" t="s">
        <v>97</v>
      </c>
      <c r="B119" s="10">
        <f>(17.25*8*240)*B51</f>
        <v>0</v>
      </c>
      <c r="C119" s="10"/>
      <c r="D119" s="5"/>
      <c r="E119" s="5"/>
      <c r="F119" s="5"/>
      <c r="G119" s="5"/>
      <c r="H119" s="5"/>
      <c r="I119" s="5">
        <f t="shared" si="26"/>
        <v>0</v>
      </c>
      <c r="J119" s="11"/>
    </row>
    <row r="120" spans="1:10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26"/>
        <v>0</v>
      </c>
      <c r="J120" s="11"/>
    </row>
    <row r="121" spans="1:10" x14ac:dyDescent="0.35">
      <c r="A121" s="57" t="s">
        <v>98</v>
      </c>
      <c r="B121" s="58">
        <f>SUM(B107:B120)</f>
        <v>2287028.6</v>
      </c>
      <c r="C121" s="58">
        <f t="shared" ref="C121:D121" si="27">SUM(C107:C120)</f>
        <v>276120</v>
      </c>
      <c r="D121" s="58">
        <f t="shared" si="27"/>
        <v>52920</v>
      </c>
      <c r="E121" s="58"/>
      <c r="F121" s="58">
        <f t="shared" ref="F121:I121" si="28">SUM(F107:F120)</f>
        <v>0</v>
      </c>
      <c r="G121" s="58">
        <f t="shared" si="28"/>
        <v>0</v>
      </c>
      <c r="H121" s="58">
        <f t="shared" si="28"/>
        <v>0</v>
      </c>
      <c r="I121" s="58">
        <f t="shared" si="28"/>
        <v>2616068.6</v>
      </c>
      <c r="J121" s="7"/>
    </row>
    <row r="122" spans="1:10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</row>
    <row r="123" spans="1:10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29">SUM(B123:H123)</f>
        <v>0</v>
      </c>
      <c r="J123" s="11"/>
    </row>
    <row r="124" spans="1:10" x14ac:dyDescent="0.35">
      <c r="A124" s="26" t="s">
        <v>43</v>
      </c>
      <c r="B124" s="10">
        <v>0</v>
      </c>
      <c r="C124" s="72">
        <f>57500*1.03</f>
        <v>59225</v>
      </c>
      <c r="D124" s="10"/>
      <c r="E124" s="10"/>
      <c r="F124" s="5"/>
      <c r="G124" s="5"/>
      <c r="H124" s="5"/>
      <c r="I124" s="5">
        <f t="shared" si="29"/>
        <v>59225</v>
      </c>
      <c r="J124" s="11"/>
    </row>
    <row r="125" spans="1:10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29"/>
        <v>0</v>
      </c>
      <c r="J125" s="11"/>
    </row>
    <row r="126" spans="1:10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29"/>
        <v>0</v>
      </c>
      <c r="J126" s="11"/>
    </row>
    <row r="127" spans="1:10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29"/>
        <v>0</v>
      </c>
      <c r="J127" s="11"/>
    </row>
    <row r="128" spans="1:10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29"/>
        <v>0</v>
      </c>
      <c r="J128" s="11"/>
    </row>
    <row r="129" spans="1:10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</row>
    <row r="130" spans="1:10" x14ac:dyDescent="0.35">
      <c r="A130" s="26" t="s">
        <v>55</v>
      </c>
      <c r="B130" s="148">
        <f>150*180*B59</f>
        <v>0</v>
      </c>
      <c r="C130" s="148">
        <f t="shared" ref="C130:H130" si="30">150*180*C59</f>
        <v>0</v>
      </c>
      <c r="D130" s="148">
        <f t="shared" si="30"/>
        <v>0</v>
      </c>
      <c r="E130" s="148">
        <f t="shared" si="30"/>
        <v>0</v>
      </c>
      <c r="F130" s="148">
        <f t="shared" si="30"/>
        <v>0</v>
      </c>
      <c r="G130" s="148">
        <f t="shared" si="30"/>
        <v>0</v>
      </c>
      <c r="H130" s="148">
        <f t="shared" si="30"/>
        <v>0</v>
      </c>
      <c r="I130" s="5">
        <f>SUM(B130:H130)</f>
        <v>0</v>
      </c>
      <c r="J130" s="11"/>
    </row>
    <row r="131" spans="1:10" x14ac:dyDescent="0.35">
      <c r="A131" s="60" t="s">
        <v>101</v>
      </c>
      <c r="B131" s="61">
        <f>SUM(B123:B130)</f>
        <v>0</v>
      </c>
      <c r="C131" s="61">
        <f t="shared" ref="C131:I131" si="31">SUM(C123:C130)</f>
        <v>59225</v>
      </c>
      <c r="D131" s="61">
        <f t="shared" si="31"/>
        <v>0</v>
      </c>
      <c r="E131" s="61"/>
      <c r="F131" s="61">
        <f t="shared" si="31"/>
        <v>0</v>
      </c>
      <c r="G131" s="61">
        <f t="shared" si="31"/>
        <v>0</v>
      </c>
      <c r="H131" s="61">
        <f t="shared" si="31"/>
        <v>0</v>
      </c>
      <c r="I131" s="61">
        <f t="shared" si="31"/>
        <v>59225</v>
      </c>
      <c r="J131" s="7"/>
    </row>
    <row r="132" spans="1:10" x14ac:dyDescent="0.35">
      <c r="A132" s="62" t="s">
        <v>102</v>
      </c>
      <c r="B132" s="63">
        <f t="shared" ref="B132:H132" si="32">B121+B131</f>
        <v>2287028.6</v>
      </c>
      <c r="C132" s="63">
        <f t="shared" si="32"/>
        <v>335345</v>
      </c>
      <c r="D132" s="63">
        <f t="shared" si="32"/>
        <v>52920</v>
      </c>
      <c r="E132" s="63"/>
      <c r="F132" s="63">
        <f t="shared" si="32"/>
        <v>0</v>
      </c>
      <c r="G132" s="63">
        <f t="shared" si="32"/>
        <v>0</v>
      </c>
      <c r="H132" s="63">
        <f t="shared" si="32"/>
        <v>0</v>
      </c>
      <c r="I132" s="63">
        <f>I121+I131</f>
        <v>2675293.6</v>
      </c>
      <c r="J132" s="7"/>
    </row>
    <row r="133" spans="1:10" x14ac:dyDescent="0.35">
      <c r="A133" s="26" t="s">
        <v>258</v>
      </c>
      <c r="B133" s="47">
        <f>B132*0.335</f>
        <v>766154.58100000012</v>
      </c>
      <c r="C133" s="47">
        <f t="shared" ref="C133:H133" si="33">C132*0.335</f>
        <v>112340.57500000001</v>
      </c>
      <c r="D133" s="47">
        <f t="shared" si="33"/>
        <v>17728.2</v>
      </c>
      <c r="E133" s="47"/>
      <c r="F133" s="47">
        <f t="shared" si="33"/>
        <v>0</v>
      </c>
      <c r="G133" s="47">
        <f t="shared" si="33"/>
        <v>0</v>
      </c>
      <c r="H133" s="47">
        <f t="shared" si="33"/>
        <v>0</v>
      </c>
      <c r="I133" s="10">
        <f>SUM(B133:H133)</f>
        <v>896223.35600000015</v>
      </c>
      <c r="J133" s="105">
        <f>I133/I132</f>
        <v>0.33500000000000002</v>
      </c>
    </row>
    <row r="134" spans="1:10" x14ac:dyDescent="0.35">
      <c r="A134" s="26" t="s">
        <v>103</v>
      </c>
      <c r="B134" s="10">
        <f>((6300*B65)*0.8)+((170*B65)*0.78)+((75*B65)*0.78)+(B132*0.015)+(B132*0.03)</f>
        <v>293851.43700000003</v>
      </c>
      <c r="C134" s="10">
        <f t="shared" ref="C134:D134" si="34">((6300*C65)*0.8)+((170*C65)*0.78)+((75*C65)*0.78)+(C132*0.015)+(C132*0.03)</f>
        <v>51708.224999999999</v>
      </c>
      <c r="D134" s="10">
        <f t="shared" si="34"/>
        <v>12843.6</v>
      </c>
      <c r="E134" s="10">
        <f t="shared" ref="E134" si="35">((6100*E65)*0.8)+((170*E65)*0.78)+((75*E65)*0.78)+(E132*0.015)+(E132*0.03)</f>
        <v>0</v>
      </c>
      <c r="F134" s="10">
        <f t="shared" ref="F134:H134" si="36">((6450*F65)*0.78)+((160*F65)*0.78)+((65*F65)*0.78)+(F132*0.015)+(F132*0.03)</f>
        <v>0</v>
      </c>
      <c r="G134" s="10">
        <f t="shared" si="36"/>
        <v>0</v>
      </c>
      <c r="H134" s="10">
        <f t="shared" si="36"/>
        <v>0</v>
      </c>
      <c r="I134" s="10">
        <f>SUM(B134:H134)</f>
        <v>358403.26199999999</v>
      </c>
      <c r="J134" s="105">
        <f>I134/I132</f>
        <v>0.13396782394276277</v>
      </c>
    </row>
    <row r="135" spans="1:10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</f>
        <v>37125</v>
      </c>
      <c r="C135" s="10">
        <f t="shared" ref="C135:H135" si="37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37"/>
        <v>990</v>
      </c>
      <c r="E135" s="10">
        <f t="shared" si="37"/>
        <v>0</v>
      </c>
      <c r="F135" s="10">
        <f t="shared" si="37"/>
        <v>0</v>
      </c>
      <c r="G135" s="10">
        <f t="shared" si="37"/>
        <v>0</v>
      </c>
      <c r="H135" s="10">
        <f t="shared" si="37"/>
        <v>0</v>
      </c>
      <c r="I135" s="10">
        <f t="shared" ref="I135:I140" si="38">SUM(B135:H135)</f>
        <v>43560</v>
      </c>
      <c r="J135" s="11"/>
    </row>
    <row r="136" spans="1:10" x14ac:dyDescent="0.35">
      <c r="A136" s="26" t="s">
        <v>105</v>
      </c>
      <c r="B136" s="10">
        <f>125*B65+(125*15)</f>
        <v>6437.5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38"/>
        <v>7562.5</v>
      </c>
      <c r="J136" s="11"/>
    </row>
    <row r="137" spans="1:10" x14ac:dyDescent="0.35">
      <c r="A137" s="26" t="s">
        <v>106</v>
      </c>
      <c r="B137" s="10">
        <v>0</v>
      </c>
      <c r="C137" s="10">
        <f>50000*1.03</f>
        <v>51500</v>
      </c>
      <c r="D137" s="10"/>
      <c r="E137" s="10"/>
      <c r="F137" s="10">
        <v>0</v>
      </c>
      <c r="G137" s="10"/>
      <c r="H137" s="10"/>
      <c r="I137" s="10">
        <f t="shared" si="38"/>
        <v>51500</v>
      </c>
      <c r="J137" s="11"/>
    </row>
    <row r="138" spans="1:10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38"/>
        <v>0</v>
      </c>
      <c r="J138" s="11"/>
    </row>
    <row r="139" spans="1:10" x14ac:dyDescent="0.35">
      <c r="A139" s="26" t="s">
        <v>108</v>
      </c>
      <c r="B139" s="10">
        <v>12500</v>
      </c>
      <c r="C139" s="10"/>
      <c r="D139" s="10"/>
      <c r="E139" s="10"/>
      <c r="F139" s="10"/>
      <c r="G139" s="10"/>
      <c r="H139" s="10"/>
      <c r="I139" s="5">
        <f t="shared" si="38"/>
        <v>12500</v>
      </c>
      <c r="J139" s="11"/>
    </row>
    <row r="140" spans="1:10" x14ac:dyDescent="0.35">
      <c r="A140" s="26" t="s">
        <v>322</v>
      </c>
      <c r="B140" s="30">
        <f>(190*11*(B36-B35))-B130</f>
        <v>45980</v>
      </c>
      <c r="C140" s="30">
        <f t="shared" ref="C140:E140" si="39">(190*11*(C36-C35))-C130</f>
        <v>6270</v>
      </c>
      <c r="D140" s="30">
        <f t="shared" si="39"/>
        <v>0</v>
      </c>
      <c r="E140" s="30">
        <f t="shared" si="39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38"/>
        <v>52250</v>
      </c>
      <c r="J140" s="11" t="s">
        <v>327</v>
      </c>
    </row>
    <row r="141" spans="1:10" x14ac:dyDescent="0.35">
      <c r="A141" s="64" t="s">
        <v>109</v>
      </c>
      <c r="B141" s="65">
        <f>SUM(B133:B140)</f>
        <v>1162048.5180000002</v>
      </c>
      <c r="C141" s="65">
        <f t="shared" ref="C141:H141" si="40">SUM(C133:C140)</f>
        <v>228138.80000000002</v>
      </c>
      <c r="D141" s="65">
        <f t="shared" si="40"/>
        <v>31811.800000000003</v>
      </c>
      <c r="E141" s="65"/>
      <c r="F141" s="65">
        <f t="shared" si="40"/>
        <v>0</v>
      </c>
      <c r="G141" s="65">
        <f t="shared" si="40"/>
        <v>0</v>
      </c>
      <c r="H141" s="65">
        <f t="shared" si="40"/>
        <v>0</v>
      </c>
      <c r="I141" s="65">
        <f>SUM(I133:I140)</f>
        <v>1421999.1180000002</v>
      </c>
      <c r="J141" s="7"/>
    </row>
    <row r="142" spans="1:10" x14ac:dyDescent="0.35">
      <c r="A142" s="62" t="s">
        <v>110</v>
      </c>
      <c r="B142" s="63">
        <f t="shared" ref="B142:I142" si="41">B132+B141</f>
        <v>3449077.1180000002</v>
      </c>
      <c r="C142" s="63">
        <f t="shared" si="41"/>
        <v>563483.80000000005</v>
      </c>
      <c r="D142" s="63">
        <f t="shared" si="41"/>
        <v>84731.8</v>
      </c>
      <c r="E142" s="63"/>
      <c r="F142" s="63">
        <f t="shared" si="41"/>
        <v>0</v>
      </c>
      <c r="G142" s="63">
        <f t="shared" si="41"/>
        <v>0</v>
      </c>
      <c r="H142" s="63">
        <f t="shared" si="41"/>
        <v>0</v>
      </c>
      <c r="I142" s="63">
        <f t="shared" si="41"/>
        <v>4097292.7180000003</v>
      </c>
      <c r="J142" s="7"/>
    </row>
    <row r="143" spans="1:10" x14ac:dyDescent="0.35">
      <c r="A143" s="66" t="s">
        <v>256</v>
      </c>
      <c r="B143" s="15" t="str">
        <f t="shared" ref="B143:I143" si="42">B1</f>
        <v>Operating</v>
      </c>
      <c r="C143" s="15" t="str">
        <f t="shared" si="42"/>
        <v>SPED</v>
      </c>
      <c r="D143" s="15" t="str">
        <f t="shared" si="42"/>
        <v>NSLP</v>
      </c>
      <c r="E143" s="15" t="str">
        <f t="shared" si="42"/>
        <v>Other</v>
      </c>
      <c r="F143" s="15" t="str">
        <f t="shared" si="42"/>
        <v>Title I</v>
      </c>
      <c r="G143" s="15" t="str">
        <f t="shared" si="42"/>
        <v>Title II</v>
      </c>
      <c r="H143" s="15" t="str">
        <f t="shared" si="42"/>
        <v>Title III</v>
      </c>
      <c r="I143" s="15" t="str">
        <f t="shared" si="42"/>
        <v>B&amp;G</v>
      </c>
      <c r="J143" s="7"/>
    </row>
    <row r="144" spans="1:10" x14ac:dyDescent="0.35">
      <c r="A144" s="67" t="s">
        <v>111</v>
      </c>
      <c r="B144" s="5">
        <f>(215*B17)</f>
        <v>107070</v>
      </c>
      <c r="C144" s="10"/>
      <c r="D144" s="10"/>
      <c r="E144" s="10"/>
      <c r="F144" s="10"/>
      <c r="G144" s="10"/>
      <c r="H144" s="10"/>
      <c r="I144" s="5">
        <f t="shared" ref="I144:I152" si="43">SUM(B144:H144)</f>
        <v>107070</v>
      </c>
      <c r="J144" s="11" t="s">
        <v>512</v>
      </c>
    </row>
    <row r="145" spans="1:10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43"/>
        <v>0</v>
      </c>
      <c r="J145" s="11"/>
    </row>
    <row r="146" spans="1:10" x14ac:dyDescent="0.35">
      <c r="A146" s="26" t="s">
        <v>113</v>
      </c>
      <c r="B146" s="10">
        <v>0</v>
      </c>
      <c r="C146" s="10"/>
      <c r="D146" s="10"/>
      <c r="E146" s="10"/>
      <c r="F146" s="10"/>
      <c r="G146" s="10"/>
      <c r="H146" s="10"/>
      <c r="I146" s="5">
        <f t="shared" si="43"/>
        <v>0</v>
      </c>
      <c r="J146" s="11"/>
    </row>
    <row r="147" spans="1:10" x14ac:dyDescent="0.35">
      <c r="A147" s="26" t="s">
        <v>114</v>
      </c>
      <c r="B147" s="5">
        <f>30*B17</f>
        <v>14940</v>
      </c>
      <c r="C147" s="10"/>
      <c r="D147" s="10">
        <v>3500</v>
      </c>
      <c r="E147" s="10"/>
      <c r="F147" s="10"/>
      <c r="G147" s="10"/>
      <c r="H147" s="10"/>
      <c r="I147" s="5">
        <f t="shared" si="43"/>
        <v>18440</v>
      </c>
      <c r="J147" s="11" t="s">
        <v>303</v>
      </c>
    </row>
    <row r="148" spans="1:10" x14ac:dyDescent="0.35">
      <c r="A148" s="26" t="s">
        <v>115</v>
      </c>
      <c r="B148" s="5">
        <f>50*B17</f>
        <v>24900</v>
      </c>
      <c r="C148" s="10"/>
      <c r="D148" s="10"/>
      <c r="E148" s="10"/>
      <c r="F148" s="10"/>
      <c r="G148" s="10"/>
      <c r="H148" s="10"/>
      <c r="I148" s="5">
        <f t="shared" si="43"/>
        <v>24900</v>
      </c>
      <c r="J148" s="11" t="s">
        <v>465</v>
      </c>
    </row>
    <row r="149" spans="1:10" x14ac:dyDescent="0.35">
      <c r="A149" s="26" t="s">
        <v>116</v>
      </c>
      <c r="B149" s="5">
        <f>25*B17</f>
        <v>12450</v>
      </c>
      <c r="C149" s="10"/>
      <c r="D149" s="10"/>
      <c r="E149" s="10"/>
      <c r="F149" s="10"/>
      <c r="G149" s="10"/>
      <c r="H149" s="10"/>
      <c r="I149" s="5">
        <f t="shared" si="43"/>
        <v>12450</v>
      </c>
      <c r="J149" s="11" t="s">
        <v>466</v>
      </c>
    </row>
    <row r="150" spans="1:10" x14ac:dyDescent="0.35">
      <c r="A150" s="26" t="s">
        <v>117</v>
      </c>
      <c r="B150" s="5">
        <f>10*B17</f>
        <v>4980</v>
      </c>
      <c r="C150" s="10"/>
      <c r="D150" s="10"/>
      <c r="E150" s="10"/>
      <c r="F150" s="10"/>
      <c r="G150" s="10"/>
      <c r="H150" s="10"/>
      <c r="I150" s="5">
        <f t="shared" si="43"/>
        <v>4980</v>
      </c>
      <c r="J150" s="11" t="s">
        <v>467</v>
      </c>
    </row>
    <row r="151" spans="1:10" x14ac:dyDescent="0.35">
      <c r="A151" s="26" t="s">
        <v>118</v>
      </c>
      <c r="B151" s="5">
        <f>129*B20</f>
        <v>0</v>
      </c>
      <c r="C151" s="10">
        <f>150*(C20)</f>
        <v>11400</v>
      </c>
      <c r="D151" s="10"/>
      <c r="E151" s="10"/>
      <c r="F151" s="10"/>
      <c r="G151" s="10"/>
      <c r="H151" s="10"/>
      <c r="I151" s="5">
        <f t="shared" si="43"/>
        <v>11400</v>
      </c>
      <c r="J151" s="11" t="s">
        <v>304</v>
      </c>
    </row>
    <row r="152" spans="1:10" x14ac:dyDescent="0.35">
      <c r="A152" s="69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43"/>
        <v>0</v>
      </c>
      <c r="J152" s="11"/>
    </row>
    <row r="153" spans="1:10" x14ac:dyDescent="0.35">
      <c r="A153" s="26" t="s">
        <v>161</v>
      </c>
      <c r="B153" s="73">
        <f>45*B17</f>
        <v>22410</v>
      </c>
      <c r="C153" s="5"/>
      <c r="D153" s="5"/>
      <c r="E153" s="5"/>
      <c r="F153" s="5"/>
      <c r="G153" s="5"/>
      <c r="H153" s="5"/>
      <c r="I153" s="5">
        <f>SUM(B153:H153)</f>
        <v>22410</v>
      </c>
      <c r="J153" s="11" t="s">
        <v>468</v>
      </c>
    </row>
    <row r="154" spans="1:10" x14ac:dyDescent="0.35">
      <c r="A154" s="62" t="s">
        <v>257</v>
      </c>
      <c r="B154" s="63">
        <f>SUM(B144:B153)</f>
        <v>186750</v>
      </c>
      <c r="C154" s="63">
        <f t="shared" ref="C154:I154" si="44">SUM(C144:C153)</f>
        <v>11400</v>
      </c>
      <c r="D154" s="63">
        <f t="shared" si="44"/>
        <v>3500</v>
      </c>
      <c r="E154" s="63">
        <f t="shared" si="44"/>
        <v>0</v>
      </c>
      <c r="F154" s="63">
        <f t="shared" si="44"/>
        <v>0</v>
      </c>
      <c r="G154" s="63">
        <f t="shared" si="44"/>
        <v>0</v>
      </c>
      <c r="H154" s="63">
        <f t="shared" si="44"/>
        <v>0</v>
      </c>
      <c r="I154" s="63">
        <f t="shared" si="44"/>
        <v>201650</v>
      </c>
      <c r="J154" s="7"/>
    </row>
    <row r="155" spans="1:10" x14ac:dyDescent="0.35">
      <c r="A155" s="66" t="s">
        <v>120</v>
      </c>
      <c r="B155" s="15" t="str">
        <f t="shared" ref="B155:I155" si="45">B1</f>
        <v>Operating</v>
      </c>
      <c r="C155" s="15" t="str">
        <f t="shared" si="45"/>
        <v>SPED</v>
      </c>
      <c r="D155" s="15" t="str">
        <f t="shared" si="45"/>
        <v>NSLP</v>
      </c>
      <c r="E155" s="15" t="str">
        <f t="shared" si="45"/>
        <v>Other</v>
      </c>
      <c r="F155" s="15" t="str">
        <f t="shared" si="45"/>
        <v>Title I</v>
      </c>
      <c r="G155" s="15" t="str">
        <f t="shared" si="45"/>
        <v>Title II</v>
      </c>
      <c r="H155" s="15" t="str">
        <f t="shared" si="45"/>
        <v>Title III</v>
      </c>
      <c r="I155" s="15" t="str">
        <f t="shared" si="45"/>
        <v>B&amp;G</v>
      </c>
      <c r="J155" s="7"/>
    </row>
    <row r="156" spans="1:10" x14ac:dyDescent="0.35">
      <c r="A156" s="26" t="s">
        <v>469</v>
      </c>
      <c r="B156" s="10">
        <f>(12600+3000)*1.03</f>
        <v>16068</v>
      </c>
      <c r="C156" s="10"/>
      <c r="D156" s="10"/>
      <c r="E156" s="10"/>
      <c r="F156" s="10"/>
      <c r="G156" s="10"/>
      <c r="H156" s="10"/>
      <c r="I156" s="5">
        <f t="shared" ref="I156:I169" si="46">SUM(B156:H156)</f>
        <v>16068</v>
      </c>
      <c r="J156" s="11"/>
    </row>
    <row r="157" spans="1:10" x14ac:dyDescent="0.35">
      <c r="A157" s="26" t="s">
        <v>121</v>
      </c>
      <c r="B157" s="10">
        <v>0</v>
      </c>
      <c r="C157" s="5">
        <f>115*B17</f>
        <v>57270</v>
      </c>
      <c r="D157" s="5"/>
      <c r="E157" s="5"/>
      <c r="F157" s="5"/>
      <c r="G157" s="5"/>
      <c r="H157" s="5"/>
      <c r="I157" s="5">
        <f t="shared" si="46"/>
        <v>57270</v>
      </c>
      <c r="J157" s="11" t="s">
        <v>320</v>
      </c>
    </row>
    <row r="158" spans="1:10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46"/>
        <v>0</v>
      </c>
      <c r="J158" s="11"/>
    </row>
    <row r="159" spans="1:10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46"/>
        <v>0</v>
      </c>
      <c r="J159" s="11"/>
    </row>
    <row r="160" spans="1:10" x14ac:dyDescent="0.35">
      <c r="A160" s="26" t="s">
        <v>122</v>
      </c>
      <c r="B160" s="10">
        <f>495*B17</f>
        <v>246510</v>
      </c>
      <c r="C160" s="5"/>
      <c r="D160" s="5"/>
      <c r="E160" s="5"/>
      <c r="F160" s="5"/>
      <c r="G160" s="5"/>
      <c r="H160" s="5"/>
      <c r="I160" s="5">
        <f t="shared" si="46"/>
        <v>246510</v>
      </c>
      <c r="J160" s="11" t="s">
        <v>460</v>
      </c>
    </row>
    <row r="161" spans="1:10" x14ac:dyDescent="0.35">
      <c r="A161" s="26" t="s">
        <v>123</v>
      </c>
      <c r="B161" s="10">
        <f>(250*B65)+7000</f>
        <v>16125</v>
      </c>
      <c r="C161" s="10">
        <f>(245*C65)+1000</f>
        <v>2715</v>
      </c>
      <c r="D161" s="10">
        <f>(245*D65)+200</f>
        <v>690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46"/>
        <v>19530</v>
      </c>
      <c r="J161" s="11" t="s">
        <v>461</v>
      </c>
    </row>
    <row r="162" spans="1:10" x14ac:dyDescent="0.35">
      <c r="A162" s="26" t="s">
        <v>124</v>
      </c>
      <c r="B162" s="10">
        <v>65000</v>
      </c>
      <c r="C162" s="5"/>
      <c r="D162" s="5"/>
      <c r="E162" s="5"/>
      <c r="F162" s="5"/>
      <c r="G162" s="5"/>
      <c r="H162" s="5"/>
      <c r="I162" s="5">
        <f t="shared" si="46"/>
        <v>65000</v>
      </c>
      <c r="J162" s="11"/>
    </row>
    <row r="163" spans="1:10" x14ac:dyDescent="0.35">
      <c r="A163" s="26" t="s">
        <v>125</v>
      </c>
      <c r="B163" s="10">
        <v>6500</v>
      </c>
      <c r="C163" s="5"/>
      <c r="D163" s="5"/>
      <c r="E163" s="5"/>
      <c r="F163" s="5"/>
      <c r="G163" s="5"/>
      <c r="H163" s="5"/>
      <c r="I163" s="5">
        <f t="shared" si="46"/>
        <v>6500</v>
      </c>
      <c r="J163" s="11"/>
    </row>
    <row r="164" spans="1:10" x14ac:dyDescent="0.35">
      <c r="A164" s="26" t="s">
        <v>126</v>
      </c>
      <c r="B164" s="10">
        <f>50*B17+(60*12)</f>
        <v>25620</v>
      </c>
      <c r="C164" s="5"/>
      <c r="D164" s="5"/>
      <c r="E164" s="5"/>
      <c r="F164" s="5"/>
      <c r="G164" s="5"/>
      <c r="H164" s="5"/>
      <c r="I164" s="5">
        <f t="shared" si="46"/>
        <v>25620</v>
      </c>
      <c r="J164" s="11" t="s">
        <v>462</v>
      </c>
    </row>
    <row r="165" spans="1:10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46"/>
        <v>18000</v>
      </c>
      <c r="J165" s="11"/>
    </row>
    <row r="166" spans="1:10" x14ac:dyDescent="0.35">
      <c r="A166" s="26" t="s">
        <v>128</v>
      </c>
      <c r="B166" s="10">
        <f>B74*0.0125</f>
        <v>58602.15</v>
      </c>
      <c r="C166" s="5"/>
      <c r="D166" s="5"/>
      <c r="E166" s="5"/>
      <c r="F166" s="5"/>
      <c r="G166" s="5"/>
      <c r="H166" s="5"/>
      <c r="I166" s="5">
        <f t="shared" si="46"/>
        <v>58602.15</v>
      </c>
      <c r="J166" s="70">
        <v>1.2500000000000001E-2</v>
      </c>
    </row>
    <row r="167" spans="1:10" x14ac:dyDescent="0.35">
      <c r="A167" s="26" t="s">
        <v>129</v>
      </c>
      <c r="B167" s="10">
        <f>B74*0.005</f>
        <v>23440.86</v>
      </c>
      <c r="C167" s="5"/>
      <c r="D167" s="5"/>
      <c r="E167" s="5"/>
      <c r="F167" s="5"/>
      <c r="G167" s="5"/>
      <c r="H167" s="5"/>
      <c r="I167" s="5">
        <f t="shared" si="46"/>
        <v>23440.86</v>
      </c>
      <c r="J167" s="70" t="s">
        <v>130</v>
      </c>
    </row>
    <row r="168" spans="1:10" x14ac:dyDescent="0.35">
      <c r="A168" s="26" t="s">
        <v>131</v>
      </c>
      <c r="B168" s="10">
        <f>B74*0.005</f>
        <v>23440.86</v>
      </c>
      <c r="C168" s="5"/>
      <c r="D168" s="5"/>
      <c r="E168" s="5"/>
      <c r="F168" s="5"/>
      <c r="G168" s="5"/>
      <c r="H168" s="5"/>
      <c r="I168" s="5">
        <f t="shared" si="46"/>
        <v>23440.86</v>
      </c>
      <c r="J168" s="70" t="s">
        <v>130</v>
      </c>
    </row>
    <row r="169" spans="1:10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46"/>
        <v>0</v>
      </c>
      <c r="J169" s="70"/>
    </row>
    <row r="170" spans="1:10" x14ac:dyDescent="0.35">
      <c r="A170" s="62" t="s">
        <v>133</v>
      </c>
      <c r="B170" s="63">
        <f>SUM(B156:B169)</f>
        <v>499306.87</v>
      </c>
      <c r="C170" s="63">
        <f t="shared" ref="C170:H170" si="47">SUM(C156:C169)</f>
        <v>59985</v>
      </c>
      <c r="D170" s="63">
        <f t="shared" si="47"/>
        <v>690</v>
      </c>
      <c r="E170" s="63">
        <f t="shared" si="47"/>
        <v>0</v>
      </c>
      <c r="F170" s="63">
        <f t="shared" si="47"/>
        <v>0</v>
      </c>
      <c r="G170" s="63">
        <f t="shared" si="47"/>
        <v>0</v>
      </c>
      <c r="H170" s="63">
        <f t="shared" si="47"/>
        <v>0</v>
      </c>
      <c r="I170" s="63">
        <f>SUM(I156:I169)</f>
        <v>559981.87</v>
      </c>
      <c r="J170" s="7"/>
    </row>
    <row r="171" spans="1:10" x14ac:dyDescent="0.35">
      <c r="A171" s="66" t="s">
        <v>134</v>
      </c>
      <c r="B171" s="15" t="str">
        <f t="shared" ref="B171:I171" si="48">B1</f>
        <v>Operating</v>
      </c>
      <c r="C171" s="15" t="str">
        <f t="shared" si="48"/>
        <v>SPED</v>
      </c>
      <c r="D171" s="15" t="str">
        <f t="shared" si="48"/>
        <v>NSLP</v>
      </c>
      <c r="E171" s="15" t="str">
        <f t="shared" si="48"/>
        <v>Other</v>
      </c>
      <c r="F171" s="15" t="str">
        <f t="shared" si="48"/>
        <v>Title I</v>
      </c>
      <c r="G171" s="15" t="str">
        <f t="shared" si="48"/>
        <v>Title II</v>
      </c>
      <c r="H171" s="15" t="str">
        <f t="shared" si="48"/>
        <v>Title III</v>
      </c>
      <c r="I171" s="15" t="str">
        <f t="shared" si="48"/>
        <v>B&amp;G</v>
      </c>
      <c r="J171" s="7"/>
    </row>
    <row r="172" spans="1:10" x14ac:dyDescent="0.35">
      <c r="A172" s="71" t="s">
        <v>135</v>
      </c>
      <c r="B172" s="72">
        <f>(200*12)*1.03</f>
        <v>2472</v>
      </c>
      <c r="C172" s="5"/>
      <c r="D172" s="5"/>
      <c r="E172" s="5"/>
      <c r="F172" s="5"/>
      <c r="G172" s="5"/>
      <c r="H172" s="5"/>
      <c r="I172" s="5">
        <f t="shared" ref="I172:I178" si="49">SUM(B172:H172)</f>
        <v>2472</v>
      </c>
      <c r="J172" s="11" t="s">
        <v>286</v>
      </c>
    </row>
    <row r="173" spans="1:10" x14ac:dyDescent="0.35">
      <c r="A173" s="26" t="s">
        <v>136</v>
      </c>
      <c r="B173" s="72">
        <f>(1400*12)*1.03</f>
        <v>17304</v>
      </c>
      <c r="C173" s="5"/>
      <c r="D173" s="5"/>
      <c r="E173" s="5"/>
      <c r="F173" s="5"/>
      <c r="G173" s="5"/>
      <c r="H173" s="5"/>
      <c r="I173" s="5">
        <f t="shared" si="49"/>
        <v>17304</v>
      </c>
      <c r="J173" s="11" t="s">
        <v>287</v>
      </c>
    </row>
    <row r="174" spans="1:10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49"/>
        <v>0</v>
      </c>
      <c r="J174" s="11"/>
    </row>
    <row r="175" spans="1:10" x14ac:dyDescent="0.35">
      <c r="A175" s="26" t="s">
        <v>138</v>
      </c>
      <c r="B175" s="73">
        <v>1100</v>
      </c>
      <c r="C175" s="5"/>
      <c r="D175" s="5"/>
      <c r="E175" s="5"/>
      <c r="F175" s="5"/>
      <c r="G175" s="5"/>
      <c r="H175" s="5"/>
      <c r="I175" s="5">
        <f t="shared" si="49"/>
        <v>1100</v>
      </c>
      <c r="J175" s="11"/>
    </row>
    <row r="176" spans="1:10" x14ac:dyDescent="0.35">
      <c r="A176" s="26" t="s">
        <v>139</v>
      </c>
      <c r="B176" s="73">
        <f>5500*1.03</f>
        <v>5665</v>
      </c>
      <c r="C176" s="5"/>
      <c r="D176" s="5"/>
      <c r="E176" s="5"/>
      <c r="F176" s="5"/>
      <c r="G176" s="5"/>
      <c r="H176" s="5"/>
      <c r="I176" s="5">
        <f t="shared" si="49"/>
        <v>5665</v>
      </c>
      <c r="J176" s="11"/>
    </row>
    <row r="177" spans="1:10" x14ac:dyDescent="0.35">
      <c r="A177" s="26" t="s">
        <v>140</v>
      </c>
      <c r="B177" s="72">
        <f>30000*1.03</f>
        <v>30900</v>
      </c>
      <c r="C177" s="5"/>
      <c r="D177" s="5"/>
      <c r="E177" s="5"/>
      <c r="F177" s="5"/>
      <c r="G177" s="5"/>
      <c r="H177" s="5"/>
      <c r="I177" s="5">
        <f t="shared" si="49"/>
        <v>30900</v>
      </c>
      <c r="J177" s="11"/>
    </row>
    <row r="178" spans="1:10" x14ac:dyDescent="0.35">
      <c r="A178" s="69" t="s">
        <v>141</v>
      </c>
      <c r="B178" s="30">
        <f>((2.5*B17)+4250)*1.02</f>
        <v>5604.9000000000005</v>
      </c>
      <c r="C178" s="5"/>
      <c r="D178" s="5"/>
      <c r="E178" s="5"/>
      <c r="F178" s="5"/>
      <c r="G178" s="5"/>
      <c r="H178" s="5"/>
      <c r="I178" s="5">
        <f t="shared" si="49"/>
        <v>5604.9000000000005</v>
      </c>
      <c r="J178" s="11"/>
    </row>
    <row r="179" spans="1:10" x14ac:dyDescent="0.35">
      <c r="A179" s="71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 t="s">
        <v>143</v>
      </c>
    </row>
    <row r="180" spans="1:10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</row>
    <row r="181" spans="1:10" x14ac:dyDescent="0.35">
      <c r="A181" s="69" t="s">
        <v>145</v>
      </c>
      <c r="B181" s="73">
        <f>26750*1.1</f>
        <v>29425.000000000004</v>
      </c>
      <c r="C181" s="5"/>
      <c r="D181" s="5"/>
      <c r="E181" s="5"/>
      <c r="F181" s="5"/>
      <c r="G181" s="5"/>
      <c r="H181" s="5"/>
      <c r="I181" s="5">
        <f>SUM(B181:H181)</f>
        <v>29425.000000000004</v>
      </c>
      <c r="J181" s="11"/>
    </row>
    <row r="182" spans="1:10" x14ac:dyDescent="0.35">
      <c r="A182" s="71" t="s">
        <v>146</v>
      </c>
      <c r="B182" s="5"/>
      <c r="C182" s="5"/>
      <c r="D182" s="5">
        <f>((B17*0.95)*2.15*180)</f>
        <v>183089.69999999998</v>
      </c>
      <c r="E182" s="5"/>
      <c r="F182" s="5"/>
      <c r="G182" s="5"/>
      <c r="H182" s="5"/>
      <c r="I182" s="5">
        <f t="shared" ref="I182:I190" si="50">SUM(B182:H182)</f>
        <v>183089.69999999998</v>
      </c>
      <c r="J182" s="52">
        <v>2.15</v>
      </c>
    </row>
    <row r="183" spans="1:10" x14ac:dyDescent="0.35">
      <c r="A183" s="26" t="s">
        <v>147</v>
      </c>
      <c r="B183" s="5"/>
      <c r="C183" s="5"/>
      <c r="D183" s="5">
        <f>((B17*0.95)*3.35*180)</f>
        <v>285279.3</v>
      </c>
      <c r="E183" s="5"/>
      <c r="F183" s="5"/>
      <c r="G183" s="5"/>
      <c r="H183" s="5"/>
      <c r="I183" s="5">
        <f t="shared" si="50"/>
        <v>285279.3</v>
      </c>
      <c r="J183" s="52">
        <v>2.35</v>
      </c>
    </row>
    <row r="184" spans="1:10" x14ac:dyDescent="0.35">
      <c r="A184" s="26" t="s">
        <v>148</v>
      </c>
      <c r="B184" s="5">
        <v>6000</v>
      </c>
      <c r="C184" s="5"/>
      <c r="D184" s="5"/>
      <c r="E184" s="5"/>
      <c r="F184" s="5"/>
      <c r="G184" s="5"/>
      <c r="H184" s="5"/>
      <c r="I184" s="5">
        <f t="shared" si="50"/>
        <v>6000</v>
      </c>
      <c r="J184" s="11"/>
    </row>
    <row r="185" spans="1:10" x14ac:dyDescent="0.35">
      <c r="A185" s="26" t="s">
        <v>149</v>
      </c>
      <c r="B185" s="5">
        <v>1550</v>
      </c>
      <c r="C185" s="5"/>
      <c r="D185" s="5"/>
      <c r="E185" s="5"/>
      <c r="F185" s="5"/>
      <c r="G185" s="5"/>
      <c r="H185" s="5"/>
      <c r="I185" s="5">
        <f t="shared" si="50"/>
        <v>1550</v>
      </c>
      <c r="J185" s="11"/>
    </row>
    <row r="186" spans="1:10" x14ac:dyDescent="0.35">
      <c r="A186" s="26" t="s">
        <v>150</v>
      </c>
      <c r="B186" s="5">
        <v>1550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50"/>
        <v>1550</v>
      </c>
      <c r="J186" s="11"/>
    </row>
    <row r="187" spans="1:10" x14ac:dyDescent="0.35">
      <c r="A187" s="26" t="s">
        <v>151</v>
      </c>
      <c r="B187" s="10">
        <f>(5*B17)+1200+1350+500</f>
        <v>5540</v>
      </c>
      <c r="C187" s="5"/>
      <c r="D187" s="5"/>
      <c r="E187" s="5"/>
      <c r="F187" s="5"/>
      <c r="G187" s="5"/>
      <c r="H187" s="5"/>
      <c r="I187" s="5">
        <f t="shared" si="50"/>
        <v>5540</v>
      </c>
      <c r="J187" s="11" t="s">
        <v>288</v>
      </c>
    </row>
    <row r="188" spans="1:10" hidden="1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50"/>
        <v>0</v>
      </c>
      <c r="J188" s="11"/>
    </row>
    <row r="189" spans="1:10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50"/>
        <v>0</v>
      </c>
      <c r="J189" s="11"/>
    </row>
    <row r="190" spans="1:10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50"/>
        <v>0</v>
      </c>
      <c r="J190" s="11"/>
    </row>
    <row r="191" spans="1:10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</row>
    <row r="192" spans="1:10" x14ac:dyDescent="0.35">
      <c r="A192" s="26" t="s">
        <v>254</v>
      </c>
      <c r="B192" s="10"/>
      <c r="C192" s="5"/>
      <c r="D192" s="5"/>
      <c r="E192" s="5"/>
      <c r="F192" s="5"/>
      <c r="G192" s="5"/>
      <c r="H192" s="5"/>
      <c r="I192" s="5">
        <f t="shared" ref="I192:I195" si="51">SUM(B192:H192)</f>
        <v>0</v>
      </c>
      <c r="J192" s="11"/>
    </row>
    <row r="193" spans="1:10" x14ac:dyDescent="0.35">
      <c r="A193" s="26" t="s">
        <v>255</v>
      </c>
      <c r="B193" s="10"/>
      <c r="C193" s="5"/>
      <c r="D193" s="5"/>
      <c r="E193" s="5"/>
      <c r="F193" s="5"/>
      <c r="G193" s="5"/>
      <c r="H193" s="5"/>
      <c r="I193" s="5">
        <f t="shared" si="51"/>
        <v>0</v>
      </c>
      <c r="J193" s="11"/>
    </row>
    <row r="194" spans="1:10" x14ac:dyDescent="0.35">
      <c r="A194" s="26" t="s">
        <v>275</v>
      </c>
      <c r="B194" s="10">
        <v>10500</v>
      </c>
      <c r="C194" s="5"/>
      <c r="D194" s="5"/>
      <c r="E194" s="5"/>
      <c r="F194" s="5"/>
      <c r="G194" s="5"/>
      <c r="H194" s="5"/>
      <c r="I194" s="5">
        <f t="shared" si="51"/>
        <v>10500</v>
      </c>
      <c r="J194" s="11"/>
    </row>
    <row r="195" spans="1:10" x14ac:dyDescent="0.35">
      <c r="A195" s="69" t="s">
        <v>470</v>
      </c>
      <c r="B195" s="5">
        <f>((B74)*0.045)</f>
        <v>210967.74</v>
      </c>
      <c r="C195" s="5"/>
      <c r="D195" s="5"/>
      <c r="E195" s="5"/>
      <c r="F195" s="5"/>
      <c r="G195" s="5"/>
      <c r="H195" s="5"/>
      <c r="I195" s="5">
        <f t="shared" si="51"/>
        <v>210967.74</v>
      </c>
      <c r="J195" s="48" t="s">
        <v>463</v>
      </c>
    </row>
    <row r="196" spans="1:10" x14ac:dyDescent="0.35">
      <c r="A196" s="62" t="s">
        <v>182</v>
      </c>
      <c r="B196" s="63">
        <f>SUM(B172:B195)</f>
        <v>328578.64</v>
      </c>
      <c r="C196" s="63">
        <f t="shared" ref="C196:I196" si="52">SUM(C172:C195)</f>
        <v>0</v>
      </c>
      <c r="D196" s="63">
        <f t="shared" si="52"/>
        <v>468369</v>
      </c>
      <c r="E196" s="63">
        <f t="shared" si="52"/>
        <v>0</v>
      </c>
      <c r="F196" s="63">
        <f t="shared" si="52"/>
        <v>0</v>
      </c>
      <c r="G196" s="63">
        <f t="shared" si="52"/>
        <v>0</v>
      </c>
      <c r="H196" s="63">
        <f t="shared" si="52"/>
        <v>0</v>
      </c>
      <c r="I196" s="63">
        <f t="shared" si="52"/>
        <v>796947.6399999999</v>
      </c>
      <c r="J196" s="7"/>
    </row>
    <row r="197" spans="1:10" x14ac:dyDescent="0.35">
      <c r="A197" s="66" t="s">
        <v>154</v>
      </c>
      <c r="B197" s="15" t="str">
        <f t="shared" ref="B197:I197" si="53">B1</f>
        <v>Operating</v>
      </c>
      <c r="C197" s="15" t="str">
        <f t="shared" si="53"/>
        <v>SPED</v>
      </c>
      <c r="D197" s="15" t="str">
        <f t="shared" si="53"/>
        <v>NSLP</v>
      </c>
      <c r="E197" s="15" t="str">
        <f t="shared" si="53"/>
        <v>Other</v>
      </c>
      <c r="F197" s="15" t="str">
        <f t="shared" si="53"/>
        <v>Title I</v>
      </c>
      <c r="G197" s="15" t="str">
        <f t="shared" si="53"/>
        <v>Title II</v>
      </c>
      <c r="H197" s="15" t="str">
        <f t="shared" si="53"/>
        <v>Title III</v>
      </c>
      <c r="I197" s="15" t="str">
        <f t="shared" si="53"/>
        <v>B&amp;G</v>
      </c>
      <c r="J197" s="7"/>
    </row>
    <row r="198" spans="1:10" x14ac:dyDescent="0.35">
      <c r="A198" s="71" t="s">
        <v>155</v>
      </c>
      <c r="B198" s="120">
        <f>30000*1.05</f>
        <v>31500</v>
      </c>
      <c r="C198" s="5"/>
      <c r="D198" s="5"/>
      <c r="E198" s="5"/>
      <c r="F198" s="5"/>
      <c r="G198" s="5"/>
      <c r="H198" s="5"/>
      <c r="I198" s="5">
        <f t="shared" ref="I198:I207" si="54">SUM(B198:H198)</f>
        <v>31500</v>
      </c>
      <c r="J198" s="6"/>
    </row>
    <row r="199" spans="1:10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54"/>
        <v>0</v>
      </c>
      <c r="J199" s="11"/>
    </row>
    <row r="200" spans="1:10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54"/>
        <v>0</v>
      </c>
      <c r="J200" s="11"/>
    </row>
    <row r="201" spans="1:10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54"/>
        <v>0</v>
      </c>
      <c r="J201" s="11"/>
    </row>
    <row r="202" spans="1:10" x14ac:dyDescent="0.35">
      <c r="A202" s="26" t="s">
        <v>159</v>
      </c>
      <c r="B202" s="73">
        <v>5500</v>
      </c>
      <c r="C202" s="5"/>
      <c r="D202" s="5"/>
      <c r="E202" s="5"/>
      <c r="F202" s="5"/>
      <c r="G202" s="5"/>
      <c r="H202" s="5"/>
      <c r="I202" s="5">
        <f t="shared" si="54"/>
        <v>5500</v>
      </c>
      <c r="J202" s="11"/>
    </row>
    <row r="203" spans="1:10" x14ac:dyDescent="0.35">
      <c r="A203" s="26" t="s">
        <v>160</v>
      </c>
      <c r="B203" s="72">
        <f>(2915*13)*1.05</f>
        <v>39789.75</v>
      </c>
      <c r="C203" s="5"/>
      <c r="D203" s="5"/>
      <c r="E203" s="5"/>
      <c r="F203" s="5"/>
      <c r="G203" s="5"/>
      <c r="H203" s="5"/>
      <c r="I203" s="5">
        <f t="shared" si="54"/>
        <v>39789.75</v>
      </c>
      <c r="J203" s="11"/>
    </row>
    <row r="204" spans="1:10" x14ac:dyDescent="0.35">
      <c r="A204" s="26" t="s">
        <v>162</v>
      </c>
      <c r="B204" s="10">
        <v>51000</v>
      </c>
      <c r="C204" s="5"/>
      <c r="D204" s="5"/>
      <c r="E204" s="5"/>
      <c r="F204" s="5"/>
      <c r="G204" s="5"/>
      <c r="H204" s="5"/>
      <c r="I204" s="5">
        <f t="shared" si="54"/>
        <v>51000</v>
      </c>
      <c r="J204" s="11"/>
    </row>
    <row r="205" spans="1:10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54"/>
        <v>0</v>
      </c>
      <c r="J205" s="11"/>
    </row>
    <row r="206" spans="1:10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54"/>
        <v>0</v>
      </c>
      <c r="J206" s="11"/>
    </row>
    <row r="207" spans="1:10" x14ac:dyDescent="0.35">
      <c r="A207" s="69" t="s">
        <v>165</v>
      </c>
      <c r="B207" s="10"/>
      <c r="C207" s="5"/>
      <c r="D207" s="5"/>
      <c r="E207" s="5"/>
      <c r="F207" s="5"/>
      <c r="G207" s="5"/>
      <c r="H207" s="5"/>
      <c r="I207" s="5">
        <f t="shared" si="54"/>
        <v>0</v>
      </c>
      <c r="J207" s="11"/>
    </row>
    <row r="208" spans="1:10" x14ac:dyDescent="0.35">
      <c r="A208" s="62" t="s">
        <v>183</v>
      </c>
      <c r="B208" s="63">
        <f t="shared" ref="B208:I208" si="55">SUM(B198:B207)</f>
        <v>127789.75</v>
      </c>
      <c r="C208" s="63">
        <f t="shared" si="55"/>
        <v>0</v>
      </c>
      <c r="D208" s="63">
        <f t="shared" si="55"/>
        <v>0</v>
      </c>
      <c r="E208" s="63">
        <f t="shared" si="55"/>
        <v>0</v>
      </c>
      <c r="F208" s="63">
        <f t="shared" si="55"/>
        <v>0</v>
      </c>
      <c r="G208" s="63">
        <f t="shared" si="55"/>
        <v>0</v>
      </c>
      <c r="H208" s="63">
        <f t="shared" si="55"/>
        <v>0</v>
      </c>
      <c r="I208" s="63">
        <f t="shared" si="55"/>
        <v>127789.75</v>
      </c>
      <c r="J208" s="7"/>
    </row>
    <row r="209" spans="1:10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</row>
    <row r="210" spans="1:10" x14ac:dyDescent="0.35">
      <c r="A210" s="62" t="s">
        <v>166</v>
      </c>
      <c r="B210" s="63">
        <f>B142+B154+B170+B196+B208</f>
        <v>4591502.3780000005</v>
      </c>
      <c r="C210" s="63">
        <f t="shared" ref="C210:H210" si="56">C142+C154+C170+C196+C208</f>
        <v>634868.80000000005</v>
      </c>
      <c r="D210" s="63">
        <f t="shared" si="56"/>
        <v>557290.80000000005</v>
      </c>
      <c r="E210" s="63">
        <f t="shared" si="56"/>
        <v>0</v>
      </c>
      <c r="F210" s="63">
        <f t="shared" si="56"/>
        <v>0</v>
      </c>
      <c r="G210" s="63">
        <f t="shared" si="56"/>
        <v>0</v>
      </c>
      <c r="H210" s="63">
        <f t="shared" si="56"/>
        <v>0</v>
      </c>
      <c r="I210" s="63">
        <f>I142+I154+I170+I196+I208</f>
        <v>5783661.9780000001</v>
      </c>
      <c r="J210" s="7"/>
    </row>
    <row r="211" spans="1:10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</row>
    <row r="212" spans="1:10" x14ac:dyDescent="0.35">
      <c r="A212" s="38" t="s">
        <v>167</v>
      </c>
      <c r="B212" s="9">
        <f>1160*B17</f>
        <v>577680</v>
      </c>
      <c r="C212" s="9"/>
      <c r="D212" s="9"/>
      <c r="E212" s="9"/>
      <c r="F212" s="9"/>
      <c r="G212" s="9"/>
      <c r="H212" s="9"/>
      <c r="I212" s="9">
        <f t="shared" ref="I212:I217" si="57">SUM(B212:H212)</f>
        <v>577680</v>
      </c>
      <c r="J212" s="11"/>
    </row>
    <row r="213" spans="1:10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57"/>
        <v>0</v>
      </c>
      <c r="J213" s="11"/>
    </row>
    <row r="214" spans="1:10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57"/>
        <v>0</v>
      </c>
      <c r="J214" s="119"/>
    </row>
    <row r="215" spans="1:10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57"/>
        <v>0</v>
      </c>
      <c r="J215" s="11"/>
    </row>
    <row r="216" spans="1:10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57"/>
        <v>0</v>
      </c>
      <c r="J216" s="11"/>
    </row>
    <row r="217" spans="1:10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si="57"/>
        <v>0</v>
      </c>
      <c r="J217" s="11"/>
    </row>
    <row r="218" spans="1:10" ht="15" thickBot="1" x14ac:dyDescent="0.4">
      <c r="A218" s="76" t="s">
        <v>168</v>
      </c>
      <c r="B218" s="77">
        <f t="shared" ref="B218:I218" si="58">B97-B210-B212-B213-B215-B214</f>
        <v>176037.62199999951</v>
      </c>
      <c r="C218" s="77">
        <f t="shared" si="58"/>
        <v>-220006.80000000005</v>
      </c>
      <c r="D218" s="77">
        <f t="shared" si="58"/>
        <v>49034.159999999916</v>
      </c>
      <c r="E218" s="77">
        <f t="shared" si="58"/>
        <v>0</v>
      </c>
      <c r="F218" s="77">
        <f t="shared" si="58"/>
        <v>0</v>
      </c>
      <c r="G218" s="77">
        <f t="shared" si="58"/>
        <v>0</v>
      </c>
      <c r="H218" s="77">
        <f t="shared" si="58"/>
        <v>0</v>
      </c>
      <c r="I218" s="77">
        <f t="shared" si="58"/>
        <v>5064.9819999998435</v>
      </c>
      <c r="J218" s="7"/>
    </row>
    <row r="219" spans="1:10" x14ac:dyDescent="0.35">
      <c r="A219" s="78"/>
      <c r="B219" s="79">
        <f t="shared" ref="B219:I219" si="59">B218/(B97)</f>
        <v>3.2933653245329382E-2</v>
      </c>
      <c r="C219" s="79">
        <f t="shared" si="59"/>
        <v>-0.53031321258635411</v>
      </c>
      <c r="D219" s="79">
        <f t="shared" si="59"/>
        <v>8.0871089324773826E-2</v>
      </c>
      <c r="E219" s="79" t="e">
        <f t="shared" si="59"/>
        <v>#DIV/0!</v>
      </c>
      <c r="F219" s="79" t="e">
        <f t="shared" si="59"/>
        <v>#DIV/0!</v>
      </c>
      <c r="G219" s="79" t="e">
        <f t="shared" si="59"/>
        <v>#DIV/0!</v>
      </c>
      <c r="H219" s="79" t="e">
        <f t="shared" si="59"/>
        <v>#DIV/0!</v>
      </c>
      <c r="I219" s="79">
        <f t="shared" si="59"/>
        <v>7.9557936396825054E-4</v>
      </c>
      <c r="J219" s="7"/>
    </row>
    <row r="220" spans="1:10" x14ac:dyDescent="0.35">
      <c r="B220" s="80"/>
      <c r="C220" s="80"/>
      <c r="D220" s="80"/>
      <c r="E220" s="80"/>
      <c r="F220" s="80"/>
      <c r="G220" s="80"/>
      <c r="H220" s="80"/>
      <c r="I220" s="80"/>
    </row>
    <row r="221" spans="1:10" x14ac:dyDescent="0.35">
      <c r="A221" s="1" t="str">
        <f t="shared" ref="A221:I221" si="60">A1</f>
        <v>Mater Academy of Northern Nevada (MANN) - FY25</v>
      </c>
      <c r="B221" s="1" t="str">
        <f t="shared" si="60"/>
        <v>Operating</v>
      </c>
      <c r="C221" s="1" t="str">
        <f t="shared" si="60"/>
        <v>SPED</v>
      </c>
      <c r="D221" s="1" t="str">
        <f t="shared" si="60"/>
        <v>NSLP</v>
      </c>
      <c r="E221" s="1" t="str">
        <f t="shared" si="60"/>
        <v>Other</v>
      </c>
      <c r="F221" s="1" t="str">
        <f t="shared" si="60"/>
        <v>Title I</v>
      </c>
      <c r="G221" s="1" t="str">
        <f t="shared" si="60"/>
        <v>Title II</v>
      </c>
      <c r="H221" s="1" t="str">
        <f t="shared" si="60"/>
        <v>Title III</v>
      </c>
      <c r="I221" s="1" t="str">
        <f t="shared" si="60"/>
        <v>B&amp;G</v>
      </c>
      <c r="J221" s="2"/>
    </row>
  </sheetData>
  <pageMargins left="0.7" right="0.7" top="0.75" bottom="0.75" header="0.3" footer="0.3"/>
  <pageSetup orientation="portrait" horizontalDpi="100" verticalDpi="1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zoomScale="75" zoomScaleNormal="75" workbookViewId="0">
      <pane xSplit="1" topLeftCell="B1" activePane="topRight" state="frozen"/>
      <selection activeCell="C185" sqref="C185"/>
      <selection pane="topRight" activeCell="J10" sqref="J10"/>
    </sheetView>
  </sheetViews>
  <sheetFormatPr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  <col min="12" max="15" width="15.6328125" style="81" customWidth="1"/>
    <col min="16" max="18" width="15.6328125" style="81" hidden="1" customWidth="1"/>
    <col min="19" max="19" width="15.6328125" style="81" customWidth="1"/>
    <col min="20" max="20" width="46" style="54" customWidth="1"/>
    <col min="22" max="25" width="15.6328125" style="81" customWidth="1"/>
    <col min="26" max="28" width="15.6328125" style="81" hidden="1" customWidth="1"/>
    <col min="29" max="29" width="15.6328125" style="81" customWidth="1"/>
  </cols>
  <sheetData>
    <row r="1" spans="1:29" x14ac:dyDescent="0.35">
      <c r="A1" s="1" t="s">
        <v>335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325</v>
      </c>
      <c r="J1" s="2"/>
      <c r="L1" s="1" t="s">
        <v>0</v>
      </c>
      <c r="M1" s="1" t="s">
        <v>1</v>
      </c>
      <c r="N1" s="1" t="s">
        <v>2</v>
      </c>
      <c r="O1" s="1" t="s">
        <v>277</v>
      </c>
      <c r="P1" s="1" t="s">
        <v>79</v>
      </c>
      <c r="Q1" s="1" t="s">
        <v>80</v>
      </c>
      <c r="R1" s="1" t="s">
        <v>81</v>
      </c>
      <c r="S1" s="1" t="s">
        <v>326</v>
      </c>
      <c r="T1" s="2"/>
      <c r="V1" s="1" t="s">
        <v>0</v>
      </c>
      <c r="W1" s="1" t="s">
        <v>1</v>
      </c>
      <c r="X1" s="1" t="s">
        <v>2</v>
      </c>
      <c r="Y1" s="1" t="s">
        <v>277</v>
      </c>
      <c r="Z1" s="1" t="s">
        <v>79</v>
      </c>
      <c r="AA1" s="1" t="s">
        <v>80</v>
      </c>
      <c r="AB1" s="1" t="s">
        <v>81</v>
      </c>
      <c r="AC1" s="1" t="s">
        <v>283</v>
      </c>
    </row>
    <row r="2" spans="1:29" x14ac:dyDescent="0.35">
      <c r="A2" s="4" t="s">
        <v>3</v>
      </c>
      <c r="B2" s="5">
        <v>9555</v>
      </c>
      <c r="C2" s="5"/>
      <c r="D2" s="5"/>
      <c r="E2" s="5"/>
      <c r="F2" s="5"/>
      <c r="G2" s="5"/>
      <c r="H2" s="5"/>
      <c r="I2" s="5">
        <f>SUM(B2:H2)</f>
        <v>9555</v>
      </c>
      <c r="J2" s="6"/>
      <c r="L2" s="5">
        <v>9555</v>
      </c>
      <c r="M2" s="5"/>
      <c r="N2" s="5"/>
      <c r="O2" s="5"/>
      <c r="P2" s="5"/>
      <c r="Q2" s="5"/>
      <c r="R2" s="5"/>
      <c r="S2" s="5">
        <f>SUM(L2:R2)</f>
        <v>9555</v>
      </c>
      <c r="T2" s="6"/>
      <c r="V2" s="5">
        <f>L2</f>
        <v>9555</v>
      </c>
      <c r="W2" s="5"/>
      <c r="X2" s="5"/>
      <c r="Y2" s="5"/>
      <c r="Z2" s="5"/>
      <c r="AA2" s="5"/>
      <c r="AB2" s="5"/>
      <c r="AC2" s="5">
        <f>SUM(V2:AB2)</f>
        <v>9555</v>
      </c>
    </row>
    <row r="3" spans="1:29" x14ac:dyDescent="0.35">
      <c r="A3" s="8" t="s">
        <v>4</v>
      </c>
      <c r="B3" s="9">
        <f t="shared" ref="B3" si="0">B4+B5+B6+B7+B8+B9+B10+B11+B12+B13+B14+B15+B16</f>
        <v>465</v>
      </c>
      <c r="C3" s="9"/>
      <c r="D3" s="9"/>
      <c r="E3" s="9"/>
      <c r="F3" s="9"/>
      <c r="G3" s="9"/>
      <c r="H3" s="9"/>
      <c r="I3" s="9">
        <f t="shared" ref="I3:I16" si="1">SUM(B3:H3)</f>
        <v>465</v>
      </c>
      <c r="J3" s="6"/>
      <c r="L3" s="9">
        <f t="shared" ref="L3" si="2">L4+L5+L6+L7+L8+L9+L10+L11+L12+L13+L14+L15+L16</f>
        <v>767</v>
      </c>
      <c r="M3" s="9"/>
      <c r="N3" s="9"/>
      <c r="O3" s="9"/>
      <c r="P3" s="9"/>
      <c r="Q3" s="9"/>
      <c r="R3" s="9"/>
      <c r="S3" s="9">
        <f t="shared" ref="S3:S16" si="3">SUM(L3:R3)</f>
        <v>767</v>
      </c>
      <c r="T3" s="6"/>
      <c r="V3" s="9">
        <f t="shared" ref="V3" si="4">V4+V5+V6+V7+V8+V9+V10+V11+V12+V13+V14+V15+V16</f>
        <v>1232</v>
      </c>
      <c r="W3" s="9"/>
      <c r="X3" s="9"/>
      <c r="Y3" s="9"/>
      <c r="Z3" s="9"/>
      <c r="AA3" s="9"/>
      <c r="AB3" s="9"/>
      <c r="AC3" s="9">
        <f t="shared" ref="AC3:AC16" si="5">SUM(V3:AB3)</f>
        <v>1232</v>
      </c>
    </row>
    <row r="4" spans="1:29" x14ac:dyDescent="0.35">
      <c r="A4" s="103" t="s">
        <v>5</v>
      </c>
      <c r="B4" s="5">
        <f>25*3</f>
        <v>75</v>
      </c>
      <c r="C4" s="10"/>
      <c r="D4" s="10"/>
      <c r="E4" s="10"/>
      <c r="F4" s="10"/>
      <c r="G4" s="10"/>
      <c r="H4" s="10"/>
      <c r="I4" s="10">
        <f t="shared" si="1"/>
        <v>75</v>
      </c>
      <c r="J4" s="116">
        <v>3</v>
      </c>
      <c r="L4" s="5">
        <f>25*4</f>
        <v>100</v>
      </c>
      <c r="M4" s="10"/>
      <c r="N4" s="10"/>
      <c r="O4" s="10"/>
      <c r="P4" s="10"/>
      <c r="Q4" s="10"/>
      <c r="R4" s="10"/>
      <c r="S4" s="10">
        <f t="shared" si="3"/>
        <v>100</v>
      </c>
      <c r="T4" s="116">
        <v>4</v>
      </c>
      <c r="V4" s="5">
        <f>B4+L4</f>
        <v>175</v>
      </c>
      <c r="W4" s="10"/>
      <c r="X4" s="10"/>
      <c r="Y4" s="10"/>
      <c r="Z4" s="10"/>
      <c r="AA4" s="10"/>
      <c r="AB4" s="10"/>
      <c r="AC4" s="10">
        <f t="shared" si="5"/>
        <v>175</v>
      </c>
    </row>
    <row r="5" spans="1:29" x14ac:dyDescent="0.35">
      <c r="A5" s="8" t="s">
        <v>6</v>
      </c>
      <c r="B5" s="5">
        <f>26*3</f>
        <v>78</v>
      </c>
      <c r="C5" s="10"/>
      <c r="D5" s="10"/>
      <c r="E5" s="10"/>
      <c r="F5" s="10"/>
      <c r="G5" s="10"/>
      <c r="H5" s="10"/>
      <c r="I5" s="10">
        <f t="shared" si="1"/>
        <v>78</v>
      </c>
      <c r="J5" s="116">
        <v>3</v>
      </c>
      <c r="L5" s="5">
        <f t="shared" ref="L5:L6" si="6">26*4</f>
        <v>104</v>
      </c>
      <c r="M5" s="10"/>
      <c r="N5" s="10"/>
      <c r="O5" s="10"/>
      <c r="P5" s="10"/>
      <c r="Q5" s="10"/>
      <c r="R5" s="10"/>
      <c r="S5" s="10">
        <f t="shared" si="3"/>
        <v>104</v>
      </c>
      <c r="T5" s="116">
        <v>4</v>
      </c>
      <c r="V5" s="5">
        <f t="shared" ref="V5:V16" si="7">B5+L5</f>
        <v>182</v>
      </c>
      <c r="W5" s="10"/>
      <c r="X5" s="10"/>
      <c r="Y5" s="10"/>
      <c r="Z5" s="10"/>
      <c r="AA5" s="10"/>
      <c r="AB5" s="10"/>
      <c r="AC5" s="10">
        <f t="shared" si="5"/>
        <v>182</v>
      </c>
    </row>
    <row r="6" spans="1:29" x14ac:dyDescent="0.35">
      <c r="A6" s="8" t="s">
        <v>7</v>
      </c>
      <c r="B6" s="5">
        <f t="shared" ref="B6:B9" si="8">26*3</f>
        <v>78</v>
      </c>
      <c r="C6" s="10"/>
      <c r="D6" s="10"/>
      <c r="E6" s="10"/>
      <c r="F6" s="10"/>
      <c r="G6" s="10"/>
      <c r="H6" s="10"/>
      <c r="I6" s="10">
        <f t="shared" si="1"/>
        <v>78</v>
      </c>
      <c r="J6" s="116">
        <v>3</v>
      </c>
      <c r="L6" s="5">
        <f t="shared" si="6"/>
        <v>104</v>
      </c>
      <c r="M6" s="10"/>
      <c r="N6" s="10"/>
      <c r="O6" s="10"/>
      <c r="P6" s="10"/>
      <c r="Q6" s="10"/>
      <c r="R6" s="10"/>
      <c r="S6" s="10">
        <f t="shared" si="3"/>
        <v>104</v>
      </c>
      <c r="T6" s="116">
        <v>4</v>
      </c>
      <c r="V6" s="5">
        <f t="shared" si="7"/>
        <v>182</v>
      </c>
      <c r="W6" s="10"/>
      <c r="X6" s="10"/>
      <c r="Y6" s="10"/>
      <c r="Z6" s="10"/>
      <c r="AA6" s="10"/>
      <c r="AB6" s="10"/>
      <c r="AC6" s="10">
        <f t="shared" si="5"/>
        <v>182</v>
      </c>
    </row>
    <row r="7" spans="1:29" x14ac:dyDescent="0.35">
      <c r="A7" s="12" t="s">
        <v>8</v>
      </c>
      <c r="B7" s="5">
        <f t="shared" si="8"/>
        <v>78</v>
      </c>
      <c r="C7" s="10"/>
      <c r="D7" s="10"/>
      <c r="E7" s="10"/>
      <c r="F7" s="10"/>
      <c r="G7" s="10"/>
      <c r="H7" s="10"/>
      <c r="I7" s="10">
        <f t="shared" si="1"/>
        <v>78</v>
      </c>
      <c r="J7" s="116">
        <v>3</v>
      </c>
      <c r="L7" s="5">
        <f>26*3</f>
        <v>78</v>
      </c>
      <c r="M7" s="10"/>
      <c r="N7" s="10"/>
      <c r="O7" s="10"/>
      <c r="P7" s="10"/>
      <c r="Q7" s="10"/>
      <c r="R7" s="10"/>
      <c r="S7" s="10">
        <f t="shared" si="3"/>
        <v>78</v>
      </c>
      <c r="T7" s="116">
        <v>3</v>
      </c>
      <c r="V7" s="5">
        <f t="shared" si="7"/>
        <v>156</v>
      </c>
      <c r="W7" s="10"/>
      <c r="X7" s="10"/>
      <c r="Y7" s="10"/>
      <c r="Z7" s="10"/>
      <c r="AA7" s="10"/>
      <c r="AB7" s="10"/>
      <c r="AC7" s="10">
        <f t="shared" si="5"/>
        <v>156</v>
      </c>
    </row>
    <row r="8" spans="1:29" x14ac:dyDescent="0.35">
      <c r="A8" s="12" t="s">
        <v>9</v>
      </c>
      <c r="B8" s="5">
        <f t="shared" si="8"/>
        <v>78</v>
      </c>
      <c r="C8" s="10"/>
      <c r="D8" s="10"/>
      <c r="E8" s="10"/>
      <c r="F8" s="10"/>
      <c r="G8" s="10"/>
      <c r="H8" s="10"/>
      <c r="I8" s="10">
        <f t="shared" si="1"/>
        <v>78</v>
      </c>
      <c r="J8" s="116">
        <v>3</v>
      </c>
      <c r="L8" s="5">
        <v>52</v>
      </c>
      <c r="M8" s="10"/>
      <c r="N8" s="10"/>
      <c r="O8" s="10"/>
      <c r="P8" s="10"/>
      <c r="Q8" s="10"/>
      <c r="R8" s="10"/>
      <c r="S8" s="10">
        <f t="shared" si="3"/>
        <v>52</v>
      </c>
      <c r="T8" s="116">
        <v>2</v>
      </c>
      <c r="V8" s="5">
        <f t="shared" si="7"/>
        <v>130</v>
      </c>
      <c r="W8" s="10"/>
      <c r="X8" s="10"/>
      <c r="Y8" s="10"/>
      <c r="Z8" s="10"/>
      <c r="AA8" s="10"/>
      <c r="AB8" s="10"/>
      <c r="AC8" s="10">
        <f t="shared" si="5"/>
        <v>130</v>
      </c>
    </row>
    <row r="9" spans="1:29" x14ac:dyDescent="0.35">
      <c r="A9" s="12" t="s">
        <v>10</v>
      </c>
      <c r="B9" s="5">
        <f t="shared" si="8"/>
        <v>78</v>
      </c>
      <c r="C9" s="10"/>
      <c r="D9" s="10"/>
      <c r="E9" s="10"/>
      <c r="F9" s="10"/>
      <c r="G9" s="10"/>
      <c r="H9" s="10"/>
      <c r="I9" s="10">
        <f t="shared" si="1"/>
        <v>78</v>
      </c>
      <c r="J9" s="116">
        <v>3</v>
      </c>
      <c r="L9" s="5">
        <f>26*2</f>
        <v>52</v>
      </c>
      <c r="M9" s="10"/>
      <c r="N9" s="10"/>
      <c r="O9" s="10"/>
      <c r="P9" s="10"/>
      <c r="Q9" s="10"/>
      <c r="R9" s="10"/>
      <c r="S9" s="10">
        <f t="shared" si="3"/>
        <v>52</v>
      </c>
      <c r="T9" s="116">
        <v>2</v>
      </c>
      <c r="V9" s="5">
        <f t="shared" si="7"/>
        <v>130</v>
      </c>
      <c r="W9" s="10"/>
      <c r="X9" s="10"/>
      <c r="Y9" s="10"/>
      <c r="Z9" s="10"/>
      <c r="AA9" s="10"/>
      <c r="AB9" s="10"/>
      <c r="AC9" s="10">
        <f t="shared" si="5"/>
        <v>130</v>
      </c>
    </row>
    <row r="10" spans="1:29" x14ac:dyDescent="0.35">
      <c r="A10" s="12" t="s">
        <v>11</v>
      </c>
      <c r="B10" s="5">
        <v>0</v>
      </c>
      <c r="C10" s="5"/>
      <c r="D10" s="5"/>
      <c r="E10" s="5"/>
      <c r="F10" s="5"/>
      <c r="G10" s="5"/>
      <c r="H10" s="5"/>
      <c r="I10" s="10">
        <f t="shared" si="1"/>
        <v>0</v>
      </c>
      <c r="J10" s="116">
        <v>0</v>
      </c>
      <c r="L10" s="5">
        <v>124</v>
      </c>
      <c r="M10" s="5"/>
      <c r="N10" s="5"/>
      <c r="O10" s="5"/>
      <c r="P10" s="5"/>
      <c r="Q10" s="5"/>
      <c r="R10" s="5"/>
      <c r="S10" s="10">
        <f t="shared" si="3"/>
        <v>124</v>
      </c>
      <c r="T10" s="116">
        <v>4</v>
      </c>
      <c r="V10" s="5">
        <f t="shared" si="7"/>
        <v>124</v>
      </c>
      <c r="W10" s="5"/>
      <c r="X10" s="5"/>
      <c r="Y10" s="5"/>
      <c r="Z10" s="5"/>
      <c r="AA10" s="5"/>
      <c r="AB10" s="5"/>
      <c r="AC10" s="10">
        <f t="shared" si="5"/>
        <v>124</v>
      </c>
    </row>
    <row r="11" spans="1:29" x14ac:dyDescent="0.35">
      <c r="A11" s="12" t="s">
        <v>12</v>
      </c>
      <c r="B11" s="5">
        <v>0</v>
      </c>
      <c r="C11" s="5"/>
      <c r="D11" s="5"/>
      <c r="E11" s="5"/>
      <c r="F11" s="5"/>
      <c r="G11" s="5"/>
      <c r="H11" s="5"/>
      <c r="I11" s="10">
        <f t="shared" si="1"/>
        <v>0</v>
      </c>
      <c r="J11" s="116">
        <v>0</v>
      </c>
      <c r="L11" s="5">
        <v>93</v>
      </c>
      <c r="M11" s="5"/>
      <c r="N11" s="5"/>
      <c r="O11" s="5"/>
      <c r="P11" s="5"/>
      <c r="Q11" s="5"/>
      <c r="R11" s="5"/>
      <c r="S11" s="10">
        <f t="shared" si="3"/>
        <v>93</v>
      </c>
      <c r="T11" s="116">
        <v>3</v>
      </c>
      <c r="V11" s="5">
        <f t="shared" si="7"/>
        <v>93</v>
      </c>
      <c r="W11" s="5"/>
      <c r="X11" s="5"/>
      <c r="Y11" s="5"/>
      <c r="Z11" s="5"/>
      <c r="AA11" s="5"/>
      <c r="AB11" s="5"/>
      <c r="AC11" s="10">
        <f t="shared" si="5"/>
        <v>93</v>
      </c>
    </row>
    <row r="12" spans="1:29" x14ac:dyDescent="0.35">
      <c r="A12" s="12" t="s">
        <v>13</v>
      </c>
      <c r="B12" s="5">
        <v>0</v>
      </c>
      <c r="C12" s="5"/>
      <c r="D12" s="5"/>
      <c r="E12" s="5"/>
      <c r="F12" s="5"/>
      <c r="G12" s="5"/>
      <c r="H12" s="5"/>
      <c r="I12" s="10">
        <f t="shared" si="1"/>
        <v>0</v>
      </c>
      <c r="J12" s="116">
        <v>0</v>
      </c>
      <c r="L12" s="5">
        <v>60</v>
      </c>
      <c r="M12" s="5"/>
      <c r="N12" s="5"/>
      <c r="O12" s="5"/>
      <c r="P12" s="5"/>
      <c r="Q12" s="5"/>
      <c r="R12" s="5"/>
      <c r="S12" s="10">
        <f t="shared" si="3"/>
        <v>60</v>
      </c>
      <c r="T12" s="116">
        <v>2</v>
      </c>
      <c r="V12" s="5">
        <f t="shared" si="7"/>
        <v>60</v>
      </c>
      <c r="W12" s="5"/>
      <c r="X12" s="5"/>
      <c r="Y12" s="5"/>
      <c r="Z12" s="5"/>
      <c r="AA12" s="5"/>
      <c r="AB12" s="5"/>
      <c r="AC12" s="10">
        <f t="shared" si="5"/>
        <v>60</v>
      </c>
    </row>
    <row r="13" spans="1:29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f>B13/30</f>
        <v>0</v>
      </c>
      <c r="L13" s="5">
        <v>0</v>
      </c>
      <c r="M13" s="5"/>
      <c r="N13" s="5"/>
      <c r="O13" s="5"/>
      <c r="P13" s="5"/>
      <c r="Q13" s="5"/>
      <c r="R13" s="5"/>
      <c r="S13" s="10">
        <f t="shared" si="3"/>
        <v>0</v>
      </c>
      <c r="T13" s="116">
        <v>0</v>
      </c>
      <c r="V13" s="5">
        <f t="shared" si="7"/>
        <v>0</v>
      </c>
      <c r="W13" s="5"/>
      <c r="X13" s="5"/>
      <c r="Y13" s="5"/>
      <c r="Z13" s="5"/>
      <c r="AA13" s="5"/>
      <c r="AB13" s="5"/>
      <c r="AC13" s="10">
        <f t="shared" si="5"/>
        <v>0</v>
      </c>
    </row>
    <row r="14" spans="1:29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9">B14/30</f>
        <v>0</v>
      </c>
      <c r="L14" s="5">
        <v>0</v>
      </c>
      <c r="M14" s="5"/>
      <c r="N14" s="5"/>
      <c r="O14" s="5"/>
      <c r="P14" s="5"/>
      <c r="Q14" s="5"/>
      <c r="R14" s="5"/>
      <c r="S14" s="10">
        <f t="shared" si="3"/>
        <v>0</v>
      </c>
      <c r="T14" s="116"/>
      <c r="V14" s="5">
        <f t="shared" si="7"/>
        <v>0</v>
      </c>
      <c r="W14" s="5"/>
      <c r="X14" s="5"/>
      <c r="Y14" s="5"/>
      <c r="Z14" s="5"/>
      <c r="AA14" s="5"/>
      <c r="AB14" s="5"/>
      <c r="AC14" s="10">
        <f t="shared" si="5"/>
        <v>0</v>
      </c>
    </row>
    <row r="15" spans="1:29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9"/>
        <v>0</v>
      </c>
      <c r="L15" s="5">
        <v>0</v>
      </c>
      <c r="M15" s="5"/>
      <c r="N15" s="5"/>
      <c r="O15" s="5"/>
      <c r="P15" s="5"/>
      <c r="Q15" s="5"/>
      <c r="R15" s="5"/>
      <c r="S15" s="10">
        <f t="shared" si="3"/>
        <v>0</v>
      </c>
      <c r="T15" s="116"/>
      <c r="V15" s="5">
        <f t="shared" si="7"/>
        <v>0</v>
      </c>
      <c r="W15" s="5"/>
      <c r="X15" s="5"/>
      <c r="Y15" s="5"/>
      <c r="Z15" s="5"/>
      <c r="AA15" s="5"/>
      <c r="AB15" s="5"/>
      <c r="AC15" s="10">
        <f t="shared" si="5"/>
        <v>0</v>
      </c>
    </row>
    <row r="16" spans="1:29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  <c r="L16" s="5">
        <v>0</v>
      </c>
      <c r="M16" s="5"/>
      <c r="N16" s="5"/>
      <c r="O16" s="5"/>
      <c r="P16" s="5"/>
      <c r="Q16" s="5"/>
      <c r="R16" s="5"/>
      <c r="S16" s="10">
        <f t="shared" si="3"/>
        <v>0</v>
      </c>
      <c r="T16" s="116"/>
      <c r="V16" s="5">
        <f t="shared" si="7"/>
        <v>0</v>
      </c>
      <c r="W16" s="5"/>
      <c r="X16" s="5"/>
      <c r="Y16" s="5"/>
      <c r="Z16" s="5"/>
      <c r="AA16" s="5"/>
      <c r="AB16" s="5"/>
      <c r="AC16" s="10">
        <f t="shared" si="5"/>
        <v>0</v>
      </c>
    </row>
    <row r="17" spans="1:29" x14ac:dyDescent="0.35">
      <c r="A17" s="104" t="s">
        <v>4</v>
      </c>
      <c r="B17" s="9">
        <f t="shared" ref="B17:H17" si="10">SUM(B4:B16)</f>
        <v>465</v>
      </c>
      <c r="C17" s="9">
        <f t="shared" si="10"/>
        <v>0</v>
      </c>
      <c r="D17" s="9">
        <f t="shared" si="10"/>
        <v>0</v>
      </c>
      <c r="E17" s="9"/>
      <c r="F17" s="9">
        <f t="shared" si="10"/>
        <v>0</v>
      </c>
      <c r="G17" s="9">
        <f t="shared" si="10"/>
        <v>0</v>
      </c>
      <c r="H17" s="9">
        <f t="shared" si="10"/>
        <v>0</v>
      </c>
      <c r="I17" s="9">
        <f>SUM(I4:I16)</f>
        <v>465</v>
      </c>
      <c r="J17" s="117">
        <f>SUM(J4:J16)</f>
        <v>18</v>
      </c>
      <c r="L17" s="9">
        <f t="shared" ref="L17:N17" si="11">SUM(L4:L16)</f>
        <v>767</v>
      </c>
      <c r="M17" s="9">
        <f t="shared" si="11"/>
        <v>0</v>
      </c>
      <c r="N17" s="9">
        <f t="shared" si="11"/>
        <v>0</v>
      </c>
      <c r="O17" s="9"/>
      <c r="P17" s="9">
        <f t="shared" ref="P17:R17" si="12">SUM(P4:P16)</f>
        <v>0</v>
      </c>
      <c r="Q17" s="9">
        <f t="shared" si="12"/>
        <v>0</v>
      </c>
      <c r="R17" s="9">
        <f t="shared" si="12"/>
        <v>0</v>
      </c>
      <c r="S17" s="9">
        <f>SUM(S4:S16)</f>
        <v>767</v>
      </c>
      <c r="T17" s="117">
        <f>SUM(T4:T16)</f>
        <v>28</v>
      </c>
      <c r="V17" s="9">
        <f t="shared" ref="V17:X17" si="13">SUM(V4:V16)</f>
        <v>1232</v>
      </c>
      <c r="W17" s="9">
        <f t="shared" si="13"/>
        <v>0</v>
      </c>
      <c r="X17" s="9">
        <f t="shared" si="13"/>
        <v>0</v>
      </c>
      <c r="Y17" s="9"/>
      <c r="Z17" s="9">
        <f t="shared" ref="Z17:AB17" si="14">SUM(Z4:Z16)</f>
        <v>0</v>
      </c>
      <c r="AA17" s="9">
        <f t="shared" si="14"/>
        <v>0</v>
      </c>
      <c r="AB17" s="9">
        <f t="shared" si="14"/>
        <v>0</v>
      </c>
      <c r="AC17" s="9">
        <f>SUM(AC4:AC16)</f>
        <v>1232</v>
      </c>
    </row>
    <row r="18" spans="1:29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  <c r="L18" s="5"/>
      <c r="M18" s="13"/>
      <c r="N18" s="13"/>
      <c r="O18" s="13"/>
      <c r="P18" s="13"/>
      <c r="Q18" s="13"/>
      <c r="R18" s="13"/>
      <c r="S18" s="13"/>
      <c r="T18" s="7"/>
      <c r="V18" s="5"/>
      <c r="W18" s="13"/>
      <c r="X18" s="13"/>
      <c r="Y18" s="13"/>
      <c r="Z18" s="13"/>
      <c r="AA18" s="13"/>
      <c r="AB18" s="13"/>
      <c r="AC18" s="13"/>
    </row>
    <row r="19" spans="1:29" x14ac:dyDescent="0.35">
      <c r="A19" s="14" t="s">
        <v>18</v>
      </c>
      <c r="B19" s="15" t="str">
        <f t="shared" ref="B19:I19" si="15">B1</f>
        <v>Operating</v>
      </c>
      <c r="C19" s="15" t="str">
        <f t="shared" si="15"/>
        <v>SPED</v>
      </c>
      <c r="D19" s="15" t="str">
        <f t="shared" si="15"/>
        <v>NSLP</v>
      </c>
      <c r="E19" s="15" t="str">
        <f t="shared" si="15"/>
        <v>Other</v>
      </c>
      <c r="F19" s="15" t="str">
        <f t="shared" si="15"/>
        <v>Title I</v>
      </c>
      <c r="G19" s="15" t="str">
        <f t="shared" si="15"/>
        <v>Title II</v>
      </c>
      <c r="H19" s="15" t="str">
        <f t="shared" si="15"/>
        <v>Title III</v>
      </c>
      <c r="I19" s="15" t="str">
        <f t="shared" si="15"/>
        <v>B&amp;G</v>
      </c>
      <c r="J19" s="16"/>
      <c r="L19" s="15" t="str">
        <f t="shared" ref="L19:S19" si="16">L1</f>
        <v>Operating</v>
      </c>
      <c r="M19" s="15" t="str">
        <f t="shared" si="16"/>
        <v>SPED</v>
      </c>
      <c r="N19" s="15" t="str">
        <f t="shared" si="16"/>
        <v>NSLP</v>
      </c>
      <c r="O19" s="15" t="str">
        <f t="shared" si="16"/>
        <v>Other</v>
      </c>
      <c r="P19" s="15" t="str">
        <f t="shared" si="16"/>
        <v>Title I</v>
      </c>
      <c r="Q19" s="15" t="str">
        <f t="shared" si="16"/>
        <v>Title II</v>
      </c>
      <c r="R19" s="15" t="str">
        <f t="shared" si="16"/>
        <v>Title III</v>
      </c>
      <c r="S19" s="15" t="str">
        <f t="shared" si="16"/>
        <v>New</v>
      </c>
      <c r="T19" s="16"/>
      <c r="V19" s="15" t="str">
        <f t="shared" ref="V19:AC19" si="17">V1</f>
        <v>Operating</v>
      </c>
      <c r="W19" s="15" t="str">
        <f t="shared" si="17"/>
        <v>SPED</v>
      </c>
      <c r="X19" s="15" t="str">
        <f t="shared" si="17"/>
        <v>NSLP</v>
      </c>
      <c r="Y19" s="15" t="str">
        <f t="shared" si="17"/>
        <v>Other</v>
      </c>
      <c r="Z19" s="15" t="str">
        <f t="shared" si="17"/>
        <v>Title I</v>
      </c>
      <c r="AA19" s="15" t="str">
        <f t="shared" si="17"/>
        <v>Title II</v>
      </c>
      <c r="AB19" s="15" t="str">
        <f t="shared" si="17"/>
        <v>Title III</v>
      </c>
      <c r="AC19" s="15" t="str">
        <f t="shared" si="17"/>
        <v>MANN</v>
      </c>
    </row>
    <row r="20" spans="1:29" x14ac:dyDescent="0.35">
      <c r="A20" s="12" t="s">
        <v>19</v>
      </c>
      <c r="B20" s="5"/>
      <c r="C20" s="5">
        <v>76</v>
      </c>
      <c r="D20" s="5"/>
      <c r="E20" s="5"/>
      <c r="F20" s="5"/>
      <c r="G20" s="5"/>
      <c r="H20" s="5"/>
      <c r="I20" s="5">
        <f>SUM(B20:H20)</f>
        <v>76</v>
      </c>
      <c r="J20" s="17" t="s">
        <v>20</v>
      </c>
      <c r="L20" s="5"/>
      <c r="M20" s="5">
        <v>90</v>
      </c>
      <c r="N20" s="5"/>
      <c r="O20" s="5"/>
      <c r="P20" s="5"/>
      <c r="Q20" s="5"/>
      <c r="R20" s="5"/>
      <c r="S20" s="5">
        <f>SUM(L20:R20)</f>
        <v>90</v>
      </c>
      <c r="T20" s="17" t="s">
        <v>20</v>
      </c>
      <c r="V20" s="5">
        <f>B20+L20</f>
        <v>0</v>
      </c>
      <c r="W20" s="5">
        <f t="shared" ref="W20:Y24" si="18">C20+M20</f>
        <v>166</v>
      </c>
      <c r="X20" s="5">
        <f t="shared" si="18"/>
        <v>0</v>
      </c>
      <c r="Y20" s="5">
        <f t="shared" si="18"/>
        <v>0</v>
      </c>
      <c r="Z20" s="5"/>
      <c r="AA20" s="5"/>
      <c r="AB20" s="5"/>
      <c r="AC20" s="5">
        <f>SUM(V20:AB20)</f>
        <v>166</v>
      </c>
    </row>
    <row r="21" spans="1:29" x14ac:dyDescent="0.35">
      <c r="A21" s="12" t="s">
        <v>21</v>
      </c>
      <c r="B21" s="5">
        <v>152</v>
      </c>
      <c r="C21" s="5"/>
      <c r="D21" s="5"/>
      <c r="E21" s="5"/>
      <c r="F21" s="5"/>
      <c r="G21" s="5"/>
      <c r="H21" s="5"/>
      <c r="I21" s="5">
        <f>SUM(B21:H21)</f>
        <v>152</v>
      </c>
      <c r="J21" s="17"/>
      <c r="L21" s="5"/>
      <c r="M21" s="5"/>
      <c r="N21" s="5"/>
      <c r="O21" s="5"/>
      <c r="P21" s="5"/>
      <c r="Q21" s="5"/>
      <c r="R21" s="5"/>
      <c r="S21" s="5">
        <f>SUM(L21:R21)</f>
        <v>0</v>
      </c>
      <c r="T21" s="17"/>
      <c r="V21" s="5">
        <f t="shared" ref="V21:V24" si="19">B21+L21</f>
        <v>152</v>
      </c>
      <c r="W21" s="5">
        <f t="shared" si="18"/>
        <v>0</v>
      </c>
      <c r="X21" s="5">
        <f t="shared" si="18"/>
        <v>0</v>
      </c>
      <c r="Y21" s="5">
        <f t="shared" si="18"/>
        <v>0</v>
      </c>
      <c r="Z21" s="5"/>
      <c r="AA21" s="5"/>
      <c r="AB21" s="5"/>
      <c r="AC21" s="5">
        <f>SUM(V21:AB21)</f>
        <v>152</v>
      </c>
    </row>
    <row r="22" spans="1:29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  <c r="L22" s="10"/>
      <c r="M22" s="10"/>
      <c r="N22" s="10"/>
      <c r="O22" s="10"/>
      <c r="P22" s="10"/>
      <c r="Q22" s="10"/>
      <c r="R22" s="10"/>
      <c r="S22" s="5">
        <f>SUM(L22:R22)</f>
        <v>0</v>
      </c>
      <c r="T22" s="11"/>
      <c r="V22" s="5">
        <f t="shared" si="19"/>
        <v>0</v>
      </c>
      <c r="W22" s="5">
        <f t="shared" si="18"/>
        <v>0</v>
      </c>
      <c r="X22" s="5">
        <f t="shared" si="18"/>
        <v>0</v>
      </c>
      <c r="Y22" s="5">
        <f t="shared" si="18"/>
        <v>0</v>
      </c>
      <c r="Z22" s="10"/>
      <c r="AA22" s="10"/>
      <c r="AB22" s="10"/>
      <c r="AC22" s="5">
        <f>SUM(V22:AB22)</f>
        <v>0</v>
      </c>
    </row>
    <row r="23" spans="1:29" x14ac:dyDescent="0.35">
      <c r="A23" s="12" t="s">
        <v>23</v>
      </c>
      <c r="B23" s="18"/>
      <c r="C23" s="18"/>
      <c r="D23" s="118">
        <v>1</v>
      </c>
      <c r="E23" s="118"/>
      <c r="F23" s="118"/>
      <c r="G23" s="118"/>
      <c r="H23" s="118"/>
      <c r="I23" s="18">
        <f>SUM(B23:H23)</f>
        <v>1</v>
      </c>
      <c r="J23" s="19"/>
      <c r="L23" s="18"/>
      <c r="M23" s="18"/>
      <c r="N23" s="118">
        <v>1</v>
      </c>
      <c r="O23" s="118"/>
      <c r="P23" s="118"/>
      <c r="Q23" s="118"/>
      <c r="R23" s="118"/>
      <c r="S23" s="18">
        <f>SUM(L23:R23)</f>
        <v>1</v>
      </c>
      <c r="T23" s="19"/>
      <c r="V23" s="5">
        <f t="shared" si="19"/>
        <v>0</v>
      </c>
      <c r="W23" s="5">
        <f t="shared" si="18"/>
        <v>0</v>
      </c>
      <c r="X23" s="111">
        <v>1</v>
      </c>
      <c r="Y23" s="5">
        <f t="shared" si="18"/>
        <v>0</v>
      </c>
      <c r="Z23" s="118"/>
      <c r="AA23" s="118"/>
      <c r="AB23" s="118"/>
      <c r="AC23" s="18">
        <f>SUM(V23:AB23)</f>
        <v>1</v>
      </c>
    </row>
    <row r="24" spans="1:29" x14ac:dyDescent="0.35">
      <c r="A24" s="12" t="s">
        <v>24</v>
      </c>
      <c r="B24" s="5">
        <v>14</v>
      </c>
      <c r="C24" s="5"/>
      <c r="D24" s="5"/>
      <c r="E24" s="5"/>
      <c r="F24" s="5"/>
      <c r="G24" s="5"/>
      <c r="H24" s="5"/>
      <c r="I24" s="5">
        <f>SUM(B24:H24)</f>
        <v>14</v>
      </c>
      <c r="J24" s="19"/>
      <c r="L24" s="5"/>
      <c r="M24" s="5"/>
      <c r="N24" s="5"/>
      <c r="O24" s="5"/>
      <c r="P24" s="5"/>
      <c r="Q24" s="5"/>
      <c r="R24" s="5"/>
      <c r="S24" s="5">
        <f>SUM(L24:R24)</f>
        <v>0</v>
      </c>
      <c r="T24" s="19"/>
      <c r="V24" s="5">
        <f t="shared" si="19"/>
        <v>14</v>
      </c>
      <c r="W24" s="5">
        <f t="shared" si="18"/>
        <v>0</v>
      </c>
      <c r="X24" s="5">
        <f t="shared" si="18"/>
        <v>0</v>
      </c>
      <c r="Y24" s="5">
        <f t="shared" si="18"/>
        <v>0</v>
      </c>
      <c r="Z24" s="5"/>
      <c r="AA24" s="5"/>
      <c r="AB24" s="5"/>
      <c r="AC24" s="5">
        <f>SUM(V24:AB24)</f>
        <v>14</v>
      </c>
    </row>
    <row r="25" spans="1:29" x14ac:dyDescent="0.35">
      <c r="A25" s="12"/>
      <c r="B25" s="5"/>
      <c r="C25" s="5"/>
      <c r="D25" s="5"/>
      <c r="E25" s="5"/>
      <c r="F25" s="5"/>
      <c r="G25" s="5"/>
      <c r="H25" s="5"/>
      <c r="I25" s="5"/>
      <c r="J25" s="7"/>
      <c r="L25" s="5"/>
      <c r="M25" s="5"/>
      <c r="N25" s="5"/>
      <c r="O25" s="5"/>
      <c r="P25" s="5"/>
      <c r="Q25" s="5"/>
      <c r="R25" s="5"/>
      <c r="S25" s="5"/>
      <c r="T25" s="7"/>
      <c r="V25" s="5"/>
      <c r="W25" s="5"/>
      <c r="X25" s="5"/>
      <c r="Y25" s="5"/>
      <c r="Z25" s="5"/>
      <c r="AA25" s="5"/>
      <c r="AB25" s="5"/>
      <c r="AC25" s="5"/>
    </row>
    <row r="26" spans="1:29" x14ac:dyDescent="0.35">
      <c r="A26" s="20" t="s">
        <v>25</v>
      </c>
      <c r="B26" s="15" t="str">
        <f t="shared" ref="B26:I26" si="20">B1</f>
        <v>Operating</v>
      </c>
      <c r="C26" s="15" t="str">
        <f t="shared" si="20"/>
        <v>SPED</v>
      </c>
      <c r="D26" s="15" t="str">
        <f t="shared" si="20"/>
        <v>NSLP</v>
      </c>
      <c r="E26" s="15" t="str">
        <f t="shared" si="20"/>
        <v>Other</v>
      </c>
      <c r="F26" s="15" t="str">
        <f t="shared" si="20"/>
        <v>Title I</v>
      </c>
      <c r="G26" s="15" t="str">
        <f t="shared" si="20"/>
        <v>Title II</v>
      </c>
      <c r="H26" s="15" t="str">
        <f t="shared" si="20"/>
        <v>Title III</v>
      </c>
      <c r="I26" s="15" t="str">
        <f t="shared" si="20"/>
        <v>B&amp;G</v>
      </c>
      <c r="J26" s="16"/>
      <c r="L26" s="15" t="str">
        <f t="shared" ref="L26:S26" si="21">L1</f>
        <v>Operating</v>
      </c>
      <c r="M26" s="15" t="str">
        <f t="shared" si="21"/>
        <v>SPED</v>
      </c>
      <c r="N26" s="15" t="str">
        <f t="shared" si="21"/>
        <v>NSLP</v>
      </c>
      <c r="O26" s="15" t="str">
        <f t="shared" si="21"/>
        <v>Other</v>
      </c>
      <c r="P26" s="15" t="str">
        <f t="shared" si="21"/>
        <v>Title I</v>
      </c>
      <c r="Q26" s="15" t="str">
        <f t="shared" si="21"/>
        <v>Title II</v>
      </c>
      <c r="R26" s="15" t="str">
        <f t="shared" si="21"/>
        <v>Title III</v>
      </c>
      <c r="S26" s="15" t="str">
        <f t="shared" si="21"/>
        <v>New</v>
      </c>
      <c r="T26" s="16"/>
      <c r="V26" s="15" t="str">
        <f t="shared" ref="V26:AC26" si="22">V1</f>
        <v>Operating</v>
      </c>
      <c r="W26" s="15" t="str">
        <f t="shared" si="22"/>
        <v>SPED</v>
      </c>
      <c r="X26" s="15" t="str">
        <f t="shared" si="22"/>
        <v>NSLP</v>
      </c>
      <c r="Y26" s="15" t="str">
        <f t="shared" si="22"/>
        <v>Other</v>
      </c>
      <c r="Z26" s="15" t="str">
        <f t="shared" si="22"/>
        <v>Title I</v>
      </c>
      <c r="AA26" s="15" t="str">
        <f t="shared" si="22"/>
        <v>Title II</v>
      </c>
      <c r="AB26" s="15" t="str">
        <f t="shared" si="22"/>
        <v>Title III</v>
      </c>
      <c r="AC26" s="15" t="str">
        <f t="shared" si="22"/>
        <v>MANN</v>
      </c>
    </row>
    <row r="27" spans="1:29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23">SUM(B27:H27)</f>
        <v>18</v>
      </c>
      <c r="J27" s="17">
        <f>I27/6</f>
        <v>3</v>
      </c>
      <c r="L27" s="21">
        <v>28</v>
      </c>
      <c r="M27" s="21"/>
      <c r="N27" s="21"/>
      <c r="O27" s="21"/>
      <c r="P27" s="21"/>
      <c r="Q27" s="21"/>
      <c r="R27" s="21"/>
      <c r="S27" s="21">
        <f t="shared" ref="S27:S28" si="24">SUM(L27:R27)</f>
        <v>28</v>
      </c>
      <c r="T27" s="17">
        <f>S27/6</f>
        <v>4.666666666666667</v>
      </c>
      <c r="V27" s="21">
        <f>B27+L27</f>
        <v>46</v>
      </c>
      <c r="W27" s="21">
        <f t="shared" ref="W27:Y35" si="25">C27+M27</f>
        <v>0</v>
      </c>
      <c r="X27" s="21">
        <f t="shared" si="25"/>
        <v>0</v>
      </c>
      <c r="Y27" s="21">
        <f t="shared" si="25"/>
        <v>0</v>
      </c>
      <c r="Z27" s="21"/>
      <c r="AA27" s="21"/>
      <c r="AB27" s="21"/>
      <c r="AC27" s="21">
        <f t="shared" ref="AC27:AC28" si="26">SUM(V27:AB27)</f>
        <v>46</v>
      </c>
    </row>
    <row r="28" spans="1:29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23"/>
        <v>3</v>
      </c>
      <c r="J28" s="17">
        <f>I20/21</f>
        <v>3.6190476190476191</v>
      </c>
      <c r="L28" s="22">
        <v>0</v>
      </c>
      <c r="M28" s="22">
        <v>3</v>
      </c>
      <c r="N28" s="22"/>
      <c r="O28" s="22"/>
      <c r="P28" s="22"/>
      <c r="Q28" s="22"/>
      <c r="R28" s="22"/>
      <c r="S28" s="21">
        <f t="shared" si="24"/>
        <v>3</v>
      </c>
      <c r="T28" s="17">
        <f>S20/21</f>
        <v>4.2857142857142856</v>
      </c>
      <c r="V28" s="21">
        <f t="shared" ref="V28:V35" si="27">B28+L28</f>
        <v>0</v>
      </c>
      <c r="W28" s="21">
        <f t="shared" si="25"/>
        <v>6</v>
      </c>
      <c r="X28" s="21">
        <f t="shared" si="25"/>
        <v>0</v>
      </c>
      <c r="Y28" s="21">
        <f t="shared" si="25"/>
        <v>0</v>
      </c>
      <c r="Z28" s="22"/>
      <c r="AA28" s="22"/>
      <c r="AB28" s="22"/>
      <c r="AC28" s="21">
        <f t="shared" si="26"/>
        <v>6</v>
      </c>
    </row>
    <row r="29" spans="1:29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  <c r="L29" s="21">
        <v>1</v>
      </c>
      <c r="M29" s="21"/>
      <c r="N29" s="21"/>
      <c r="O29" s="21"/>
      <c r="P29" s="21"/>
      <c r="Q29" s="21"/>
      <c r="R29" s="21"/>
      <c r="S29" s="21">
        <f>SUM(L29:R29)</f>
        <v>1</v>
      </c>
      <c r="T29" s="11"/>
      <c r="V29" s="21">
        <f t="shared" si="27"/>
        <v>2</v>
      </c>
      <c r="W29" s="21">
        <f t="shared" si="25"/>
        <v>0</v>
      </c>
      <c r="X29" s="21">
        <f t="shared" si="25"/>
        <v>0</v>
      </c>
      <c r="Y29" s="21">
        <f t="shared" si="25"/>
        <v>0</v>
      </c>
      <c r="Z29" s="21"/>
      <c r="AA29" s="21"/>
      <c r="AB29" s="21"/>
      <c r="AC29" s="21">
        <f>SUM(V29:AB29)</f>
        <v>2</v>
      </c>
    </row>
    <row r="30" spans="1:29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23"/>
        <v>1</v>
      </c>
      <c r="J30" s="11"/>
      <c r="L30" s="21">
        <v>1</v>
      </c>
      <c r="M30" s="21"/>
      <c r="N30" s="21"/>
      <c r="O30" s="21"/>
      <c r="P30" s="21"/>
      <c r="Q30" s="21"/>
      <c r="R30" s="21"/>
      <c r="S30" s="21">
        <f t="shared" ref="S30:S32" si="28">SUM(L30:R30)</f>
        <v>1</v>
      </c>
      <c r="T30" s="11"/>
      <c r="V30" s="21">
        <f t="shared" si="27"/>
        <v>2</v>
      </c>
      <c r="W30" s="21">
        <f t="shared" si="25"/>
        <v>0</v>
      </c>
      <c r="X30" s="21">
        <f t="shared" si="25"/>
        <v>0</v>
      </c>
      <c r="Y30" s="21">
        <f t="shared" si="25"/>
        <v>0</v>
      </c>
      <c r="Z30" s="21"/>
      <c r="AA30" s="21"/>
      <c r="AB30" s="21"/>
      <c r="AC30" s="21">
        <f t="shared" ref="AC30:AC32" si="29">SUM(V30:AB30)</f>
        <v>2</v>
      </c>
    </row>
    <row r="31" spans="1:29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23"/>
        <v>1</v>
      </c>
      <c r="J31" s="11"/>
      <c r="L31" s="21">
        <v>2</v>
      </c>
      <c r="M31" s="21"/>
      <c r="N31" s="21"/>
      <c r="O31" s="21"/>
      <c r="P31" s="21"/>
      <c r="Q31" s="21"/>
      <c r="R31" s="21"/>
      <c r="S31" s="21">
        <f t="shared" si="28"/>
        <v>2</v>
      </c>
      <c r="T31" s="11"/>
      <c r="V31" s="21">
        <f t="shared" si="27"/>
        <v>3</v>
      </c>
      <c r="W31" s="21">
        <f t="shared" si="25"/>
        <v>0</v>
      </c>
      <c r="X31" s="21">
        <f t="shared" si="25"/>
        <v>0</v>
      </c>
      <c r="Y31" s="21">
        <f t="shared" si="25"/>
        <v>0</v>
      </c>
      <c r="Z31" s="21"/>
      <c r="AA31" s="21"/>
      <c r="AB31" s="21"/>
      <c r="AC31" s="21">
        <f t="shared" si="29"/>
        <v>3</v>
      </c>
    </row>
    <row r="32" spans="1:29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23"/>
        <v>0</v>
      </c>
      <c r="J32" s="11"/>
      <c r="L32" s="21">
        <v>0</v>
      </c>
      <c r="M32" s="21"/>
      <c r="N32" s="21"/>
      <c r="O32" s="21"/>
      <c r="P32" s="21"/>
      <c r="Q32" s="21"/>
      <c r="R32" s="21"/>
      <c r="S32" s="21">
        <f t="shared" si="28"/>
        <v>0</v>
      </c>
      <c r="T32" s="11"/>
      <c r="V32" s="21">
        <f t="shared" si="27"/>
        <v>0</v>
      </c>
      <c r="W32" s="21">
        <f t="shared" si="25"/>
        <v>0</v>
      </c>
      <c r="X32" s="21">
        <f t="shared" si="25"/>
        <v>0</v>
      </c>
      <c r="Y32" s="21">
        <f t="shared" si="25"/>
        <v>0</v>
      </c>
      <c r="Z32" s="21"/>
      <c r="AA32" s="21"/>
      <c r="AB32" s="21"/>
      <c r="AC32" s="21">
        <f t="shared" si="29"/>
        <v>0</v>
      </c>
    </row>
    <row r="33" spans="1:29" x14ac:dyDescent="0.35">
      <c r="A33" s="100" t="s">
        <v>32</v>
      </c>
      <c r="B33" s="21">
        <v>0</v>
      </c>
      <c r="C33" s="21"/>
      <c r="D33" s="21"/>
      <c r="E33" s="21"/>
      <c r="F33" s="21"/>
      <c r="G33" s="21"/>
      <c r="H33" s="21"/>
      <c r="I33" s="21">
        <f>SUM(B33:H33)</f>
        <v>0</v>
      </c>
      <c r="J33" s="11"/>
      <c r="L33" s="21">
        <v>0</v>
      </c>
      <c r="M33" s="21"/>
      <c r="N33" s="21"/>
      <c r="O33" s="21"/>
      <c r="P33" s="21"/>
      <c r="Q33" s="21"/>
      <c r="R33" s="21"/>
      <c r="S33" s="21">
        <f>SUM(L33:R33)</f>
        <v>0</v>
      </c>
      <c r="T33" s="11"/>
      <c r="V33" s="21">
        <f t="shared" si="27"/>
        <v>0</v>
      </c>
      <c r="W33" s="21">
        <f t="shared" si="25"/>
        <v>0</v>
      </c>
      <c r="X33" s="21">
        <f t="shared" si="25"/>
        <v>0</v>
      </c>
      <c r="Y33" s="21">
        <f t="shared" si="25"/>
        <v>0</v>
      </c>
      <c r="Z33" s="21"/>
      <c r="AA33" s="21"/>
      <c r="AB33" s="21"/>
      <c r="AC33" s="21">
        <f>SUM(V33:AB33)</f>
        <v>0</v>
      </c>
    </row>
    <row r="34" spans="1:29" x14ac:dyDescent="0.35">
      <c r="A34" s="100" t="s">
        <v>33</v>
      </c>
      <c r="B34" s="21">
        <v>0</v>
      </c>
      <c r="C34" s="21"/>
      <c r="D34" s="21"/>
      <c r="E34" s="21"/>
      <c r="F34" s="21"/>
      <c r="G34" s="21"/>
      <c r="H34" s="21"/>
      <c r="I34" s="21">
        <f>SUM(B34:H34)</f>
        <v>0</v>
      </c>
      <c r="J34" s="11"/>
      <c r="L34" s="21">
        <v>0.5</v>
      </c>
      <c r="M34" s="21"/>
      <c r="N34" s="21"/>
      <c r="O34" s="21"/>
      <c r="P34" s="21"/>
      <c r="Q34" s="21"/>
      <c r="R34" s="21"/>
      <c r="S34" s="21">
        <f>SUM(L34:R34)</f>
        <v>0.5</v>
      </c>
      <c r="T34" s="11"/>
      <c r="V34" s="21">
        <f t="shared" si="27"/>
        <v>0.5</v>
      </c>
      <c r="W34" s="21">
        <f t="shared" si="25"/>
        <v>0</v>
      </c>
      <c r="X34" s="21">
        <f t="shared" si="25"/>
        <v>0</v>
      </c>
      <c r="Y34" s="21">
        <f t="shared" si="25"/>
        <v>0</v>
      </c>
      <c r="Z34" s="21"/>
      <c r="AA34" s="21"/>
      <c r="AB34" s="21"/>
      <c r="AC34" s="21">
        <f>SUM(V34:AB34)</f>
        <v>0.5</v>
      </c>
    </row>
    <row r="35" spans="1:29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  <c r="L35" s="21">
        <v>0</v>
      </c>
      <c r="M35" s="21"/>
      <c r="N35" s="21"/>
      <c r="O35" s="21"/>
      <c r="P35" s="21"/>
      <c r="Q35" s="21"/>
      <c r="R35" s="21"/>
      <c r="S35" s="21">
        <f>SUM(L35:R35)</f>
        <v>0</v>
      </c>
      <c r="T35" s="11"/>
      <c r="V35" s="21">
        <f t="shared" si="27"/>
        <v>0</v>
      </c>
      <c r="W35" s="21">
        <f t="shared" si="25"/>
        <v>0</v>
      </c>
      <c r="X35" s="21">
        <f t="shared" si="25"/>
        <v>0</v>
      </c>
      <c r="Y35" s="21">
        <f t="shared" si="25"/>
        <v>0</v>
      </c>
      <c r="Z35" s="21"/>
      <c r="AA35" s="21"/>
      <c r="AB35" s="21"/>
      <c r="AC35" s="21">
        <f>SUM(V35:AB35)</f>
        <v>0</v>
      </c>
    </row>
    <row r="36" spans="1:29" x14ac:dyDescent="0.35">
      <c r="A36" s="20" t="s">
        <v>37</v>
      </c>
      <c r="B36" s="24">
        <f>SUM(B27:B35)</f>
        <v>21</v>
      </c>
      <c r="C36" s="24">
        <f t="shared" ref="C36:H36" si="30">SUM(C27:C35)</f>
        <v>3</v>
      </c>
      <c r="D36" s="24">
        <f t="shared" si="30"/>
        <v>0</v>
      </c>
      <c r="E36" s="24"/>
      <c r="F36" s="24">
        <f t="shared" si="30"/>
        <v>0</v>
      </c>
      <c r="G36" s="24">
        <f t="shared" si="30"/>
        <v>0</v>
      </c>
      <c r="H36" s="24">
        <f t="shared" si="30"/>
        <v>0</v>
      </c>
      <c r="I36" s="24">
        <f>SUM(I27:I35)</f>
        <v>24</v>
      </c>
      <c r="J36" s="7"/>
      <c r="L36" s="24">
        <f>SUM(L27:L35)</f>
        <v>32.5</v>
      </c>
      <c r="M36" s="24">
        <f t="shared" ref="M36:N36" si="31">SUM(M27:M35)</f>
        <v>3</v>
      </c>
      <c r="N36" s="24">
        <f t="shared" si="31"/>
        <v>0</v>
      </c>
      <c r="O36" s="24"/>
      <c r="P36" s="24">
        <f t="shared" ref="P36:R36" si="32">SUM(P27:P35)</f>
        <v>0</v>
      </c>
      <c r="Q36" s="24">
        <f t="shared" si="32"/>
        <v>0</v>
      </c>
      <c r="R36" s="24">
        <f t="shared" si="32"/>
        <v>0</v>
      </c>
      <c r="S36" s="24">
        <f>SUM(S27:S35)</f>
        <v>35.5</v>
      </c>
      <c r="T36" s="7"/>
      <c r="V36" s="24">
        <f>SUM(V27:V35)</f>
        <v>53.5</v>
      </c>
      <c r="W36" s="24">
        <f t="shared" ref="W36:X36" si="33">SUM(W27:W35)</f>
        <v>6</v>
      </c>
      <c r="X36" s="24">
        <f t="shared" si="33"/>
        <v>0</v>
      </c>
      <c r="Y36" s="24"/>
      <c r="Z36" s="24">
        <f t="shared" ref="Z36:AB36" si="34">SUM(Z27:Z35)</f>
        <v>0</v>
      </c>
      <c r="AA36" s="24">
        <f t="shared" si="34"/>
        <v>0</v>
      </c>
      <c r="AB36" s="24">
        <f t="shared" si="34"/>
        <v>0</v>
      </c>
      <c r="AC36" s="24">
        <f>SUM(AC27:AC35)</f>
        <v>59.5</v>
      </c>
    </row>
    <row r="37" spans="1:29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  <c r="L37" s="5"/>
      <c r="M37" s="5"/>
      <c r="N37" s="5"/>
      <c r="O37" s="5"/>
      <c r="P37" s="5"/>
      <c r="Q37" s="5"/>
      <c r="R37" s="5"/>
      <c r="S37" s="5"/>
      <c r="T37" s="7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20" t="s">
        <v>39</v>
      </c>
      <c r="B38" s="15" t="str">
        <f t="shared" ref="B38:I38" si="35">B1</f>
        <v>Operating</v>
      </c>
      <c r="C38" s="15" t="str">
        <f t="shared" si="35"/>
        <v>SPED</v>
      </c>
      <c r="D38" s="15" t="str">
        <f t="shared" si="35"/>
        <v>NSLP</v>
      </c>
      <c r="E38" s="15" t="str">
        <f t="shared" si="35"/>
        <v>Other</v>
      </c>
      <c r="F38" s="15" t="str">
        <f t="shared" si="35"/>
        <v>Title I</v>
      </c>
      <c r="G38" s="15" t="str">
        <f t="shared" si="35"/>
        <v>Title II</v>
      </c>
      <c r="H38" s="15" t="str">
        <f t="shared" si="35"/>
        <v>Title III</v>
      </c>
      <c r="I38" s="15" t="str">
        <f t="shared" si="35"/>
        <v>B&amp;G</v>
      </c>
      <c r="J38" s="16"/>
      <c r="L38" s="15" t="str">
        <f t="shared" ref="L38:S38" si="36">L1</f>
        <v>Operating</v>
      </c>
      <c r="M38" s="15" t="str">
        <f t="shared" si="36"/>
        <v>SPED</v>
      </c>
      <c r="N38" s="15" t="str">
        <f t="shared" si="36"/>
        <v>NSLP</v>
      </c>
      <c r="O38" s="15" t="str">
        <f t="shared" si="36"/>
        <v>Other</v>
      </c>
      <c r="P38" s="15" t="str">
        <f t="shared" si="36"/>
        <v>Title I</v>
      </c>
      <c r="Q38" s="15" t="str">
        <f t="shared" si="36"/>
        <v>Title II</v>
      </c>
      <c r="R38" s="15" t="str">
        <f t="shared" si="36"/>
        <v>Title III</v>
      </c>
      <c r="S38" s="15" t="str">
        <f t="shared" si="36"/>
        <v>New</v>
      </c>
      <c r="T38" s="16"/>
      <c r="V38" s="15" t="str">
        <f t="shared" ref="V38:AC38" si="37">V1</f>
        <v>Operating</v>
      </c>
      <c r="W38" s="15" t="str">
        <f t="shared" si="37"/>
        <v>SPED</v>
      </c>
      <c r="X38" s="15" t="str">
        <f t="shared" si="37"/>
        <v>NSLP</v>
      </c>
      <c r="Y38" s="15" t="str">
        <f t="shared" si="37"/>
        <v>Other</v>
      </c>
      <c r="Z38" s="15" t="str">
        <f t="shared" si="37"/>
        <v>Title I</v>
      </c>
      <c r="AA38" s="15" t="str">
        <f t="shared" si="37"/>
        <v>Title II</v>
      </c>
      <c r="AB38" s="15" t="str">
        <f t="shared" si="37"/>
        <v>Title III</v>
      </c>
      <c r="AC38" s="15" t="str">
        <f t="shared" si="37"/>
        <v>MANN</v>
      </c>
    </row>
    <row r="39" spans="1:29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38">SUM(B39:H39)</f>
        <v>1</v>
      </c>
      <c r="J39" s="11"/>
      <c r="L39" s="22">
        <v>1</v>
      </c>
      <c r="M39" s="22"/>
      <c r="N39" s="22"/>
      <c r="O39" s="22"/>
      <c r="P39" s="22"/>
      <c r="Q39" s="22"/>
      <c r="R39" s="22"/>
      <c r="S39" s="21">
        <f t="shared" ref="S39" si="39">SUM(L39:R39)</f>
        <v>1</v>
      </c>
      <c r="T39" s="11"/>
      <c r="V39" s="22">
        <f>B39+L39</f>
        <v>2</v>
      </c>
      <c r="W39" s="22">
        <f t="shared" ref="W39:Y54" si="40">C39+M39</f>
        <v>0</v>
      </c>
      <c r="X39" s="22">
        <f t="shared" si="40"/>
        <v>0</v>
      </c>
      <c r="Y39" s="22">
        <f t="shared" si="40"/>
        <v>0</v>
      </c>
      <c r="Z39" s="22"/>
      <c r="AA39" s="22"/>
      <c r="AB39" s="22"/>
      <c r="AC39" s="21">
        <f t="shared" ref="AC39" si="41">SUM(V39:AB39)</f>
        <v>2</v>
      </c>
    </row>
    <row r="40" spans="1:29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  <c r="L40" s="22">
        <v>1</v>
      </c>
      <c r="M40" s="22"/>
      <c r="N40" s="22"/>
      <c r="O40" s="22"/>
      <c r="P40" s="22"/>
      <c r="Q40" s="22"/>
      <c r="R40" s="22"/>
      <c r="S40" s="21">
        <f>SUM(L40:R40)</f>
        <v>1</v>
      </c>
      <c r="T40" s="11"/>
      <c r="V40" s="22">
        <f t="shared" ref="V40:Y60" si="42">B40+L40</f>
        <v>2</v>
      </c>
      <c r="W40" s="22">
        <f t="shared" si="40"/>
        <v>0</v>
      </c>
      <c r="X40" s="22">
        <f t="shared" si="40"/>
        <v>0</v>
      </c>
      <c r="Y40" s="22">
        <f t="shared" si="40"/>
        <v>0</v>
      </c>
      <c r="Z40" s="22"/>
      <c r="AA40" s="22"/>
      <c r="AB40" s="22"/>
      <c r="AC40" s="21">
        <f>SUM(V40:AB40)</f>
        <v>2</v>
      </c>
    </row>
    <row r="41" spans="1:29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  <c r="L41" s="22">
        <v>1</v>
      </c>
      <c r="M41" s="22"/>
      <c r="N41" s="22"/>
      <c r="O41" s="22"/>
      <c r="P41" s="22"/>
      <c r="Q41" s="22"/>
      <c r="R41" s="22"/>
      <c r="S41" s="21">
        <f>SUM(L41:R41)</f>
        <v>1</v>
      </c>
      <c r="T41" s="11"/>
      <c r="V41" s="22">
        <f t="shared" si="42"/>
        <v>1</v>
      </c>
      <c r="W41" s="22">
        <f t="shared" si="40"/>
        <v>0</v>
      </c>
      <c r="X41" s="22">
        <f t="shared" si="40"/>
        <v>0</v>
      </c>
      <c r="Y41" s="22">
        <f t="shared" si="40"/>
        <v>0</v>
      </c>
      <c r="Z41" s="22"/>
      <c r="AA41" s="22"/>
      <c r="AB41" s="22"/>
      <c r="AC41" s="21">
        <f>SUM(V41:AB41)</f>
        <v>1</v>
      </c>
    </row>
    <row r="42" spans="1:29" x14ac:dyDescent="0.35">
      <c r="A42" s="27" t="s">
        <v>36</v>
      </c>
      <c r="B42" s="22">
        <v>0</v>
      </c>
      <c r="C42" s="22"/>
      <c r="D42" s="22"/>
      <c r="E42" s="22"/>
      <c r="F42" s="22"/>
      <c r="G42" s="22"/>
      <c r="H42" s="22"/>
      <c r="I42" s="21">
        <f>SUM(B42:H42)</f>
        <v>0</v>
      </c>
      <c r="J42" s="11"/>
      <c r="L42" s="22">
        <v>0</v>
      </c>
      <c r="M42" s="22"/>
      <c r="N42" s="22"/>
      <c r="O42" s="22"/>
      <c r="P42" s="22"/>
      <c r="Q42" s="22"/>
      <c r="R42" s="22"/>
      <c r="S42" s="21">
        <f>SUM(L42:R42)</f>
        <v>0</v>
      </c>
      <c r="T42" s="11"/>
      <c r="V42" s="22">
        <f t="shared" si="42"/>
        <v>0</v>
      </c>
      <c r="W42" s="22">
        <f t="shared" si="40"/>
        <v>0</v>
      </c>
      <c r="X42" s="22">
        <f t="shared" si="40"/>
        <v>0</v>
      </c>
      <c r="Y42" s="22">
        <f t="shared" si="40"/>
        <v>0</v>
      </c>
      <c r="Z42" s="22"/>
      <c r="AA42" s="22"/>
      <c r="AB42" s="22"/>
      <c r="AC42" s="21">
        <f>SUM(V42:AB42)</f>
        <v>0</v>
      </c>
    </row>
    <row r="43" spans="1:29" x14ac:dyDescent="0.35">
      <c r="A43" s="27" t="s">
        <v>38</v>
      </c>
      <c r="B43" s="22">
        <v>1</v>
      </c>
      <c r="C43" s="22"/>
      <c r="D43" s="22"/>
      <c r="E43" s="22"/>
      <c r="F43" s="22"/>
      <c r="G43" s="22"/>
      <c r="H43" s="22"/>
      <c r="I43" s="21">
        <f>SUM(B43:H43)</f>
        <v>1</v>
      </c>
      <c r="J43" s="11"/>
      <c r="L43" s="22">
        <v>0</v>
      </c>
      <c r="M43" s="22"/>
      <c r="N43" s="22"/>
      <c r="O43" s="22"/>
      <c r="P43" s="22"/>
      <c r="Q43" s="22"/>
      <c r="R43" s="22"/>
      <c r="S43" s="21">
        <f>SUM(L43:R43)</f>
        <v>0</v>
      </c>
      <c r="T43" s="11"/>
      <c r="V43" s="22">
        <f t="shared" si="42"/>
        <v>1</v>
      </c>
      <c r="W43" s="22">
        <f t="shared" si="40"/>
        <v>0</v>
      </c>
      <c r="X43" s="22">
        <f t="shared" si="40"/>
        <v>0</v>
      </c>
      <c r="Y43" s="22">
        <f t="shared" si="40"/>
        <v>0</v>
      </c>
      <c r="Z43" s="22"/>
      <c r="AA43" s="22"/>
      <c r="AB43" s="22"/>
      <c r="AC43" s="21">
        <f>SUM(V43:AB43)</f>
        <v>1</v>
      </c>
    </row>
    <row r="44" spans="1:29" x14ac:dyDescent="0.35">
      <c r="A44" s="27" t="s">
        <v>46</v>
      </c>
      <c r="B44" s="22">
        <v>1</v>
      </c>
      <c r="C44" s="22"/>
      <c r="D44" s="22"/>
      <c r="E44" s="22"/>
      <c r="F44" s="22"/>
      <c r="G44" s="22"/>
      <c r="H44" s="22"/>
      <c r="I44" s="21">
        <f>SUM(B44:H44)</f>
        <v>1</v>
      </c>
      <c r="J44" s="11"/>
      <c r="L44" s="22">
        <v>0</v>
      </c>
      <c r="M44" s="22"/>
      <c r="N44" s="22"/>
      <c r="O44" s="22"/>
      <c r="P44" s="22"/>
      <c r="Q44" s="22"/>
      <c r="R44" s="22"/>
      <c r="S44" s="21">
        <f>SUM(L44:R44)</f>
        <v>0</v>
      </c>
      <c r="T44" s="11"/>
      <c r="V44" s="22">
        <f t="shared" si="42"/>
        <v>1</v>
      </c>
      <c r="W44" s="22">
        <f t="shared" si="40"/>
        <v>0</v>
      </c>
      <c r="X44" s="22">
        <f t="shared" si="40"/>
        <v>0</v>
      </c>
      <c r="Y44" s="22">
        <f t="shared" si="40"/>
        <v>0</v>
      </c>
      <c r="Z44" s="22"/>
      <c r="AA44" s="22"/>
      <c r="AB44" s="22"/>
      <c r="AC44" s="21">
        <f>SUM(V44:AB44)</f>
        <v>1</v>
      </c>
    </row>
    <row r="45" spans="1:29" x14ac:dyDescent="0.35">
      <c r="A45" s="27" t="s">
        <v>48</v>
      </c>
      <c r="B45" s="22">
        <v>0</v>
      </c>
      <c r="C45" s="22"/>
      <c r="D45" s="22"/>
      <c r="E45" s="22"/>
      <c r="F45" s="22"/>
      <c r="G45" s="22"/>
      <c r="H45" s="22"/>
      <c r="I45" s="21">
        <f t="shared" si="38"/>
        <v>0</v>
      </c>
      <c r="J45" s="11"/>
      <c r="L45" s="22">
        <v>0</v>
      </c>
      <c r="M45" s="22"/>
      <c r="N45" s="22"/>
      <c r="O45" s="22"/>
      <c r="P45" s="22"/>
      <c r="Q45" s="22"/>
      <c r="R45" s="22"/>
      <c r="S45" s="21">
        <f t="shared" ref="S45:S46" si="43">SUM(L45:R45)</f>
        <v>0</v>
      </c>
      <c r="T45" s="11"/>
      <c r="V45" s="22">
        <f t="shared" si="42"/>
        <v>0</v>
      </c>
      <c r="W45" s="22">
        <f t="shared" si="40"/>
        <v>0</v>
      </c>
      <c r="X45" s="22">
        <f t="shared" si="40"/>
        <v>0</v>
      </c>
      <c r="Y45" s="22">
        <f t="shared" si="40"/>
        <v>0</v>
      </c>
      <c r="Z45" s="22"/>
      <c r="AA45" s="22"/>
      <c r="AB45" s="22"/>
      <c r="AC45" s="21">
        <f t="shared" ref="AC45:AC46" si="44">SUM(V45:AB45)</f>
        <v>0</v>
      </c>
    </row>
    <row r="46" spans="1:29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38"/>
        <v>1</v>
      </c>
      <c r="J46" s="11"/>
      <c r="L46" s="22">
        <v>1</v>
      </c>
      <c r="M46" s="22"/>
      <c r="N46" s="22"/>
      <c r="O46" s="22"/>
      <c r="P46" s="22"/>
      <c r="Q46" s="22"/>
      <c r="R46" s="22"/>
      <c r="S46" s="21">
        <f t="shared" si="43"/>
        <v>1</v>
      </c>
      <c r="T46" s="11"/>
      <c r="V46" s="22">
        <f t="shared" si="42"/>
        <v>2</v>
      </c>
      <c r="W46" s="22">
        <f t="shared" si="40"/>
        <v>0</v>
      </c>
      <c r="X46" s="22">
        <f t="shared" si="40"/>
        <v>0</v>
      </c>
      <c r="Y46" s="22">
        <f t="shared" si="40"/>
        <v>0</v>
      </c>
      <c r="Z46" s="22"/>
      <c r="AA46" s="22"/>
      <c r="AB46" s="22"/>
      <c r="AC46" s="21">
        <f t="shared" si="44"/>
        <v>2</v>
      </c>
    </row>
    <row r="47" spans="1:29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  <c r="L47" s="22">
        <v>1</v>
      </c>
      <c r="M47" s="22"/>
      <c r="N47" s="22"/>
      <c r="O47" s="22"/>
      <c r="P47" s="22"/>
      <c r="Q47" s="22"/>
      <c r="R47" s="22"/>
      <c r="S47" s="21">
        <f>SUM(L47:R47)</f>
        <v>1</v>
      </c>
      <c r="T47" s="11"/>
      <c r="V47" s="22">
        <f t="shared" si="42"/>
        <v>2</v>
      </c>
      <c r="W47" s="22">
        <f t="shared" si="40"/>
        <v>0</v>
      </c>
      <c r="X47" s="22">
        <f t="shared" si="40"/>
        <v>0</v>
      </c>
      <c r="Y47" s="22">
        <f t="shared" si="40"/>
        <v>0</v>
      </c>
      <c r="Z47" s="22"/>
      <c r="AA47" s="22"/>
      <c r="AB47" s="22"/>
      <c r="AC47" s="21">
        <f>SUM(V47:AB47)</f>
        <v>2</v>
      </c>
    </row>
    <row r="48" spans="1:29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38"/>
        <v>1</v>
      </c>
      <c r="J48" s="11"/>
      <c r="L48" s="22">
        <v>0</v>
      </c>
      <c r="M48" s="22"/>
      <c r="N48" s="22"/>
      <c r="O48" s="22"/>
      <c r="P48" s="22"/>
      <c r="Q48" s="22"/>
      <c r="R48" s="22"/>
      <c r="S48" s="21">
        <f t="shared" ref="S48" si="45">SUM(L48:R48)</f>
        <v>0</v>
      </c>
      <c r="T48" s="11"/>
      <c r="V48" s="22">
        <f t="shared" si="42"/>
        <v>1</v>
      </c>
      <c r="W48" s="22">
        <f t="shared" si="40"/>
        <v>0</v>
      </c>
      <c r="X48" s="22">
        <f t="shared" si="40"/>
        <v>0</v>
      </c>
      <c r="Y48" s="22">
        <f t="shared" si="40"/>
        <v>0</v>
      </c>
      <c r="Z48" s="22"/>
      <c r="AA48" s="22"/>
      <c r="AB48" s="22"/>
      <c r="AC48" s="21">
        <f t="shared" ref="AC48" si="46">SUM(V48:AB48)</f>
        <v>1</v>
      </c>
    </row>
    <row r="49" spans="1:29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  <c r="L49" s="22">
        <v>1</v>
      </c>
      <c r="M49" s="22"/>
      <c r="N49" s="22"/>
      <c r="O49" s="22"/>
      <c r="P49" s="22"/>
      <c r="Q49" s="22"/>
      <c r="R49" s="22"/>
      <c r="S49" s="21">
        <f>SUM(L49:R49)</f>
        <v>1</v>
      </c>
      <c r="T49" s="11"/>
      <c r="V49" s="22">
        <f t="shared" si="42"/>
        <v>1</v>
      </c>
      <c r="W49" s="22">
        <f t="shared" si="40"/>
        <v>0</v>
      </c>
      <c r="X49" s="22">
        <f t="shared" si="40"/>
        <v>0</v>
      </c>
      <c r="Y49" s="22">
        <f t="shared" si="40"/>
        <v>0</v>
      </c>
      <c r="Z49" s="22"/>
      <c r="AA49" s="22"/>
      <c r="AB49" s="22"/>
      <c r="AC49" s="21">
        <f>SUM(V49:AB49)</f>
        <v>1</v>
      </c>
    </row>
    <row r="50" spans="1:29" x14ac:dyDescent="0.35">
      <c r="A50" s="25" t="s">
        <v>51</v>
      </c>
      <c r="B50" s="22">
        <v>5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10</v>
      </c>
      <c r="J50" s="11"/>
      <c r="L50" s="22">
        <v>1</v>
      </c>
      <c r="M50" s="22">
        <v>2</v>
      </c>
      <c r="N50" s="22">
        <v>2</v>
      </c>
      <c r="O50" s="22"/>
      <c r="P50" s="22"/>
      <c r="Q50" s="22"/>
      <c r="R50" s="22"/>
      <c r="S50" s="21">
        <f>SUM(L50:R50)</f>
        <v>5</v>
      </c>
      <c r="T50" s="11"/>
      <c r="V50" s="22">
        <f t="shared" si="42"/>
        <v>6</v>
      </c>
      <c r="W50" s="22">
        <f t="shared" si="40"/>
        <v>5</v>
      </c>
      <c r="X50" s="22">
        <f t="shared" si="40"/>
        <v>4</v>
      </c>
      <c r="Y50" s="22">
        <f t="shared" si="40"/>
        <v>0</v>
      </c>
      <c r="Z50" s="22"/>
      <c r="AA50" s="22"/>
      <c r="AB50" s="22"/>
      <c r="AC50" s="21">
        <f>SUM(V50:AB50)</f>
        <v>15</v>
      </c>
    </row>
    <row r="51" spans="1:29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38"/>
        <v>0</v>
      </c>
      <c r="J51" s="11"/>
      <c r="L51" s="22">
        <v>2</v>
      </c>
      <c r="M51" s="22"/>
      <c r="N51" s="22"/>
      <c r="O51" s="22"/>
      <c r="P51" s="22"/>
      <c r="Q51" s="22"/>
      <c r="R51" s="22"/>
      <c r="S51" s="21">
        <f t="shared" ref="S51" si="47">SUM(L51:R51)</f>
        <v>2</v>
      </c>
      <c r="T51" s="11"/>
      <c r="V51" s="22">
        <f t="shared" si="42"/>
        <v>2</v>
      </c>
      <c r="W51" s="22">
        <f t="shared" si="40"/>
        <v>0</v>
      </c>
      <c r="X51" s="22">
        <f t="shared" si="40"/>
        <v>0</v>
      </c>
      <c r="Y51" s="22">
        <f t="shared" si="40"/>
        <v>0</v>
      </c>
      <c r="Z51" s="22"/>
      <c r="AA51" s="22"/>
      <c r="AB51" s="22"/>
      <c r="AC51" s="21">
        <f t="shared" ref="AC51" si="48">SUM(V51:AB51)</f>
        <v>2</v>
      </c>
    </row>
    <row r="52" spans="1:29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  <c r="L52" s="22"/>
      <c r="M52" s="22"/>
      <c r="N52" s="22">
        <v>1</v>
      </c>
      <c r="O52" s="22"/>
      <c r="P52" s="22"/>
      <c r="Q52" s="22"/>
      <c r="R52" s="22"/>
      <c r="S52" s="21">
        <f>SUM(L52:R52)</f>
        <v>1</v>
      </c>
      <c r="T52" s="11"/>
      <c r="V52" s="22">
        <f t="shared" si="42"/>
        <v>0</v>
      </c>
      <c r="W52" s="22">
        <f t="shared" si="40"/>
        <v>0</v>
      </c>
      <c r="X52" s="22">
        <f t="shared" si="40"/>
        <v>1</v>
      </c>
      <c r="Y52" s="22">
        <f t="shared" si="40"/>
        <v>0</v>
      </c>
      <c r="Z52" s="22"/>
      <c r="AA52" s="22"/>
      <c r="AB52" s="22"/>
      <c r="AC52" s="21">
        <f>SUM(V52:AB52)</f>
        <v>1</v>
      </c>
    </row>
    <row r="53" spans="1:29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38"/>
        <v>0</v>
      </c>
      <c r="J53" s="6"/>
      <c r="L53" s="22">
        <v>0</v>
      </c>
      <c r="M53" s="22"/>
      <c r="N53" s="22"/>
      <c r="O53" s="22"/>
      <c r="P53" s="22"/>
      <c r="Q53" s="22"/>
      <c r="R53" s="22"/>
      <c r="S53" s="21">
        <f t="shared" ref="S53:S55" si="49">SUM(L53:R53)</f>
        <v>0</v>
      </c>
      <c r="T53" s="6"/>
      <c r="V53" s="22">
        <f t="shared" si="42"/>
        <v>0</v>
      </c>
      <c r="W53" s="22">
        <f t="shared" si="40"/>
        <v>0</v>
      </c>
      <c r="X53" s="22">
        <f t="shared" si="40"/>
        <v>0</v>
      </c>
      <c r="Y53" s="22">
        <f t="shared" si="40"/>
        <v>0</v>
      </c>
      <c r="Z53" s="22"/>
      <c r="AA53" s="22"/>
      <c r="AB53" s="22"/>
      <c r="AC53" s="21">
        <f t="shared" ref="AC53:AC55" si="50">SUM(V53:AB53)</f>
        <v>0</v>
      </c>
    </row>
    <row r="54" spans="1:29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38"/>
        <v>0</v>
      </c>
      <c r="J54" s="6"/>
      <c r="L54" s="22"/>
      <c r="M54" s="22">
        <v>0</v>
      </c>
      <c r="N54" s="22"/>
      <c r="O54" s="22"/>
      <c r="P54" s="22"/>
      <c r="Q54" s="22"/>
      <c r="R54" s="22"/>
      <c r="S54" s="21">
        <f t="shared" si="49"/>
        <v>0</v>
      </c>
      <c r="T54" s="6"/>
      <c r="V54" s="22">
        <f t="shared" si="42"/>
        <v>0</v>
      </c>
      <c r="W54" s="22">
        <f t="shared" si="40"/>
        <v>0</v>
      </c>
      <c r="X54" s="22">
        <f t="shared" si="40"/>
        <v>0</v>
      </c>
      <c r="Y54" s="22">
        <f t="shared" si="40"/>
        <v>0</v>
      </c>
      <c r="Z54" s="22"/>
      <c r="AA54" s="22"/>
      <c r="AB54" s="22"/>
      <c r="AC54" s="21">
        <f t="shared" si="50"/>
        <v>0</v>
      </c>
    </row>
    <row r="55" spans="1:29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38"/>
        <v>1</v>
      </c>
      <c r="J55" s="6"/>
      <c r="L55" s="22"/>
      <c r="M55" s="22">
        <v>0</v>
      </c>
      <c r="N55" s="22"/>
      <c r="O55" s="22"/>
      <c r="P55" s="22"/>
      <c r="Q55" s="22"/>
      <c r="R55" s="22"/>
      <c r="S55" s="21">
        <f t="shared" si="49"/>
        <v>0</v>
      </c>
      <c r="T55" s="6"/>
      <c r="V55" s="22">
        <f t="shared" si="42"/>
        <v>0</v>
      </c>
      <c r="W55" s="22">
        <f t="shared" si="42"/>
        <v>1</v>
      </c>
      <c r="X55" s="22">
        <f t="shared" si="42"/>
        <v>0</v>
      </c>
      <c r="Y55" s="22">
        <f t="shared" si="42"/>
        <v>0</v>
      </c>
      <c r="Z55" s="22"/>
      <c r="AA55" s="22"/>
      <c r="AB55" s="22"/>
      <c r="AC55" s="21">
        <f t="shared" si="50"/>
        <v>1</v>
      </c>
    </row>
    <row r="56" spans="1:29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  <c r="L56" s="22"/>
      <c r="M56" s="22">
        <v>0</v>
      </c>
      <c r="N56" s="22"/>
      <c r="O56" s="22"/>
      <c r="P56" s="22"/>
      <c r="Q56" s="22"/>
      <c r="R56" s="22"/>
      <c r="S56" s="21">
        <f>SUM(L56:R56)</f>
        <v>0</v>
      </c>
      <c r="T56" s="6"/>
      <c r="V56" s="22">
        <f t="shared" si="42"/>
        <v>0</v>
      </c>
      <c r="W56" s="22">
        <f t="shared" si="42"/>
        <v>0</v>
      </c>
      <c r="X56" s="22">
        <f t="shared" si="42"/>
        <v>0</v>
      </c>
      <c r="Y56" s="22">
        <f t="shared" si="42"/>
        <v>0</v>
      </c>
      <c r="Z56" s="22"/>
      <c r="AA56" s="22"/>
      <c r="AB56" s="22"/>
      <c r="AC56" s="21">
        <f>SUM(V56:AB56)</f>
        <v>0</v>
      </c>
    </row>
    <row r="57" spans="1:29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38"/>
        <v>0</v>
      </c>
      <c r="J57" s="6"/>
      <c r="L57" s="22"/>
      <c r="M57" s="22"/>
      <c r="N57" s="22"/>
      <c r="O57" s="22"/>
      <c r="P57" s="22"/>
      <c r="Q57" s="22"/>
      <c r="R57" s="22"/>
      <c r="S57" s="21">
        <f t="shared" ref="S57" si="51">SUM(L57:R57)</f>
        <v>0</v>
      </c>
      <c r="T57" s="6"/>
      <c r="V57" s="22">
        <f t="shared" si="42"/>
        <v>0</v>
      </c>
      <c r="W57" s="22">
        <f t="shared" si="42"/>
        <v>0</v>
      </c>
      <c r="X57" s="22">
        <f t="shared" si="42"/>
        <v>0</v>
      </c>
      <c r="Y57" s="22">
        <f t="shared" si="42"/>
        <v>0</v>
      </c>
      <c r="Z57" s="22"/>
      <c r="AA57" s="22"/>
      <c r="AB57" s="22"/>
      <c r="AC57" s="21">
        <f t="shared" ref="AC57" si="52">SUM(V57:AB57)</f>
        <v>0</v>
      </c>
    </row>
    <row r="58" spans="1:29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  <c r="L58" s="22">
        <v>0</v>
      </c>
      <c r="M58" s="22"/>
      <c r="N58" s="22"/>
      <c r="O58" s="22"/>
      <c r="P58" s="22"/>
      <c r="Q58" s="22"/>
      <c r="R58" s="22"/>
      <c r="S58" s="21">
        <f>SUM(L58:R58)</f>
        <v>0</v>
      </c>
      <c r="T58" s="6"/>
      <c r="V58" s="22">
        <f t="shared" si="42"/>
        <v>0</v>
      </c>
      <c r="W58" s="22">
        <f t="shared" si="42"/>
        <v>0</v>
      </c>
      <c r="X58" s="22">
        <f t="shared" si="42"/>
        <v>0</v>
      </c>
      <c r="Y58" s="22">
        <f t="shared" si="42"/>
        <v>0</v>
      </c>
      <c r="Z58" s="22"/>
      <c r="AA58" s="22"/>
      <c r="AB58" s="22"/>
      <c r="AC58" s="21">
        <f>SUM(V58:AB58)</f>
        <v>0</v>
      </c>
    </row>
    <row r="59" spans="1:29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38"/>
        <v>0</v>
      </c>
      <c r="J59" s="6"/>
      <c r="L59" s="22">
        <v>0</v>
      </c>
      <c r="M59" s="22"/>
      <c r="N59" s="22"/>
      <c r="O59" s="22"/>
      <c r="P59" s="22"/>
      <c r="Q59" s="22"/>
      <c r="R59" s="22"/>
      <c r="S59" s="21">
        <f t="shared" ref="S59:S60" si="53">SUM(L59:R59)</f>
        <v>0</v>
      </c>
      <c r="T59" s="6"/>
      <c r="V59" s="22">
        <f t="shared" si="42"/>
        <v>0</v>
      </c>
      <c r="W59" s="22">
        <f t="shared" si="42"/>
        <v>0</v>
      </c>
      <c r="X59" s="22">
        <f t="shared" si="42"/>
        <v>0</v>
      </c>
      <c r="Y59" s="22">
        <f t="shared" si="42"/>
        <v>0</v>
      </c>
      <c r="Z59" s="22"/>
      <c r="AA59" s="22"/>
      <c r="AB59" s="22"/>
      <c r="AC59" s="21">
        <f t="shared" ref="AC59:AC60" si="54">SUM(V59:AB59)</f>
        <v>0</v>
      </c>
    </row>
    <row r="60" spans="1:29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38"/>
        <v>0</v>
      </c>
      <c r="J60" s="6"/>
      <c r="L60" s="21"/>
      <c r="M60" s="21"/>
      <c r="N60" s="21"/>
      <c r="O60" s="21"/>
      <c r="P60" s="21"/>
      <c r="Q60" s="21"/>
      <c r="R60" s="21"/>
      <c r="S60" s="21">
        <f t="shared" si="53"/>
        <v>0</v>
      </c>
      <c r="T60" s="6"/>
      <c r="V60" s="22">
        <f t="shared" si="42"/>
        <v>0</v>
      </c>
      <c r="W60" s="22">
        <f t="shared" si="42"/>
        <v>0</v>
      </c>
      <c r="X60" s="22">
        <f t="shared" si="42"/>
        <v>0</v>
      </c>
      <c r="Y60" s="22">
        <f t="shared" si="42"/>
        <v>0</v>
      </c>
      <c r="Z60" s="21"/>
      <c r="AA60" s="21"/>
      <c r="AB60" s="21"/>
      <c r="AC60" s="21">
        <f t="shared" si="54"/>
        <v>0</v>
      </c>
    </row>
    <row r="61" spans="1:29" x14ac:dyDescent="0.35">
      <c r="A61" s="20" t="s">
        <v>58</v>
      </c>
      <c r="B61" s="28">
        <f t="shared" ref="B61:I61" si="55">SUM(B39:B60)</f>
        <v>12</v>
      </c>
      <c r="C61" s="28">
        <f t="shared" si="55"/>
        <v>4</v>
      </c>
      <c r="D61" s="28">
        <f t="shared" si="55"/>
        <v>2</v>
      </c>
      <c r="E61" s="28">
        <f t="shared" si="55"/>
        <v>0</v>
      </c>
      <c r="F61" s="28">
        <f t="shared" si="55"/>
        <v>0</v>
      </c>
      <c r="G61" s="28">
        <f t="shared" si="55"/>
        <v>0</v>
      </c>
      <c r="H61" s="28">
        <f t="shared" si="55"/>
        <v>0</v>
      </c>
      <c r="I61" s="28">
        <f t="shared" si="55"/>
        <v>18</v>
      </c>
      <c r="J61" s="7"/>
      <c r="L61" s="28">
        <f t="shared" ref="L61:S61" si="56">SUM(L39:L60)</f>
        <v>9</v>
      </c>
      <c r="M61" s="28">
        <f t="shared" si="56"/>
        <v>2</v>
      </c>
      <c r="N61" s="28">
        <f t="shared" si="56"/>
        <v>3</v>
      </c>
      <c r="O61" s="28">
        <f t="shared" si="56"/>
        <v>0</v>
      </c>
      <c r="P61" s="28">
        <f t="shared" si="56"/>
        <v>0</v>
      </c>
      <c r="Q61" s="28">
        <f t="shared" si="56"/>
        <v>0</v>
      </c>
      <c r="R61" s="28">
        <f t="shared" si="56"/>
        <v>0</v>
      </c>
      <c r="S61" s="28">
        <f t="shared" si="56"/>
        <v>14</v>
      </c>
      <c r="T61" s="7"/>
      <c r="V61" s="28">
        <f t="shared" ref="V61:AC61" si="57">SUM(V39:V60)</f>
        <v>21</v>
      </c>
      <c r="W61" s="28">
        <f t="shared" si="57"/>
        <v>6</v>
      </c>
      <c r="X61" s="28">
        <f t="shared" si="57"/>
        <v>5</v>
      </c>
      <c r="Y61" s="28">
        <f t="shared" si="57"/>
        <v>0</v>
      </c>
      <c r="Z61" s="28">
        <f t="shared" si="57"/>
        <v>0</v>
      </c>
      <c r="AA61" s="28">
        <f t="shared" si="57"/>
        <v>0</v>
      </c>
      <c r="AB61" s="28">
        <f t="shared" si="57"/>
        <v>0</v>
      </c>
      <c r="AC61" s="28">
        <f t="shared" si="57"/>
        <v>32</v>
      </c>
    </row>
    <row r="62" spans="1:29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  <c r="L62" s="30"/>
      <c r="M62" s="30"/>
      <c r="N62" s="30"/>
      <c r="O62" s="30"/>
      <c r="P62" s="30"/>
      <c r="Q62" s="30"/>
      <c r="R62" s="30"/>
      <c r="S62" s="30"/>
      <c r="T62" s="7"/>
      <c r="V62" s="30"/>
      <c r="W62" s="30"/>
      <c r="X62" s="30"/>
      <c r="Y62" s="30"/>
      <c r="Z62" s="30"/>
      <c r="AA62" s="30"/>
      <c r="AB62" s="30"/>
      <c r="AC62" s="30"/>
    </row>
    <row r="63" spans="1:29" x14ac:dyDescent="0.35">
      <c r="A63" s="31" t="s">
        <v>59</v>
      </c>
      <c r="B63" s="32">
        <f t="shared" ref="B63:I63" si="58">B36</f>
        <v>21</v>
      </c>
      <c r="C63" s="32">
        <f t="shared" si="58"/>
        <v>3</v>
      </c>
      <c r="D63" s="32">
        <f t="shared" si="58"/>
        <v>0</v>
      </c>
      <c r="E63" s="32">
        <f t="shared" si="58"/>
        <v>0</v>
      </c>
      <c r="F63" s="32">
        <f t="shared" si="58"/>
        <v>0</v>
      </c>
      <c r="G63" s="32">
        <f t="shared" si="58"/>
        <v>0</v>
      </c>
      <c r="H63" s="32">
        <f t="shared" si="58"/>
        <v>0</v>
      </c>
      <c r="I63" s="32">
        <f t="shared" si="58"/>
        <v>24</v>
      </c>
      <c r="J63" s="7"/>
      <c r="L63" s="32">
        <f t="shared" ref="L63:S63" si="59">L36</f>
        <v>32.5</v>
      </c>
      <c r="M63" s="32">
        <f t="shared" si="59"/>
        <v>3</v>
      </c>
      <c r="N63" s="32">
        <f t="shared" si="59"/>
        <v>0</v>
      </c>
      <c r="O63" s="32">
        <f t="shared" si="59"/>
        <v>0</v>
      </c>
      <c r="P63" s="32">
        <f t="shared" si="59"/>
        <v>0</v>
      </c>
      <c r="Q63" s="32">
        <f t="shared" si="59"/>
        <v>0</v>
      </c>
      <c r="R63" s="32">
        <f t="shared" si="59"/>
        <v>0</v>
      </c>
      <c r="S63" s="32">
        <f t="shared" si="59"/>
        <v>35.5</v>
      </c>
      <c r="T63" s="7"/>
      <c r="V63" s="32">
        <f t="shared" ref="V63:AC63" si="60">V36</f>
        <v>53.5</v>
      </c>
      <c r="W63" s="32">
        <f t="shared" si="60"/>
        <v>6</v>
      </c>
      <c r="X63" s="32">
        <f t="shared" si="60"/>
        <v>0</v>
      </c>
      <c r="Y63" s="32">
        <f t="shared" si="60"/>
        <v>0</v>
      </c>
      <c r="Z63" s="32">
        <f t="shared" si="60"/>
        <v>0</v>
      </c>
      <c r="AA63" s="32">
        <f t="shared" si="60"/>
        <v>0</v>
      </c>
      <c r="AB63" s="32">
        <f t="shared" si="60"/>
        <v>0</v>
      </c>
      <c r="AC63" s="32">
        <f t="shared" si="60"/>
        <v>59.5</v>
      </c>
    </row>
    <row r="64" spans="1:29" x14ac:dyDescent="0.35">
      <c r="A64" s="33" t="s">
        <v>60</v>
      </c>
      <c r="B64" s="34">
        <f>B61</f>
        <v>12</v>
      </c>
      <c r="C64" s="34">
        <f t="shared" ref="C64:I64" si="61">C61</f>
        <v>4</v>
      </c>
      <c r="D64" s="34">
        <f t="shared" si="61"/>
        <v>2</v>
      </c>
      <c r="E64" s="34">
        <f t="shared" si="61"/>
        <v>0</v>
      </c>
      <c r="F64" s="34">
        <f t="shared" si="61"/>
        <v>0</v>
      </c>
      <c r="G64" s="34">
        <f t="shared" si="61"/>
        <v>0</v>
      </c>
      <c r="H64" s="34">
        <f t="shared" si="61"/>
        <v>0</v>
      </c>
      <c r="I64" s="34">
        <f t="shared" si="61"/>
        <v>18</v>
      </c>
      <c r="J64" s="7"/>
      <c r="L64" s="34">
        <f>L61</f>
        <v>9</v>
      </c>
      <c r="M64" s="34">
        <f t="shared" ref="M64:S64" si="62">M61</f>
        <v>2</v>
      </c>
      <c r="N64" s="34">
        <f t="shared" si="62"/>
        <v>3</v>
      </c>
      <c r="O64" s="34">
        <f t="shared" si="62"/>
        <v>0</v>
      </c>
      <c r="P64" s="34">
        <f t="shared" si="62"/>
        <v>0</v>
      </c>
      <c r="Q64" s="34">
        <f t="shared" si="62"/>
        <v>0</v>
      </c>
      <c r="R64" s="34">
        <f t="shared" si="62"/>
        <v>0</v>
      </c>
      <c r="S64" s="34">
        <f t="shared" si="62"/>
        <v>14</v>
      </c>
      <c r="T64" s="7"/>
      <c r="V64" s="34">
        <f>V61</f>
        <v>21</v>
      </c>
      <c r="W64" s="34">
        <f t="shared" ref="W64:AC64" si="63">W61</f>
        <v>6</v>
      </c>
      <c r="X64" s="34">
        <f t="shared" si="63"/>
        <v>5</v>
      </c>
      <c r="Y64" s="34">
        <f t="shared" si="63"/>
        <v>0</v>
      </c>
      <c r="Z64" s="34">
        <f t="shared" si="63"/>
        <v>0</v>
      </c>
      <c r="AA64" s="34">
        <f t="shared" si="63"/>
        <v>0</v>
      </c>
      <c r="AB64" s="34">
        <f t="shared" si="63"/>
        <v>0</v>
      </c>
      <c r="AC64" s="34">
        <f t="shared" si="63"/>
        <v>32</v>
      </c>
    </row>
    <row r="65" spans="1:29" ht="15" thickBot="1" x14ac:dyDescent="0.4">
      <c r="A65" s="35" t="s">
        <v>61</v>
      </c>
      <c r="B65" s="36">
        <f>SUM(B63:B64)</f>
        <v>33</v>
      </c>
      <c r="C65" s="36">
        <f t="shared" ref="C65:H65" si="64">SUM(C63:C64)</f>
        <v>7</v>
      </c>
      <c r="D65" s="36">
        <f t="shared" si="64"/>
        <v>2</v>
      </c>
      <c r="E65" s="36">
        <f t="shared" si="64"/>
        <v>0</v>
      </c>
      <c r="F65" s="36">
        <f t="shared" si="64"/>
        <v>0</v>
      </c>
      <c r="G65" s="36">
        <f t="shared" si="64"/>
        <v>0</v>
      </c>
      <c r="H65" s="36">
        <f t="shared" si="64"/>
        <v>0</v>
      </c>
      <c r="I65" s="36">
        <f>SUM(I63:I64)</f>
        <v>42</v>
      </c>
      <c r="J65" s="7"/>
      <c r="L65" s="36">
        <f>SUM(L63:L64)</f>
        <v>41.5</v>
      </c>
      <c r="M65" s="36">
        <f t="shared" ref="M65:R65" si="65">SUM(M63:M64)</f>
        <v>5</v>
      </c>
      <c r="N65" s="36">
        <f t="shared" si="65"/>
        <v>3</v>
      </c>
      <c r="O65" s="36">
        <f t="shared" si="65"/>
        <v>0</v>
      </c>
      <c r="P65" s="36">
        <f t="shared" si="65"/>
        <v>0</v>
      </c>
      <c r="Q65" s="36">
        <f t="shared" si="65"/>
        <v>0</v>
      </c>
      <c r="R65" s="36">
        <f t="shared" si="65"/>
        <v>0</v>
      </c>
      <c r="S65" s="36">
        <f>SUM(S63:S64)</f>
        <v>49.5</v>
      </c>
      <c r="T65" s="7"/>
      <c r="V65" s="36">
        <f>SUM(V63:V64)</f>
        <v>74.5</v>
      </c>
      <c r="W65" s="36">
        <f t="shared" ref="W65:AB65" si="66">SUM(W63:W64)</f>
        <v>12</v>
      </c>
      <c r="X65" s="36">
        <f t="shared" si="66"/>
        <v>5</v>
      </c>
      <c r="Y65" s="36">
        <f t="shared" si="66"/>
        <v>0</v>
      </c>
      <c r="Z65" s="36">
        <f t="shared" si="66"/>
        <v>0</v>
      </c>
      <c r="AA65" s="36">
        <f t="shared" si="66"/>
        <v>0</v>
      </c>
      <c r="AB65" s="36">
        <f t="shared" si="66"/>
        <v>0</v>
      </c>
      <c r="AC65" s="36">
        <f>SUM(AC63:AC64)</f>
        <v>91.5</v>
      </c>
    </row>
    <row r="66" spans="1:29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  <c r="L66" s="37"/>
      <c r="M66" s="37"/>
      <c r="N66" s="37"/>
      <c r="O66" s="37"/>
      <c r="P66" s="37"/>
      <c r="Q66" s="37"/>
      <c r="R66" s="37"/>
      <c r="S66" s="37"/>
      <c r="T66" s="7"/>
      <c r="V66" s="37"/>
      <c r="W66" s="37"/>
      <c r="X66" s="37"/>
      <c r="Y66" s="37"/>
      <c r="Z66" s="37"/>
      <c r="AA66" s="37"/>
      <c r="AB66" s="37"/>
      <c r="AC66" s="37"/>
    </row>
    <row r="67" spans="1:29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0.63503406460413125</v>
      </c>
      <c r="J67" s="7"/>
      <c r="L67" s="39"/>
      <c r="M67" s="39"/>
      <c r="N67" s="39"/>
      <c r="O67" s="39"/>
      <c r="P67" s="39"/>
      <c r="Q67" s="39"/>
      <c r="R67" s="39"/>
      <c r="S67" s="40">
        <f>S142/(S210+S212+S213+S214+S215+S216)</f>
        <v>0.52098512201913993</v>
      </c>
      <c r="T67" s="7"/>
      <c r="V67" s="39"/>
      <c r="W67" s="39"/>
      <c r="X67" s="39"/>
      <c r="Y67" s="39"/>
      <c r="Z67" s="39"/>
      <c r="AA67" s="39"/>
      <c r="AB67" s="39"/>
      <c r="AC67" s="40">
        <f>AC142/(AC210+AC212+AC213+AC214+AC215+AC216)</f>
        <v>0.56830931714201605</v>
      </c>
    </row>
    <row r="68" spans="1:29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0.74850108191247233</v>
      </c>
      <c r="J68" s="7"/>
      <c r="L68" s="39"/>
      <c r="M68" s="39"/>
      <c r="N68" s="39"/>
      <c r="O68" s="39"/>
      <c r="P68" s="39"/>
      <c r="Q68" s="39"/>
      <c r="R68" s="39"/>
      <c r="S68" s="40">
        <f>(S114+S115+S118+S128)/S132</f>
        <v>0.79888104982422958</v>
      </c>
      <c r="T68" s="7"/>
      <c r="V68" s="39"/>
      <c r="W68" s="39"/>
      <c r="X68" s="39"/>
      <c r="Y68" s="39"/>
      <c r="Z68" s="39"/>
      <c r="AA68" s="39"/>
      <c r="AB68" s="39"/>
      <c r="AC68" s="40">
        <f>(AC114+AC115+AC118+AC128)/AC132</f>
        <v>0.77578507637333582</v>
      </c>
    </row>
    <row r="69" spans="1:29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0.21555673574347045</v>
      </c>
      <c r="J69" s="7"/>
      <c r="L69" s="39"/>
      <c r="M69" s="39"/>
      <c r="N69" s="39"/>
      <c r="O69" s="39"/>
      <c r="P69" s="39"/>
      <c r="Q69" s="39"/>
      <c r="R69" s="39"/>
      <c r="S69" s="40">
        <f>(S107+S108+S109+S112+S116+S117+S119+S120++S123+S124+S125+S126+S127+S129+S130)/S132</f>
        <v>0.20111895017577044</v>
      </c>
      <c r="T69" s="7"/>
      <c r="V69" s="39"/>
      <c r="W69" s="39"/>
      <c r="X69" s="39"/>
      <c r="Y69" s="39"/>
      <c r="Z69" s="39"/>
      <c r="AA69" s="39"/>
      <c r="AB69" s="39"/>
      <c r="AC69" s="40">
        <f>(AC107+AC108+AC109+AC112+AC116+AC117+AC119+AC120++AC123+AC124+AC125+AC126+AC127+AC129+AC130)/AC132</f>
        <v>0.20773774581981208</v>
      </c>
    </row>
    <row r="70" spans="1:29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(I213+I214+I215+I216+I212)/(I97-I83-I84)</f>
        <v>9.9973894430949867E-2</v>
      </c>
      <c r="J70" s="7"/>
      <c r="L70" s="39"/>
      <c r="M70" s="39"/>
      <c r="N70" s="39"/>
      <c r="O70" s="39"/>
      <c r="P70" s="39"/>
      <c r="Q70" s="39"/>
      <c r="R70" s="39"/>
      <c r="S70" s="40">
        <f>(S213+S214+S215+S216+S212)/(S97-S83-S84)</f>
        <v>0.19138313921219932</v>
      </c>
      <c r="T70" s="7"/>
      <c r="V70" s="39"/>
      <c r="W70" s="39"/>
      <c r="X70" s="39"/>
      <c r="Y70" s="39"/>
      <c r="Z70" s="39"/>
      <c r="AA70" s="39"/>
      <c r="AB70" s="39"/>
      <c r="AC70" s="40">
        <f>(AC213+AC214+AC215+AC216+AC212)/(AC97-AC83-AC84)</f>
        <v>0.15221756429387778</v>
      </c>
    </row>
    <row r="71" spans="1:29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  <c r="L71" s="37"/>
      <c r="M71" s="37"/>
      <c r="N71" s="37"/>
      <c r="O71" s="37"/>
      <c r="P71" s="37"/>
      <c r="Q71" s="37"/>
      <c r="R71" s="37"/>
      <c r="S71" s="37"/>
      <c r="T71" s="7"/>
      <c r="V71" s="37"/>
      <c r="W71" s="37"/>
      <c r="X71" s="37"/>
      <c r="Y71" s="37"/>
      <c r="Z71" s="37"/>
      <c r="AA71" s="37"/>
      <c r="AB71" s="37"/>
      <c r="AC71" s="37"/>
    </row>
    <row r="72" spans="1:29" ht="15" thickBot="1" x14ac:dyDescent="0.4">
      <c r="A72" s="41" t="s">
        <v>66</v>
      </c>
      <c r="B72" s="42" t="str">
        <f t="shared" ref="B72:I72" si="67">B1</f>
        <v>Operating</v>
      </c>
      <c r="C72" s="42" t="str">
        <f t="shared" si="67"/>
        <v>SPED</v>
      </c>
      <c r="D72" s="42" t="str">
        <f t="shared" si="67"/>
        <v>NSLP</v>
      </c>
      <c r="E72" s="42" t="str">
        <f t="shared" si="67"/>
        <v>Other</v>
      </c>
      <c r="F72" s="42" t="str">
        <f t="shared" si="67"/>
        <v>Title I</v>
      </c>
      <c r="G72" s="42" t="str">
        <f t="shared" si="67"/>
        <v>Title II</v>
      </c>
      <c r="H72" s="42" t="str">
        <f t="shared" si="67"/>
        <v>Title III</v>
      </c>
      <c r="I72" s="42" t="str">
        <f t="shared" si="67"/>
        <v>B&amp;G</v>
      </c>
      <c r="J72" s="7"/>
      <c r="L72" s="42" t="str">
        <f t="shared" ref="L72:S72" si="68">L1</f>
        <v>Operating</v>
      </c>
      <c r="M72" s="42" t="str">
        <f t="shared" si="68"/>
        <v>SPED</v>
      </c>
      <c r="N72" s="42" t="str">
        <f t="shared" si="68"/>
        <v>NSLP</v>
      </c>
      <c r="O72" s="42" t="str">
        <f t="shared" si="68"/>
        <v>Other</v>
      </c>
      <c r="P72" s="42" t="str">
        <f t="shared" si="68"/>
        <v>Title I</v>
      </c>
      <c r="Q72" s="42" t="str">
        <f t="shared" si="68"/>
        <v>Title II</v>
      </c>
      <c r="R72" s="42" t="str">
        <f t="shared" si="68"/>
        <v>Title III</v>
      </c>
      <c r="S72" s="42" t="str">
        <f t="shared" si="68"/>
        <v>New</v>
      </c>
      <c r="T72" s="7"/>
      <c r="V72" s="42" t="str">
        <f t="shared" ref="V72:AC72" si="69">V1</f>
        <v>Operating</v>
      </c>
      <c r="W72" s="42" t="str">
        <f t="shared" si="69"/>
        <v>SPED</v>
      </c>
      <c r="X72" s="42" t="str">
        <f t="shared" si="69"/>
        <v>NSLP</v>
      </c>
      <c r="Y72" s="42" t="str">
        <f t="shared" si="69"/>
        <v>Other</v>
      </c>
      <c r="Z72" s="42" t="str">
        <f t="shared" si="69"/>
        <v>Title I</v>
      </c>
      <c r="AA72" s="42" t="str">
        <f t="shared" si="69"/>
        <v>Title II</v>
      </c>
      <c r="AB72" s="42" t="str">
        <f t="shared" si="69"/>
        <v>Title III</v>
      </c>
      <c r="AC72" s="42" t="str">
        <f t="shared" si="69"/>
        <v>MANN</v>
      </c>
    </row>
    <row r="73" spans="1:29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  <c r="L73" s="44"/>
      <c r="M73" s="44"/>
      <c r="N73" s="44"/>
      <c r="O73" s="44"/>
      <c r="P73" s="44"/>
      <c r="Q73" s="44"/>
      <c r="R73" s="44"/>
      <c r="S73" s="45"/>
      <c r="T73" s="7"/>
      <c r="V73" s="44"/>
      <c r="W73" s="44"/>
      <c r="X73" s="44"/>
      <c r="Y73" s="44"/>
      <c r="Z73" s="44"/>
      <c r="AA73" s="44"/>
      <c r="AB73" s="44"/>
      <c r="AC73" s="45"/>
    </row>
    <row r="74" spans="1:29" x14ac:dyDescent="0.35">
      <c r="A74" s="26" t="s">
        <v>68</v>
      </c>
      <c r="B74" s="46">
        <f>(B2*B3)</f>
        <v>4443075</v>
      </c>
      <c r="C74" s="46"/>
      <c r="D74" s="46"/>
      <c r="E74" s="46"/>
      <c r="F74" s="46"/>
      <c r="G74" s="46"/>
      <c r="H74" s="46"/>
      <c r="I74" s="47">
        <f t="shared" ref="I74:I79" si="70">SUM(B74:H74)</f>
        <v>4443075</v>
      </c>
      <c r="J74" s="11"/>
      <c r="L74" s="46">
        <f>(L2*L3)</f>
        <v>7328685</v>
      </c>
      <c r="M74" s="46"/>
      <c r="N74" s="46"/>
      <c r="O74" s="46"/>
      <c r="P74" s="46"/>
      <c r="Q74" s="46"/>
      <c r="R74" s="46"/>
      <c r="S74" s="47">
        <f t="shared" ref="S74:S79" si="71">SUM(L74:R74)</f>
        <v>7328685</v>
      </c>
      <c r="T74" s="11"/>
      <c r="V74" s="46">
        <f>B74+L74</f>
        <v>11771760</v>
      </c>
      <c r="W74" s="46">
        <f t="shared" ref="W74:Y79" si="72">C74+M74</f>
        <v>0</v>
      </c>
      <c r="X74" s="46">
        <f t="shared" si="72"/>
        <v>0</v>
      </c>
      <c r="Y74" s="46">
        <f t="shared" si="72"/>
        <v>0</v>
      </c>
      <c r="Z74" s="46"/>
      <c r="AA74" s="46"/>
      <c r="AB74" s="46"/>
      <c r="AC74" s="47">
        <f t="shared" ref="AC74:AC79" si="73">SUM(V74:AB74)</f>
        <v>11771760</v>
      </c>
    </row>
    <row r="75" spans="1:29" x14ac:dyDescent="0.35">
      <c r="A75" s="26" t="s">
        <v>69</v>
      </c>
      <c r="B75" s="30">
        <f>4299*B21</f>
        <v>653448</v>
      </c>
      <c r="C75" s="30"/>
      <c r="D75" s="30"/>
      <c r="E75" s="30"/>
      <c r="F75" s="30"/>
      <c r="G75" s="30"/>
      <c r="H75" s="30"/>
      <c r="I75" s="5">
        <f t="shared" si="70"/>
        <v>653448</v>
      </c>
      <c r="J75" s="6">
        <v>4299</v>
      </c>
      <c r="L75" s="30">
        <f>4299*L21</f>
        <v>0</v>
      </c>
      <c r="M75" s="30"/>
      <c r="N75" s="30"/>
      <c r="O75" s="30"/>
      <c r="P75" s="30"/>
      <c r="Q75" s="30"/>
      <c r="R75" s="30"/>
      <c r="S75" s="5">
        <f t="shared" si="71"/>
        <v>0</v>
      </c>
      <c r="T75" s="6">
        <v>4299</v>
      </c>
      <c r="V75" s="46">
        <f t="shared" ref="V75:V79" si="74">B75+L75</f>
        <v>653448</v>
      </c>
      <c r="W75" s="46">
        <f t="shared" si="72"/>
        <v>0</v>
      </c>
      <c r="X75" s="46">
        <f t="shared" si="72"/>
        <v>0</v>
      </c>
      <c r="Y75" s="46">
        <f t="shared" si="72"/>
        <v>0</v>
      </c>
      <c r="Z75" s="30"/>
      <c r="AA75" s="30"/>
      <c r="AB75" s="30"/>
      <c r="AC75" s="5">
        <f t="shared" si="73"/>
        <v>653448</v>
      </c>
    </row>
    <row r="76" spans="1:29" x14ac:dyDescent="0.35">
      <c r="A76" s="26" t="s">
        <v>70</v>
      </c>
      <c r="B76" s="5">
        <f>1146*B22</f>
        <v>0</v>
      </c>
      <c r="C76" s="5"/>
      <c r="D76" s="5"/>
      <c r="E76" s="5"/>
      <c r="F76" s="5"/>
      <c r="G76" s="5"/>
      <c r="H76" s="5"/>
      <c r="I76" s="5">
        <f t="shared" si="70"/>
        <v>0</v>
      </c>
      <c r="J76" s="6">
        <v>1146</v>
      </c>
      <c r="L76" s="5">
        <f>1146*L22</f>
        <v>0</v>
      </c>
      <c r="M76" s="5"/>
      <c r="N76" s="5"/>
      <c r="O76" s="5"/>
      <c r="P76" s="5"/>
      <c r="Q76" s="5"/>
      <c r="R76" s="5"/>
      <c r="S76" s="5">
        <f t="shared" si="71"/>
        <v>0</v>
      </c>
      <c r="T76" s="6">
        <v>1146</v>
      </c>
      <c r="V76" s="46">
        <f t="shared" si="74"/>
        <v>0</v>
      </c>
      <c r="W76" s="46">
        <f t="shared" si="72"/>
        <v>0</v>
      </c>
      <c r="X76" s="46">
        <f t="shared" si="72"/>
        <v>0</v>
      </c>
      <c r="Y76" s="46">
        <f t="shared" si="72"/>
        <v>0</v>
      </c>
      <c r="Z76" s="5"/>
      <c r="AA76" s="5"/>
      <c r="AB76" s="5"/>
      <c r="AC76" s="5">
        <f t="shared" si="73"/>
        <v>0</v>
      </c>
    </row>
    <row r="77" spans="1:29" x14ac:dyDescent="0.35">
      <c r="A77" s="26" t="s">
        <v>71</v>
      </c>
      <c r="B77" s="5">
        <f>3344*B24</f>
        <v>46816</v>
      </c>
      <c r="C77" s="5"/>
      <c r="D77" s="5"/>
      <c r="E77" s="5"/>
      <c r="F77" s="5"/>
      <c r="G77" s="5"/>
      <c r="H77" s="5"/>
      <c r="I77" s="5">
        <f t="shared" si="70"/>
        <v>46816</v>
      </c>
      <c r="J77" s="6">
        <v>3344</v>
      </c>
      <c r="L77" s="5">
        <f>3344*L24</f>
        <v>0</v>
      </c>
      <c r="M77" s="5"/>
      <c r="N77" s="5"/>
      <c r="O77" s="5"/>
      <c r="P77" s="5"/>
      <c r="Q77" s="5"/>
      <c r="R77" s="5"/>
      <c r="S77" s="5">
        <f t="shared" si="71"/>
        <v>0</v>
      </c>
      <c r="T77" s="6">
        <v>3344</v>
      </c>
      <c r="V77" s="46">
        <f t="shared" si="74"/>
        <v>46816</v>
      </c>
      <c r="W77" s="46">
        <f t="shared" si="72"/>
        <v>0</v>
      </c>
      <c r="X77" s="46">
        <f t="shared" si="72"/>
        <v>0</v>
      </c>
      <c r="Y77" s="46">
        <f t="shared" si="72"/>
        <v>0</v>
      </c>
      <c r="Z77" s="5"/>
      <c r="AA77" s="5"/>
      <c r="AB77" s="5"/>
      <c r="AC77" s="5">
        <f t="shared" si="73"/>
        <v>46816</v>
      </c>
    </row>
    <row r="78" spans="1:29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70"/>
        <v>53862</v>
      </c>
      <c r="J78" s="48"/>
      <c r="L78" s="30">
        <v>0</v>
      </c>
      <c r="M78" s="30">
        <v>0</v>
      </c>
      <c r="N78" s="30"/>
      <c r="O78" s="30"/>
      <c r="P78" s="30"/>
      <c r="Q78" s="30"/>
      <c r="R78" s="30"/>
      <c r="S78" s="30">
        <f t="shared" si="71"/>
        <v>0</v>
      </c>
      <c r="T78" s="48"/>
      <c r="V78" s="46">
        <f t="shared" si="74"/>
        <v>0</v>
      </c>
      <c r="W78" s="46">
        <f t="shared" si="72"/>
        <v>53862</v>
      </c>
      <c r="X78" s="46">
        <f t="shared" si="72"/>
        <v>0</v>
      </c>
      <c r="Y78" s="46">
        <f t="shared" si="72"/>
        <v>0</v>
      </c>
      <c r="Z78" s="30"/>
      <c r="AA78" s="30"/>
      <c r="AB78" s="30"/>
      <c r="AC78" s="30">
        <f t="shared" si="73"/>
        <v>53862</v>
      </c>
    </row>
    <row r="79" spans="1:29" x14ac:dyDescent="0.35">
      <c r="A79" s="26" t="s">
        <v>72</v>
      </c>
      <c r="B79" s="30">
        <v>0</v>
      </c>
      <c r="C79" s="30">
        <f>3800*C20</f>
        <v>288800</v>
      </c>
      <c r="D79" s="30"/>
      <c r="E79" s="30"/>
      <c r="F79" s="30"/>
      <c r="G79" s="30"/>
      <c r="H79" s="30"/>
      <c r="I79" s="30">
        <f t="shared" si="70"/>
        <v>288800</v>
      </c>
      <c r="J79" s="6">
        <v>3800</v>
      </c>
      <c r="L79" s="30">
        <v>0</v>
      </c>
      <c r="M79" s="30"/>
      <c r="N79" s="30"/>
      <c r="O79" s="30"/>
      <c r="P79" s="30"/>
      <c r="Q79" s="30"/>
      <c r="R79" s="30"/>
      <c r="S79" s="30">
        <f t="shared" si="71"/>
        <v>0</v>
      </c>
      <c r="T79" s="6">
        <v>3800</v>
      </c>
      <c r="V79" s="46">
        <f t="shared" si="74"/>
        <v>0</v>
      </c>
      <c r="W79" s="46">
        <f t="shared" si="72"/>
        <v>288800</v>
      </c>
      <c r="X79" s="46">
        <f t="shared" si="72"/>
        <v>0</v>
      </c>
      <c r="Y79" s="46">
        <f t="shared" si="72"/>
        <v>0</v>
      </c>
      <c r="Z79" s="30"/>
      <c r="AA79" s="30"/>
      <c r="AB79" s="30"/>
      <c r="AC79" s="30">
        <f t="shared" si="73"/>
        <v>288800</v>
      </c>
    </row>
    <row r="80" spans="1:29" x14ac:dyDescent="0.35">
      <c r="A80" s="49" t="s">
        <v>74</v>
      </c>
      <c r="B80" s="50">
        <f t="shared" ref="B80:I80" si="75">SUM(B74:B79)</f>
        <v>5143339</v>
      </c>
      <c r="C80" s="50">
        <f t="shared" si="75"/>
        <v>342662</v>
      </c>
      <c r="D80" s="50">
        <f t="shared" si="75"/>
        <v>0</v>
      </c>
      <c r="E80" s="50"/>
      <c r="F80" s="50">
        <f t="shared" si="75"/>
        <v>0</v>
      </c>
      <c r="G80" s="50">
        <f t="shared" si="75"/>
        <v>0</v>
      </c>
      <c r="H80" s="50">
        <f t="shared" si="75"/>
        <v>0</v>
      </c>
      <c r="I80" s="50">
        <f t="shared" si="75"/>
        <v>5486001</v>
      </c>
      <c r="J80" s="7"/>
      <c r="L80" s="50">
        <f t="shared" ref="L80:N80" si="76">SUM(L74:L79)</f>
        <v>7328685</v>
      </c>
      <c r="M80" s="50">
        <f t="shared" si="76"/>
        <v>0</v>
      </c>
      <c r="N80" s="50">
        <f t="shared" si="76"/>
        <v>0</v>
      </c>
      <c r="O80" s="50"/>
      <c r="P80" s="50">
        <f t="shared" ref="P80:S80" si="77">SUM(P74:P79)</f>
        <v>0</v>
      </c>
      <c r="Q80" s="50">
        <f t="shared" si="77"/>
        <v>0</v>
      </c>
      <c r="R80" s="50">
        <f t="shared" si="77"/>
        <v>0</v>
      </c>
      <c r="S80" s="50">
        <f t="shared" si="77"/>
        <v>7328685</v>
      </c>
      <c r="T80" s="7"/>
      <c r="V80" s="50">
        <f t="shared" ref="V80:X80" si="78">SUM(V74:V79)</f>
        <v>12472024</v>
      </c>
      <c r="W80" s="50">
        <f t="shared" si="78"/>
        <v>342662</v>
      </c>
      <c r="X80" s="50">
        <f t="shared" si="78"/>
        <v>0</v>
      </c>
      <c r="Y80" s="50"/>
      <c r="Z80" s="50">
        <f t="shared" ref="Z80:AC80" si="79">SUM(Z74:Z79)</f>
        <v>0</v>
      </c>
      <c r="AA80" s="50">
        <f t="shared" si="79"/>
        <v>0</v>
      </c>
      <c r="AB80" s="50">
        <f t="shared" si="79"/>
        <v>0</v>
      </c>
      <c r="AC80" s="50">
        <f t="shared" si="79"/>
        <v>12814686</v>
      </c>
    </row>
    <row r="81" spans="1:29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  <c r="L81" s="44"/>
      <c r="M81" s="44"/>
      <c r="N81" s="44"/>
      <c r="O81" s="44"/>
      <c r="P81" s="44"/>
      <c r="Q81" s="44"/>
      <c r="R81" s="44"/>
      <c r="S81" s="45"/>
      <c r="T81" s="7"/>
      <c r="V81" s="44"/>
      <c r="W81" s="44"/>
      <c r="X81" s="44"/>
      <c r="Y81" s="44"/>
      <c r="Z81" s="44"/>
      <c r="AA81" s="44"/>
      <c r="AB81" s="44"/>
      <c r="AC81" s="45"/>
    </row>
    <row r="82" spans="1:29" x14ac:dyDescent="0.35">
      <c r="A82" s="26" t="s">
        <v>76</v>
      </c>
      <c r="B82" s="5"/>
      <c r="C82" s="5">
        <f>950*C20</f>
        <v>72200</v>
      </c>
      <c r="D82" s="5"/>
      <c r="E82" s="5"/>
      <c r="F82" s="5"/>
      <c r="G82" s="5"/>
      <c r="H82" s="5"/>
      <c r="I82" s="5">
        <f>SUM(B82:H82)</f>
        <v>72200</v>
      </c>
      <c r="J82" s="6"/>
      <c r="L82" s="5"/>
      <c r="M82" s="5">
        <f>950*M20</f>
        <v>85500</v>
      </c>
      <c r="N82" s="5"/>
      <c r="O82" s="5"/>
      <c r="P82" s="5"/>
      <c r="Q82" s="5"/>
      <c r="R82" s="5"/>
      <c r="S82" s="5">
        <f>SUM(L82:R82)</f>
        <v>85500</v>
      </c>
      <c r="T82" s="6"/>
      <c r="V82" s="5">
        <f>B82+L82</f>
        <v>0</v>
      </c>
      <c r="W82" s="5">
        <f t="shared" ref="W82:Y89" si="80">C82+M82</f>
        <v>157700</v>
      </c>
      <c r="X82" s="5">
        <f t="shared" si="80"/>
        <v>0</v>
      </c>
      <c r="Y82" s="5">
        <f t="shared" si="80"/>
        <v>0</v>
      </c>
      <c r="Z82" s="5"/>
      <c r="AA82" s="5"/>
      <c r="AB82" s="5"/>
      <c r="AC82" s="5">
        <f>SUM(V82:AB82)</f>
        <v>157700</v>
      </c>
    </row>
    <row r="83" spans="1:29" x14ac:dyDescent="0.35">
      <c r="A83" s="26" t="s">
        <v>77</v>
      </c>
      <c r="B83" s="5"/>
      <c r="C83" s="5"/>
      <c r="D83" s="10">
        <f>((B17*0.95)*2.75*180)</f>
        <v>218666.25</v>
      </c>
      <c r="E83" s="10"/>
      <c r="F83" s="10"/>
      <c r="G83" s="10"/>
      <c r="H83" s="10"/>
      <c r="I83" s="5">
        <f t="shared" ref="I83:I95" si="81">SUM(B83:H83)</f>
        <v>218666.25</v>
      </c>
      <c r="J83" s="52">
        <v>2.75</v>
      </c>
      <c r="L83" s="5"/>
      <c r="M83" s="5"/>
      <c r="N83" s="10">
        <f>((L17*0.95)*2.75*180)</f>
        <v>360681.75</v>
      </c>
      <c r="O83" s="10"/>
      <c r="P83" s="10"/>
      <c r="Q83" s="10"/>
      <c r="R83" s="10"/>
      <c r="S83" s="5">
        <f t="shared" ref="S83:S88" si="82">SUM(L83:R83)</f>
        <v>360681.75</v>
      </c>
      <c r="T83" s="52">
        <v>2.75</v>
      </c>
      <c r="V83" s="5">
        <f t="shared" ref="V83:V89" si="83">B83+L83</f>
        <v>0</v>
      </c>
      <c r="W83" s="5">
        <f t="shared" si="80"/>
        <v>0</v>
      </c>
      <c r="X83" s="5">
        <f t="shared" si="80"/>
        <v>579348</v>
      </c>
      <c r="Y83" s="5">
        <f t="shared" si="80"/>
        <v>0</v>
      </c>
      <c r="Z83" s="10"/>
      <c r="AA83" s="10"/>
      <c r="AB83" s="10"/>
      <c r="AC83" s="5">
        <f t="shared" ref="AC83:AC88" si="84">SUM(V83:AB83)</f>
        <v>579348</v>
      </c>
    </row>
    <row r="84" spans="1:29" x14ac:dyDescent="0.35">
      <c r="A84" s="26" t="s">
        <v>78</v>
      </c>
      <c r="B84" s="30"/>
      <c r="C84" s="30"/>
      <c r="D84" s="10">
        <f>((B17*0.95)*4.37*180)</f>
        <v>347480.55</v>
      </c>
      <c r="E84" s="10"/>
      <c r="F84" s="10"/>
      <c r="G84" s="10"/>
      <c r="H84" s="10"/>
      <c r="I84" s="5">
        <f t="shared" si="81"/>
        <v>347480.55</v>
      </c>
      <c r="J84" s="52">
        <v>4.37</v>
      </c>
      <c r="L84" s="30"/>
      <c r="M84" s="30"/>
      <c r="N84" s="10">
        <f>((L17*0.95)*4.37*180)</f>
        <v>573156.09</v>
      </c>
      <c r="O84" s="10"/>
      <c r="P84" s="10"/>
      <c r="Q84" s="10"/>
      <c r="R84" s="10"/>
      <c r="S84" s="5">
        <f t="shared" si="82"/>
        <v>573156.09</v>
      </c>
      <c r="T84" s="52">
        <v>4.37</v>
      </c>
      <c r="V84" s="5">
        <f t="shared" si="83"/>
        <v>0</v>
      </c>
      <c r="W84" s="5">
        <f t="shared" si="80"/>
        <v>0</v>
      </c>
      <c r="X84" s="5">
        <f t="shared" si="80"/>
        <v>920636.6399999999</v>
      </c>
      <c r="Y84" s="5">
        <f t="shared" si="80"/>
        <v>0</v>
      </c>
      <c r="Z84" s="10"/>
      <c r="AA84" s="10"/>
      <c r="AB84" s="10"/>
      <c r="AC84" s="5">
        <f t="shared" si="84"/>
        <v>920636.6399999999</v>
      </c>
    </row>
    <row r="85" spans="1:29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81"/>
        <v>0</v>
      </c>
      <c r="J85" s="6"/>
      <c r="L85" s="30"/>
      <c r="M85" s="30"/>
      <c r="N85" s="30"/>
      <c r="O85" s="30"/>
      <c r="P85" s="30"/>
      <c r="Q85" s="30"/>
      <c r="R85" s="30"/>
      <c r="S85" s="5">
        <f t="shared" si="82"/>
        <v>0</v>
      </c>
      <c r="T85" s="6"/>
      <c r="V85" s="5">
        <f t="shared" si="83"/>
        <v>0</v>
      </c>
      <c r="W85" s="5">
        <f t="shared" si="80"/>
        <v>0</v>
      </c>
      <c r="X85" s="5">
        <f t="shared" si="80"/>
        <v>0</v>
      </c>
      <c r="Y85" s="5">
        <f t="shared" si="80"/>
        <v>0</v>
      </c>
      <c r="Z85" s="30"/>
      <c r="AA85" s="30"/>
      <c r="AB85" s="30"/>
      <c r="AC85" s="5">
        <f t="shared" si="84"/>
        <v>0</v>
      </c>
    </row>
    <row r="86" spans="1:29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81"/>
        <v>0</v>
      </c>
      <c r="J86" s="6"/>
      <c r="L86" s="30"/>
      <c r="M86" s="30"/>
      <c r="N86" s="30"/>
      <c r="O86" s="30"/>
      <c r="P86" s="30"/>
      <c r="Q86" s="30"/>
      <c r="R86" s="30"/>
      <c r="S86" s="5">
        <f t="shared" si="82"/>
        <v>0</v>
      </c>
      <c r="T86" s="6"/>
      <c r="V86" s="5">
        <f t="shared" si="83"/>
        <v>0</v>
      </c>
      <c r="W86" s="5">
        <f t="shared" si="80"/>
        <v>0</v>
      </c>
      <c r="X86" s="5">
        <f t="shared" si="80"/>
        <v>0</v>
      </c>
      <c r="Y86" s="5">
        <f t="shared" si="80"/>
        <v>0</v>
      </c>
      <c r="Z86" s="30"/>
      <c r="AA86" s="30"/>
      <c r="AB86" s="30"/>
      <c r="AC86" s="5">
        <f t="shared" si="84"/>
        <v>0</v>
      </c>
    </row>
    <row r="87" spans="1:29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81"/>
        <v>0</v>
      </c>
      <c r="J87" s="6"/>
      <c r="L87" s="30"/>
      <c r="M87" s="30"/>
      <c r="N87" s="30"/>
      <c r="O87" s="30"/>
      <c r="P87" s="30"/>
      <c r="Q87" s="30"/>
      <c r="R87" s="30"/>
      <c r="S87" s="5">
        <f t="shared" si="82"/>
        <v>0</v>
      </c>
      <c r="T87" s="6"/>
      <c r="V87" s="5">
        <f t="shared" si="83"/>
        <v>0</v>
      </c>
      <c r="W87" s="5">
        <f t="shared" si="80"/>
        <v>0</v>
      </c>
      <c r="X87" s="5">
        <f t="shared" si="80"/>
        <v>0</v>
      </c>
      <c r="Y87" s="5">
        <f t="shared" si="80"/>
        <v>0</v>
      </c>
      <c r="Z87" s="30"/>
      <c r="AA87" s="30"/>
      <c r="AB87" s="30"/>
      <c r="AC87" s="5">
        <f t="shared" si="84"/>
        <v>0</v>
      </c>
    </row>
    <row r="88" spans="1:29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81"/>
        <v>0</v>
      </c>
      <c r="J88" s="6"/>
      <c r="L88" s="30"/>
      <c r="M88" s="30"/>
      <c r="N88" s="30"/>
      <c r="O88" s="30"/>
      <c r="P88" s="30"/>
      <c r="Q88" s="30"/>
      <c r="R88" s="30"/>
      <c r="S88" s="5">
        <f t="shared" si="82"/>
        <v>0</v>
      </c>
      <c r="T88" s="6"/>
      <c r="V88" s="5">
        <f t="shared" si="83"/>
        <v>0</v>
      </c>
      <c r="W88" s="5">
        <f t="shared" si="80"/>
        <v>0</v>
      </c>
      <c r="X88" s="5">
        <f t="shared" si="80"/>
        <v>0</v>
      </c>
      <c r="Y88" s="5">
        <f t="shared" si="80"/>
        <v>0</v>
      </c>
      <c r="Z88" s="30"/>
      <c r="AA88" s="30"/>
      <c r="AB88" s="30"/>
      <c r="AC88" s="5">
        <f t="shared" si="84"/>
        <v>0</v>
      </c>
    </row>
    <row r="89" spans="1:29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  <c r="L89" s="30"/>
      <c r="M89" s="30"/>
      <c r="N89" s="30"/>
      <c r="O89" s="30"/>
      <c r="P89" s="30"/>
      <c r="Q89" s="30"/>
      <c r="R89" s="30"/>
      <c r="S89" s="5"/>
      <c r="T89" s="53"/>
      <c r="V89" s="5">
        <f t="shared" si="83"/>
        <v>0</v>
      </c>
      <c r="W89" s="5">
        <f t="shared" si="80"/>
        <v>0</v>
      </c>
      <c r="X89" s="5">
        <f t="shared" si="80"/>
        <v>0</v>
      </c>
      <c r="Y89" s="5">
        <f t="shared" si="80"/>
        <v>0</v>
      </c>
      <c r="Z89" s="30"/>
      <c r="AA89" s="30"/>
      <c r="AB89" s="30"/>
      <c r="AC89" s="5"/>
    </row>
    <row r="90" spans="1:29" x14ac:dyDescent="0.35">
      <c r="A90" s="49" t="s">
        <v>84</v>
      </c>
      <c r="B90" s="50">
        <f>SUM(B82:B88)</f>
        <v>0</v>
      </c>
      <c r="C90" s="50">
        <f t="shared" ref="C90:I90" si="85">SUM(C82:C88)</f>
        <v>72200</v>
      </c>
      <c r="D90" s="50">
        <f t="shared" si="85"/>
        <v>566146.80000000005</v>
      </c>
      <c r="E90" s="50"/>
      <c r="F90" s="50">
        <f t="shared" si="85"/>
        <v>0</v>
      </c>
      <c r="G90" s="50">
        <f t="shared" si="85"/>
        <v>0</v>
      </c>
      <c r="H90" s="50">
        <f t="shared" si="85"/>
        <v>0</v>
      </c>
      <c r="I90" s="50">
        <f t="shared" si="85"/>
        <v>638346.80000000005</v>
      </c>
      <c r="J90" s="7"/>
      <c r="L90" s="50">
        <f>SUM(L82:L88)</f>
        <v>0</v>
      </c>
      <c r="M90" s="50">
        <f t="shared" ref="M90:N90" si="86">SUM(M82:M88)</f>
        <v>85500</v>
      </c>
      <c r="N90" s="50">
        <f t="shared" si="86"/>
        <v>933837.84</v>
      </c>
      <c r="O90" s="50"/>
      <c r="P90" s="50">
        <f t="shared" ref="P90:S90" si="87">SUM(P82:P88)</f>
        <v>0</v>
      </c>
      <c r="Q90" s="50">
        <f t="shared" si="87"/>
        <v>0</v>
      </c>
      <c r="R90" s="50">
        <f t="shared" si="87"/>
        <v>0</v>
      </c>
      <c r="S90" s="50">
        <f t="shared" si="87"/>
        <v>1019337.84</v>
      </c>
      <c r="T90" s="7"/>
      <c r="V90" s="50">
        <f>SUM(V82:V88)</f>
        <v>0</v>
      </c>
      <c r="W90" s="50">
        <f t="shared" ref="W90:X90" si="88">SUM(W82:W88)</f>
        <v>157700</v>
      </c>
      <c r="X90" s="50">
        <f t="shared" si="88"/>
        <v>1499984.64</v>
      </c>
      <c r="Y90" s="50"/>
      <c r="Z90" s="50">
        <f t="shared" ref="Z90:AC90" si="89">SUM(Z82:Z88)</f>
        <v>0</v>
      </c>
      <c r="AA90" s="50">
        <f t="shared" si="89"/>
        <v>0</v>
      </c>
      <c r="AB90" s="50">
        <f t="shared" si="89"/>
        <v>0</v>
      </c>
      <c r="AC90" s="50">
        <f t="shared" si="89"/>
        <v>1657684.64</v>
      </c>
    </row>
    <row r="91" spans="1:29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  <c r="L91" s="44"/>
      <c r="M91" s="44"/>
      <c r="N91" s="44"/>
      <c r="O91" s="44"/>
      <c r="P91" s="44"/>
      <c r="Q91" s="44"/>
      <c r="R91" s="44"/>
      <c r="S91" s="45"/>
      <c r="T91" s="7"/>
      <c r="V91" s="44"/>
      <c r="W91" s="44"/>
      <c r="X91" s="44"/>
      <c r="Y91" s="44"/>
      <c r="Z91" s="44"/>
      <c r="AA91" s="44"/>
      <c r="AB91" s="44"/>
      <c r="AC91" s="45"/>
    </row>
    <row r="92" spans="1:29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81"/>
        <v>0</v>
      </c>
      <c r="J92" s="11"/>
      <c r="L92" s="5">
        <v>0</v>
      </c>
      <c r="M92" s="5"/>
      <c r="N92" s="5"/>
      <c r="O92" s="5"/>
      <c r="P92" s="5"/>
      <c r="Q92" s="5"/>
      <c r="R92" s="5"/>
      <c r="S92" s="5">
        <f t="shared" ref="S92:S95" si="90">SUM(L92:R92)</f>
        <v>0</v>
      </c>
      <c r="T92" s="11"/>
      <c r="V92" s="5">
        <f>B92+L92</f>
        <v>0</v>
      </c>
      <c r="W92" s="5">
        <f t="shared" ref="W92:Y95" si="91">C92+M92</f>
        <v>0</v>
      </c>
      <c r="X92" s="5">
        <f t="shared" si="91"/>
        <v>0</v>
      </c>
      <c r="Y92" s="5">
        <f t="shared" si="91"/>
        <v>0</v>
      </c>
      <c r="Z92" s="5"/>
      <c r="AA92" s="5"/>
      <c r="AB92" s="5"/>
      <c r="AC92" s="5">
        <f t="shared" ref="AC92:AC95" si="92">SUM(V92:AB92)</f>
        <v>0</v>
      </c>
    </row>
    <row r="93" spans="1:29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93">F161</f>
        <v>0</v>
      </c>
      <c r="G93" s="10">
        <f t="shared" si="93"/>
        <v>0</v>
      </c>
      <c r="H93" s="10">
        <f t="shared" si="93"/>
        <v>0</v>
      </c>
      <c r="I93" s="5">
        <f t="shared" si="81"/>
        <v>0</v>
      </c>
      <c r="J93" s="11"/>
      <c r="L93" s="10">
        <v>0</v>
      </c>
      <c r="M93" s="10">
        <v>0</v>
      </c>
      <c r="N93" s="10">
        <v>0</v>
      </c>
      <c r="O93" s="10"/>
      <c r="P93" s="10">
        <f t="shared" ref="P93:R93" si="94">P161</f>
        <v>0</v>
      </c>
      <c r="Q93" s="10">
        <f t="shared" si="94"/>
        <v>0</v>
      </c>
      <c r="R93" s="10">
        <f t="shared" si="94"/>
        <v>0</v>
      </c>
      <c r="S93" s="5">
        <f t="shared" si="90"/>
        <v>0</v>
      </c>
      <c r="T93" s="11"/>
      <c r="V93" s="5">
        <f t="shared" ref="V93:V95" si="95">B93+L93</f>
        <v>0</v>
      </c>
      <c r="W93" s="5">
        <f t="shared" si="91"/>
        <v>0</v>
      </c>
      <c r="X93" s="5">
        <f t="shared" si="91"/>
        <v>0</v>
      </c>
      <c r="Y93" s="5">
        <f t="shared" si="91"/>
        <v>0</v>
      </c>
      <c r="Z93" s="10">
        <f t="shared" ref="Z93:AB93" si="96">Z161</f>
        <v>0</v>
      </c>
      <c r="AA93" s="10">
        <f t="shared" si="96"/>
        <v>0</v>
      </c>
      <c r="AB93" s="10">
        <f t="shared" si="96"/>
        <v>0</v>
      </c>
      <c r="AC93" s="5">
        <f t="shared" si="92"/>
        <v>0</v>
      </c>
    </row>
    <row r="94" spans="1:29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81"/>
        <v>0</v>
      </c>
      <c r="J94" s="11"/>
      <c r="L94" s="30"/>
      <c r="M94" s="30"/>
      <c r="N94" s="30"/>
      <c r="O94" s="30"/>
      <c r="P94" s="30"/>
      <c r="Q94" s="30"/>
      <c r="R94" s="30"/>
      <c r="S94" s="30">
        <f t="shared" si="90"/>
        <v>0</v>
      </c>
      <c r="T94" s="11"/>
      <c r="V94" s="5">
        <f t="shared" si="95"/>
        <v>0</v>
      </c>
      <c r="W94" s="5">
        <f t="shared" si="91"/>
        <v>0</v>
      </c>
      <c r="X94" s="5">
        <f t="shared" si="91"/>
        <v>0</v>
      </c>
      <c r="Y94" s="5">
        <f t="shared" si="91"/>
        <v>0</v>
      </c>
      <c r="Z94" s="30"/>
      <c r="AA94" s="30"/>
      <c r="AB94" s="30"/>
      <c r="AC94" s="30">
        <f t="shared" si="92"/>
        <v>0</v>
      </c>
    </row>
    <row r="95" spans="1:29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81"/>
        <v>0</v>
      </c>
      <c r="J95" s="11"/>
      <c r="L95" s="30">
        <v>0</v>
      </c>
      <c r="M95" s="30"/>
      <c r="N95" s="30"/>
      <c r="O95" s="30"/>
      <c r="P95" s="30"/>
      <c r="Q95" s="30"/>
      <c r="R95" s="30"/>
      <c r="S95" s="30">
        <f t="shared" si="90"/>
        <v>0</v>
      </c>
      <c r="T95" s="11"/>
      <c r="V95" s="5">
        <f t="shared" si="95"/>
        <v>0</v>
      </c>
      <c r="W95" s="5">
        <f t="shared" si="91"/>
        <v>0</v>
      </c>
      <c r="X95" s="5">
        <f t="shared" si="91"/>
        <v>0</v>
      </c>
      <c r="Y95" s="5">
        <f t="shared" si="91"/>
        <v>0</v>
      </c>
      <c r="Z95" s="30"/>
      <c r="AA95" s="30"/>
      <c r="AB95" s="30"/>
      <c r="AC95" s="30">
        <f t="shared" si="92"/>
        <v>0</v>
      </c>
    </row>
    <row r="96" spans="1:29" x14ac:dyDescent="0.35">
      <c r="A96" s="49" t="s">
        <v>87</v>
      </c>
      <c r="B96" s="50">
        <f>SUM(B92:B95)</f>
        <v>0</v>
      </c>
      <c r="C96" s="50">
        <f t="shared" ref="C96:H96" si="97">SUM(C92:C95)</f>
        <v>0</v>
      </c>
      <c r="D96" s="50">
        <f t="shared" si="97"/>
        <v>0</v>
      </c>
      <c r="E96" s="50"/>
      <c r="F96" s="50">
        <f t="shared" si="97"/>
        <v>0</v>
      </c>
      <c r="G96" s="50">
        <f t="shared" si="97"/>
        <v>0</v>
      </c>
      <c r="H96" s="50">
        <f t="shared" si="97"/>
        <v>0</v>
      </c>
      <c r="I96" s="50">
        <f>SUM(I92:I95)</f>
        <v>0</v>
      </c>
      <c r="J96" s="7"/>
      <c r="L96" s="50">
        <f>SUM(L92:L95)</f>
        <v>0</v>
      </c>
      <c r="M96" s="50">
        <f t="shared" ref="M96:N96" si="98">SUM(M92:M95)</f>
        <v>0</v>
      </c>
      <c r="N96" s="50">
        <f t="shared" si="98"/>
        <v>0</v>
      </c>
      <c r="O96" s="50"/>
      <c r="P96" s="50">
        <f t="shared" ref="P96:R96" si="99">SUM(P92:P95)</f>
        <v>0</v>
      </c>
      <c r="Q96" s="50">
        <f t="shared" si="99"/>
        <v>0</v>
      </c>
      <c r="R96" s="50">
        <f t="shared" si="99"/>
        <v>0</v>
      </c>
      <c r="S96" s="50">
        <f>SUM(S92:S95)</f>
        <v>0</v>
      </c>
      <c r="T96" s="7"/>
      <c r="V96" s="50">
        <f>SUM(V92:V95)</f>
        <v>0</v>
      </c>
      <c r="W96" s="50">
        <f t="shared" ref="W96:X96" si="100">SUM(W92:W95)</f>
        <v>0</v>
      </c>
      <c r="X96" s="50">
        <f t="shared" si="100"/>
        <v>0</v>
      </c>
      <c r="Y96" s="50"/>
      <c r="Z96" s="50">
        <f t="shared" ref="Z96:AB96" si="101">SUM(Z92:Z95)</f>
        <v>0</v>
      </c>
      <c r="AA96" s="50">
        <f t="shared" si="101"/>
        <v>0</v>
      </c>
      <c r="AB96" s="50">
        <f t="shared" si="101"/>
        <v>0</v>
      </c>
      <c r="AC96" s="50">
        <f>SUM(AC92:AC95)</f>
        <v>0</v>
      </c>
    </row>
    <row r="97" spans="1:29" x14ac:dyDescent="0.35">
      <c r="A97" s="150" t="s">
        <v>88</v>
      </c>
      <c r="B97" s="151">
        <f t="shared" ref="B97:H97" si="102">B80+B90+B96</f>
        <v>5143339</v>
      </c>
      <c r="C97" s="151">
        <f t="shared" si="102"/>
        <v>414862</v>
      </c>
      <c r="D97" s="151">
        <f t="shared" si="102"/>
        <v>566146.80000000005</v>
      </c>
      <c r="E97" s="151"/>
      <c r="F97" s="151">
        <f t="shared" si="102"/>
        <v>0</v>
      </c>
      <c r="G97" s="151">
        <f t="shared" si="102"/>
        <v>0</v>
      </c>
      <c r="H97" s="151">
        <f t="shared" si="102"/>
        <v>0</v>
      </c>
      <c r="I97" s="151">
        <f>I80+I90+I96</f>
        <v>6124347.7999999998</v>
      </c>
      <c r="J97" s="7"/>
      <c r="L97" s="151">
        <f>L80+L90+L96</f>
        <v>7328685</v>
      </c>
      <c r="M97" s="151">
        <f t="shared" ref="M97:N97" si="103">M80+M90+M96</f>
        <v>85500</v>
      </c>
      <c r="N97" s="151">
        <f t="shared" si="103"/>
        <v>933837.84</v>
      </c>
      <c r="O97" s="151"/>
      <c r="P97" s="151">
        <f t="shared" ref="P97:R97" si="104">P80+P90+P96</f>
        <v>0</v>
      </c>
      <c r="Q97" s="151">
        <f t="shared" si="104"/>
        <v>0</v>
      </c>
      <c r="R97" s="151">
        <f t="shared" si="104"/>
        <v>0</v>
      </c>
      <c r="S97" s="151">
        <f>S80+S90+S96</f>
        <v>8348022.8399999999</v>
      </c>
      <c r="T97" s="7"/>
      <c r="V97" s="151">
        <f>V80+V90+V96</f>
        <v>12472024</v>
      </c>
      <c r="W97" s="151">
        <f t="shared" ref="W97:X97" si="105">W80+W90+W96</f>
        <v>500362</v>
      </c>
      <c r="X97" s="151">
        <f t="shared" si="105"/>
        <v>1499984.64</v>
      </c>
      <c r="Y97" s="151"/>
      <c r="Z97" s="151">
        <f t="shared" ref="Z97:AB97" si="106">Z80+Z90+Z96</f>
        <v>0</v>
      </c>
      <c r="AA97" s="151">
        <f t="shared" si="106"/>
        <v>0</v>
      </c>
      <c r="AB97" s="151">
        <f t="shared" si="106"/>
        <v>0</v>
      </c>
      <c r="AC97" s="151">
        <f>AC80+AC90+AC96</f>
        <v>14472370.640000001</v>
      </c>
    </row>
    <row r="98" spans="1:29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  <c r="L98" s="44"/>
      <c r="M98" s="44"/>
      <c r="N98" s="44"/>
      <c r="O98" s="44"/>
      <c r="P98" s="44"/>
      <c r="Q98" s="44"/>
      <c r="R98" s="44"/>
      <c r="S98" s="45"/>
      <c r="T98" s="7"/>
      <c r="V98" s="44"/>
      <c r="W98" s="44"/>
      <c r="X98" s="44"/>
      <c r="Y98" s="44"/>
      <c r="Z98" s="44"/>
      <c r="AA98" s="44"/>
      <c r="AB98" s="44"/>
      <c r="AC98" s="45"/>
    </row>
    <row r="99" spans="1:29" x14ac:dyDescent="0.35">
      <c r="A99" s="26" t="s">
        <v>281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11"/>
      <c r="L99" s="5">
        <v>0</v>
      </c>
      <c r="M99" s="5"/>
      <c r="N99" s="5"/>
      <c r="O99" s="5"/>
      <c r="P99" s="5"/>
      <c r="Q99" s="5"/>
      <c r="R99" s="5"/>
      <c r="S99" s="5">
        <f>SUM(L99:R99)</f>
        <v>0</v>
      </c>
      <c r="T99" s="11"/>
      <c r="V99" s="5">
        <f>B99+L99</f>
        <v>0</v>
      </c>
      <c r="W99" s="5">
        <f t="shared" ref="W99:Y102" si="107">C99+M99</f>
        <v>0</v>
      </c>
      <c r="X99" s="5">
        <f t="shared" si="107"/>
        <v>0</v>
      </c>
      <c r="Y99" s="5">
        <f t="shared" si="107"/>
        <v>0</v>
      </c>
      <c r="Z99" s="5"/>
      <c r="AA99" s="5"/>
      <c r="AB99" s="5"/>
      <c r="AC99" s="5">
        <f>SUM(V99:AB99)</f>
        <v>0</v>
      </c>
    </row>
    <row r="100" spans="1:29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108">F168</f>
        <v>0</v>
      </c>
      <c r="G100" s="10">
        <f t="shared" si="108"/>
        <v>0</v>
      </c>
      <c r="H100" s="10">
        <f t="shared" si="108"/>
        <v>0</v>
      </c>
      <c r="I100" s="5">
        <f t="shared" ref="I100:I102" si="109">SUM(B100:H100)</f>
        <v>0</v>
      </c>
      <c r="J100" s="11"/>
      <c r="L100" s="10">
        <v>0</v>
      </c>
      <c r="M100" s="10">
        <v>0</v>
      </c>
      <c r="N100" s="10">
        <v>0</v>
      </c>
      <c r="O100" s="10"/>
      <c r="P100" s="10">
        <f t="shared" ref="P100:R100" si="110">P168</f>
        <v>0</v>
      </c>
      <c r="Q100" s="10">
        <f t="shared" si="110"/>
        <v>0</v>
      </c>
      <c r="R100" s="10">
        <f t="shared" si="110"/>
        <v>0</v>
      </c>
      <c r="S100" s="5">
        <f t="shared" ref="S100:S102" si="111">SUM(L100:R100)</f>
        <v>0</v>
      </c>
      <c r="T100" s="11"/>
      <c r="V100" s="5">
        <f t="shared" ref="V100:V102" si="112">B100+L100</f>
        <v>0</v>
      </c>
      <c r="W100" s="5">
        <f t="shared" si="107"/>
        <v>0</v>
      </c>
      <c r="X100" s="5">
        <f t="shared" si="107"/>
        <v>0</v>
      </c>
      <c r="Y100" s="5">
        <f t="shared" si="107"/>
        <v>0</v>
      </c>
      <c r="Z100" s="10">
        <f t="shared" ref="Z100:AB100" si="113">Z168</f>
        <v>0</v>
      </c>
      <c r="AA100" s="10">
        <f t="shared" si="113"/>
        <v>0</v>
      </c>
      <c r="AB100" s="10">
        <f t="shared" si="113"/>
        <v>0</v>
      </c>
      <c r="AC100" s="5">
        <f t="shared" ref="AC100:AC102" si="114">SUM(V100:AB100)</f>
        <v>0</v>
      </c>
    </row>
    <row r="101" spans="1:29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109"/>
        <v>0</v>
      </c>
      <c r="J101" s="11"/>
      <c r="L101" s="30"/>
      <c r="M101" s="30"/>
      <c r="N101" s="30"/>
      <c r="O101" s="30"/>
      <c r="P101" s="30"/>
      <c r="Q101" s="30"/>
      <c r="R101" s="30"/>
      <c r="S101" s="5">
        <f t="shared" si="111"/>
        <v>0</v>
      </c>
      <c r="T101" s="11"/>
      <c r="V101" s="5">
        <f t="shared" si="112"/>
        <v>0</v>
      </c>
      <c r="W101" s="5">
        <f t="shared" si="107"/>
        <v>0</v>
      </c>
      <c r="X101" s="5">
        <f t="shared" si="107"/>
        <v>0</v>
      </c>
      <c r="Y101" s="5">
        <f t="shared" si="107"/>
        <v>0</v>
      </c>
      <c r="Z101" s="30"/>
      <c r="AA101" s="30"/>
      <c r="AB101" s="30"/>
      <c r="AC101" s="5">
        <f t="shared" si="114"/>
        <v>0</v>
      </c>
    </row>
    <row r="102" spans="1:29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109"/>
        <v>0</v>
      </c>
      <c r="J102" s="11"/>
      <c r="L102" s="30"/>
      <c r="M102" s="30"/>
      <c r="N102" s="30"/>
      <c r="O102" s="30"/>
      <c r="P102" s="30"/>
      <c r="Q102" s="30"/>
      <c r="R102" s="30"/>
      <c r="S102" s="5">
        <f t="shared" si="111"/>
        <v>0</v>
      </c>
      <c r="T102" s="11"/>
      <c r="V102" s="5">
        <f t="shared" si="112"/>
        <v>0</v>
      </c>
      <c r="W102" s="5">
        <f t="shared" si="107"/>
        <v>0</v>
      </c>
      <c r="X102" s="5">
        <f t="shared" si="107"/>
        <v>0</v>
      </c>
      <c r="Y102" s="5">
        <f t="shared" si="107"/>
        <v>0</v>
      </c>
      <c r="Z102" s="30"/>
      <c r="AA102" s="30"/>
      <c r="AB102" s="30"/>
      <c r="AC102" s="5">
        <f t="shared" si="114"/>
        <v>0</v>
      </c>
    </row>
    <row r="103" spans="1:29" x14ac:dyDescent="0.35">
      <c r="A103" s="49" t="s">
        <v>280</v>
      </c>
      <c r="B103" s="50">
        <f>SUM(B99:B102)</f>
        <v>0</v>
      </c>
      <c r="C103" s="50">
        <f t="shared" ref="C103:I103" si="115">SUM(C99:C102)</f>
        <v>0</v>
      </c>
      <c r="D103" s="50">
        <f t="shared" si="115"/>
        <v>0</v>
      </c>
      <c r="E103" s="50">
        <f t="shared" si="115"/>
        <v>0</v>
      </c>
      <c r="F103" s="50">
        <f t="shared" si="115"/>
        <v>0</v>
      </c>
      <c r="G103" s="50">
        <f t="shared" si="115"/>
        <v>0</v>
      </c>
      <c r="H103" s="50">
        <f t="shared" si="115"/>
        <v>0</v>
      </c>
      <c r="I103" s="50">
        <f t="shared" si="115"/>
        <v>0</v>
      </c>
      <c r="J103" s="7"/>
      <c r="L103" s="50">
        <f>SUM(L99:L102)</f>
        <v>0</v>
      </c>
      <c r="M103" s="50">
        <f t="shared" ref="M103:S103" si="116">SUM(M99:M102)</f>
        <v>0</v>
      </c>
      <c r="N103" s="50">
        <f t="shared" si="116"/>
        <v>0</v>
      </c>
      <c r="O103" s="50">
        <f t="shared" si="116"/>
        <v>0</v>
      </c>
      <c r="P103" s="50">
        <f t="shared" si="116"/>
        <v>0</v>
      </c>
      <c r="Q103" s="50">
        <f t="shared" si="116"/>
        <v>0</v>
      </c>
      <c r="R103" s="50">
        <f t="shared" si="116"/>
        <v>0</v>
      </c>
      <c r="S103" s="50">
        <f t="shared" si="116"/>
        <v>0</v>
      </c>
      <c r="T103" s="7"/>
      <c r="V103" s="50">
        <f>SUM(V99:V102)</f>
        <v>0</v>
      </c>
      <c r="W103" s="50">
        <f t="shared" ref="W103:AC103" si="117">SUM(W99:W102)</f>
        <v>0</v>
      </c>
      <c r="X103" s="50">
        <f t="shared" si="117"/>
        <v>0</v>
      </c>
      <c r="Y103" s="50">
        <f t="shared" si="117"/>
        <v>0</v>
      </c>
      <c r="Z103" s="50">
        <f t="shared" si="117"/>
        <v>0</v>
      </c>
      <c r="AA103" s="50">
        <f t="shared" si="117"/>
        <v>0</v>
      </c>
      <c r="AB103" s="50">
        <f t="shared" si="117"/>
        <v>0</v>
      </c>
      <c r="AC103" s="50">
        <f t="shared" si="117"/>
        <v>0</v>
      </c>
    </row>
    <row r="104" spans="1:29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  <c r="L104" s="37"/>
      <c r="M104" s="37"/>
      <c r="N104" s="37"/>
      <c r="O104" s="37"/>
      <c r="P104" s="37"/>
      <c r="Q104" s="37"/>
      <c r="R104" s="37"/>
      <c r="S104" s="37"/>
      <c r="T104" s="7"/>
      <c r="V104" s="37"/>
      <c r="W104" s="37"/>
      <c r="X104" s="37"/>
      <c r="Y104" s="37"/>
      <c r="Z104" s="37"/>
      <c r="AA104" s="37"/>
      <c r="AB104" s="37"/>
      <c r="AC104" s="37"/>
    </row>
    <row r="105" spans="1:29" ht="15" thickBot="1" x14ac:dyDescent="0.4">
      <c r="A105" s="55" t="s">
        <v>89</v>
      </c>
      <c r="B105" s="56" t="str">
        <f t="shared" ref="B105:I105" si="118">B1</f>
        <v>Operating</v>
      </c>
      <c r="C105" s="56" t="str">
        <f t="shared" si="118"/>
        <v>SPED</v>
      </c>
      <c r="D105" s="56" t="str">
        <f t="shared" si="118"/>
        <v>NSLP</v>
      </c>
      <c r="E105" s="56" t="str">
        <f t="shared" si="118"/>
        <v>Other</v>
      </c>
      <c r="F105" s="56" t="str">
        <f t="shared" si="118"/>
        <v>Title I</v>
      </c>
      <c r="G105" s="56" t="str">
        <f t="shared" si="118"/>
        <v>Title II</v>
      </c>
      <c r="H105" s="56" t="str">
        <f t="shared" si="118"/>
        <v>Title III</v>
      </c>
      <c r="I105" s="56" t="str">
        <f t="shared" si="118"/>
        <v>B&amp;G</v>
      </c>
      <c r="J105" s="7"/>
      <c r="L105" s="56" t="str">
        <f t="shared" ref="L105:S105" si="119">L1</f>
        <v>Operating</v>
      </c>
      <c r="M105" s="56" t="str">
        <f t="shared" si="119"/>
        <v>SPED</v>
      </c>
      <c r="N105" s="56" t="str">
        <f t="shared" si="119"/>
        <v>NSLP</v>
      </c>
      <c r="O105" s="56" t="str">
        <f t="shared" si="119"/>
        <v>Other</v>
      </c>
      <c r="P105" s="56" t="str">
        <f t="shared" si="119"/>
        <v>Title I</v>
      </c>
      <c r="Q105" s="56" t="str">
        <f t="shared" si="119"/>
        <v>Title II</v>
      </c>
      <c r="R105" s="56" t="str">
        <f t="shared" si="119"/>
        <v>Title III</v>
      </c>
      <c r="S105" s="56" t="str">
        <f t="shared" si="119"/>
        <v>New</v>
      </c>
      <c r="T105" s="7"/>
      <c r="V105" s="56" t="str">
        <f t="shared" ref="V105:AC105" si="120">V1</f>
        <v>Operating</v>
      </c>
      <c r="W105" s="56" t="str">
        <f t="shared" si="120"/>
        <v>SPED</v>
      </c>
      <c r="X105" s="56" t="str">
        <f t="shared" si="120"/>
        <v>NSLP</v>
      </c>
      <c r="Y105" s="56" t="str">
        <f t="shared" si="120"/>
        <v>Other</v>
      </c>
      <c r="Z105" s="56" t="str">
        <f t="shared" si="120"/>
        <v>Title I</v>
      </c>
      <c r="AA105" s="56" t="str">
        <f t="shared" si="120"/>
        <v>Title II</v>
      </c>
      <c r="AB105" s="56" t="str">
        <f t="shared" si="120"/>
        <v>Title III</v>
      </c>
      <c r="AC105" s="56" t="str">
        <f t="shared" si="120"/>
        <v>MANN</v>
      </c>
    </row>
    <row r="106" spans="1:29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  <c r="L106" s="44"/>
      <c r="M106" s="44"/>
      <c r="N106" s="44"/>
      <c r="O106" s="44"/>
      <c r="P106" s="44"/>
      <c r="Q106" s="44"/>
      <c r="R106" s="44"/>
      <c r="S106" s="45"/>
      <c r="T106" s="7"/>
      <c r="V106" s="44"/>
      <c r="W106" s="44"/>
      <c r="X106" s="44"/>
      <c r="Y106" s="44"/>
      <c r="Z106" s="44"/>
      <c r="AA106" s="44"/>
      <c r="AB106" s="44"/>
      <c r="AC106" s="45"/>
    </row>
    <row r="107" spans="1:29" x14ac:dyDescent="0.35">
      <c r="A107" s="26" t="s">
        <v>40</v>
      </c>
      <c r="B107" s="72">
        <v>120000</v>
      </c>
      <c r="C107" s="10"/>
      <c r="D107" s="5"/>
      <c r="E107" s="5"/>
      <c r="F107" s="5"/>
      <c r="G107" s="5"/>
      <c r="H107" s="5"/>
      <c r="I107" s="5">
        <f t="shared" ref="I107:I120" si="121">SUM(B107:H107)</f>
        <v>120000</v>
      </c>
      <c r="J107" s="11"/>
      <c r="L107" s="72">
        <v>140000</v>
      </c>
      <c r="M107" s="10"/>
      <c r="N107" s="5"/>
      <c r="O107" s="5"/>
      <c r="P107" s="5"/>
      <c r="Q107" s="5"/>
      <c r="R107" s="5"/>
      <c r="S107" s="5">
        <f t="shared" ref="S107:S120" si="122">SUM(L107:R107)</f>
        <v>140000</v>
      </c>
      <c r="T107" s="11"/>
      <c r="V107" s="72">
        <f>B107+L107</f>
        <v>260000</v>
      </c>
      <c r="W107" s="72">
        <f t="shared" ref="W107:Y120" si="123">C107+M107</f>
        <v>0</v>
      </c>
      <c r="X107" s="72">
        <f t="shared" si="123"/>
        <v>0</v>
      </c>
      <c r="Y107" s="72">
        <f t="shared" si="123"/>
        <v>0</v>
      </c>
      <c r="Z107" s="5"/>
      <c r="AA107" s="5"/>
      <c r="AB107" s="5"/>
      <c r="AC107" s="5">
        <f t="shared" ref="AC107:AC120" si="124">SUM(V107:AB107)</f>
        <v>260000</v>
      </c>
    </row>
    <row r="108" spans="1:29" x14ac:dyDescent="0.35">
      <c r="A108" s="26" t="s">
        <v>91</v>
      </c>
      <c r="B108" s="72">
        <v>100000</v>
      </c>
      <c r="C108" s="10"/>
      <c r="D108" s="5"/>
      <c r="E108" s="5"/>
      <c r="F108" s="5"/>
      <c r="G108" s="5"/>
      <c r="H108" s="5"/>
      <c r="I108" s="5">
        <f t="shared" si="121"/>
        <v>100000</v>
      </c>
      <c r="J108" s="11"/>
      <c r="L108" s="72">
        <v>100000</v>
      </c>
      <c r="M108" s="10"/>
      <c r="N108" s="5"/>
      <c r="O108" s="5"/>
      <c r="P108" s="5"/>
      <c r="Q108" s="5"/>
      <c r="R108" s="5"/>
      <c r="S108" s="5">
        <f t="shared" si="122"/>
        <v>100000</v>
      </c>
      <c r="T108" s="11"/>
      <c r="V108" s="72">
        <f t="shared" ref="V108:V120" si="125">B108+L108</f>
        <v>200000</v>
      </c>
      <c r="W108" s="72">
        <f t="shared" si="123"/>
        <v>0</v>
      </c>
      <c r="X108" s="72">
        <f t="shared" si="123"/>
        <v>0</v>
      </c>
      <c r="Y108" s="72">
        <f t="shared" si="123"/>
        <v>0</v>
      </c>
      <c r="Z108" s="5"/>
      <c r="AA108" s="5"/>
      <c r="AB108" s="5"/>
      <c r="AC108" s="5">
        <f t="shared" si="124"/>
        <v>200000</v>
      </c>
    </row>
    <row r="109" spans="1:29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121"/>
        <v>0</v>
      </c>
      <c r="J109" s="11"/>
      <c r="L109" s="72">
        <f>80000*L41</f>
        <v>80000</v>
      </c>
      <c r="M109" s="10"/>
      <c r="N109" s="5"/>
      <c r="O109" s="5"/>
      <c r="P109" s="5"/>
      <c r="Q109" s="5"/>
      <c r="R109" s="5"/>
      <c r="S109" s="5">
        <f t="shared" si="122"/>
        <v>80000</v>
      </c>
      <c r="T109" s="11"/>
      <c r="V109" s="72">
        <f t="shared" si="125"/>
        <v>80000</v>
      </c>
      <c r="W109" s="72">
        <f t="shared" si="123"/>
        <v>0</v>
      </c>
      <c r="X109" s="72">
        <f t="shared" si="123"/>
        <v>0</v>
      </c>
      <c r="Y109" s="72">
        <f t="shared" si="123"/>
        <v>0</v>
      </c>
      <c r="Z109" s="5"/>
      <c r="AA109" s="5"/>
      <c r="AB109" s="5"/>
      <c r="AC109" s="5">
        <f t="shared" si="124"/>
        <v>80000</v>
      </c>
    </row>
    <row r="110" spans="1:29" x14ac:dyDescent="0.35">
      <c r="A110" s="27" t="s">
        <v>36</v>
      </c>
      <c r="B110" s="72">
        <v>0</v>
      </c>
      <c r="C110" s="10"/>
      <c r="D110" s="5"/>
      <c r="E110" s="5"/>
      <c r="F110" s="5"/>
      <c r="G110" s="5"/>
      <c r="H110" s="5"/>
      <c r="I110" s="5">
        <f t="shared" si="121"/>
        <v>0</v>
      </c>
      <c r="J110" s="11"/>
      <c r="L110" s="72">
        <v>0</v>
      </c>
      <c r="M110" s="10"/>
      <c r="N110" s="5"/>
      <c r="O110" s="5"/>
      <c r="P110" s="5"/>
      <c r="Q110" s="5"/>
      <c r="R110" s="5"/>
      <c r="S110" s="5">
        <f t="shared" si="122"/>
        <v>0</v>
      </c>
      <c r="T110" s="11"/>
      <c r="V110" s="72">
        <f t="shared" si="125"/>
        <v>0</v>
      </c>
      <c r="W110" s="72">
        <f t="shared" si="123"/>
        <v>0</v>
      </c>
      <c r="X110" s="72">
        <f t="shared" si="123"/>
        <v>0</v>
      </c>
      <c r="Y110" s="72">
        <f t="shared" si="123"/>
        <v>0</v>
      </c>
      <c r="Z110" s="5"/>
      <c r="AA110" s="5"/>
      <c r="AB110" s="5"/>
      <c r="AC110" s="5">
        <f t="shared" si="124"/>
        <v>0</v>
      </c>
    </row>
    <row r="111" spans="1:29" x14ac:dyDescent="0.35">
      <c r="A111" s="27" t="s">
        <v>38</v>
      </c>
      <c r="B111" s="72">
        <v>87500</v>
      </c>
      <c r="C111" s="10"/>
      <c r="D111" s="5"/>
      <c r="E111" s="5"/>
      <c r="F111" s="5"/>
      <c r="G111" s="5"/>
      <c r="H111" s="5"/>
      <c r="I111" s="5">
        <f t="shared" si="121"/>
        <v>87500</v>
      </c>
      <c r="J111" s="11"/>
      <c r="L111" s="72">
        <f>80000*L43</f>
        <v>0</v>
      </c>
      <c r="M111" s="10"/>
      <c r="N111" s="5"/>
      <c r="O111" s="5"/>
      <c r="P111" s="5"/>
      <c r="Q111" s="5"/>
      <c r="R111" s="5"/>
      <c r="S111" s="5">
        <f t="shared" si="122"/>
        <v>0</v>
      </c>
      <c r="T111" s="11"/>
      <c r="V111" s="72">
        <f t="shared" si="125"/>
        <v>87500</v>
      </c>
      <c r="W111" s="72">
        <f t="shared" si="123"/>
        <v>0</v>
      </c>
      <c r="X111" s="72">
        <f t="shared" si="123"/>
        <v>0</v>
      </c>
      <c r="Y111" s="72">
        <f t="shared" si="123"/>
        <v>0</v>
      </c>
      <c r="Z111" s="5"/>
      <c r="AA111" s="5"/>
      <c r="AB111" s="5"/>
      <c r="AC111" s="5">
        <f t="shared" si="124"/>
        <v>87500</v>
      </c>
    </row>
    <row r="112" spans="1:29" x14ac:dyDescent="0.35">
      <c r="A112" s="26" t="s">
        <v>92</v>
      </c>
      <c r="B112" s="72">
        <v>87500</v>
      </c>
      <c r="C112" s="10"/>
      <c r="D112" s="5"/>
      <c r="E112" s="5"/>
      <c r="F112" s="5"/>
      <c r="G112" s="5"/>
      <c r="H112" s="5"/>
      <c r="I112" s="5">
        <f t="shared" si="121"/>
        <v>87500</v>
      </c>
      <c r="J112" s="11"/>
      <c r="L112" s="72">
        <f>80000*L44</f>
        <v>0</v>
      </c>
      <c r="M112" s="10"/>
      <c r="N112" s="5"/>
      <c r="O112" s="5"/>
      <c r="P112" s="5"/>
      <c r="Q112" s="5"/>
      <c r="R112" s="5"/>
      <c r="S112" s="5">
        <f t="shared" si="122"/>
        <v>0</v>
      </c>
      <c r="T112" s="11"/>
      <c r="V112" s="72">
        <f t="shared" si="125"/>
        <v>87500</v>
      </c>
      <c r="W112" s="72">
        <f t="shared" si="123"/>
        <v>0</v>
      </c>
      <c r="X112" s="72">
        <f t="shared" si="123"/>
        <v>0</v>
      </c>
      <c r="Y112" s="72">
        <f t="shared" si="123"/>
        <v>0</v>
      </c>
      <c r="Z112" s="5"/>
      <c r="AA112" s="5"/>
      <c r="AB112" s="5"/>
      <c r="AC112" s="5">
        <f t="shared" si="124"/>
        <v>87500</v>
      </c>
    </row>
    <row r="113" spans="1:29" x14ac:dyDescent="0.35">
      <c r="A113" s="26" t="s">
        <v>93</v>
      </c>
      <c r="B113" s="10">
        <v>0</v>
      </c>
      <c r="C113" s="10"/>
      <c r="D113" s="5"/>
      <c r="E113" s="5"/>
      <c r="F113" s="5"/>
      <c r="G113" s="5"/>
      <c r="H113" s="5"/>
      <c r="I113" s="5">
        <f t="shared" si="121"/>
        <v>0</v>
      </c>
      <c r="J113" s="11"/>
      <c r="L113" s="72">
        <v>0</v>
      </c>
      <c r="M113" s="10"/>
      <c r="N113" s="5"/>
      <c r="O113" s="5"/>
      <c r="P113" s="5"/>
      <c r="Q113" s="5"/>
      <c r="R113" s="5"/>
      <c r="S113" s="5">
        <f t="shared" si="122"/>
        <v>0</v>
      </c>
      <c r="T113" s="11"/>
      <c r="V113" s="72">
        <f t="shared" si="125"/>
        <v>0</v>
      </c>
      <c r="W113" s="72">
        <f t="shared" si="123"/>
        <v>0</v>
      </c>
      <c r="X113" s="72">
        <f t="shared" si="123"/>
        <v>0</v>
      </c>
      <c r="Y113" s="72">
        <f t="shared" si="123"/>
        <v>0</v>
      </c>
      <c r="Z113" s="5"/>
      <c r="AA113" s="5"/>
      <c r="AB113" s="5"/>
      <c r="AC113" s="5">
        <f t="shared" si="124"/>
        <v>0</v>
      </c>
    </row>
    <row r="114" spans="1:29" x14ac:dyDescent="0.35">
      <c r="A114" s="26" t="s">
        <v>94</v>
      </c>
      <c r="B114" s="10">
        <f>62725*(B36-B35)</f>
        <v>1317225</v>
      </c>
      <c r="C114" s="10"/>
      <c r="D114" s="5"/>
      <c r="E114" s="5"/>
      <c r="F114" s="5"/>
      <c r="G114" s="5"/>
      <c r="H114" s="5"/>
      <c r="I114" s="5">
        <f t="shared" si="121"/>
        <v>1317225</v>
      </c>
      <c r="J114" s="6">
        <v>62725</v>
      </c>
      <c r="L114" s="10">
        <f>60500*(L36-L35)</f>
        <v>1966250</v>
      </c>
      <c r="M114" s="10"/>
      <c r="N114" s="5"/>
      <c r="O114" s="5"/>
      <c r="P114" s="5"/>
      <c r="Q114" s="5"/>
      <c r="R114" s="5"/>
      <c r="S114" s="5">
        <f t="shared" si="122"/>
        <v>1966250</v>
      </c>
      <c r="T114" s="6">
        <v>60500</v>
      </c>
      <c r="V114" s="72">
        <f t="shared" si="125"/>
        <v>3283475</v>
      </c>
      <c r="W114" s="72">
        <f t="shared" si="123"/>
        <v>0</v>
      </c>
      <c r="X114" s="72">
        <f t="shared" si="123"/>
        <v>0</v>
      </c>
      <c r="Y114" s="72">
        <f t="shared" si="123"/>
        <v>0</v>
      </c>
      <c r="Z114" s="5"/>
      <c r="AA114" s="5"/>
      <c r="AB114" s="5"/>
      <c r="AC114" s="5">
        <f t="shared" si="124"/>
        <v>3283475</v>
      </c>
    </row>
    <row r="115" spans="1:29" x14ac:dyDescent="0.35">
      <c r="A115" s="26" t="s">
        <v>27</v>
      </c>
      <c r="B115" s="10"/>
      <c r="C115" s="10">
        <f>62725*C36</f>
        <v>188175</v>
      </c>
      <c r="D115" s="5"/>
      <c r="E115" s="5"/>
      <c r="F115" s="5"/>
      <c r="G115" s="5"/>
      <c r="H115" s="5"/>
      <c r="I115" s="5">
        <f t="shared" si="121"/>
        <v>188175</v>
      </c>
      <c r="J115" s="11"/>
      <c r="L115" s="10"/>
      <c r="M115" s="10">
        <f>60500*M36</f>
        <v>181500</v>
      </c>
      <c r="N115" s="5"/>
      <c r="O115" s="5"/>
      <c r="P115" s="5"/>
      <c r="Q115" s="5"/>
      <c r="R115" s="5"/>
      <c r="S115" s="5">
        <f t="shared" si="122"/>
        <v>181500</v>
      </c>
      <c r="T115" s="11"/>
      <c r="V115" s="72">
        <f t="shared" si="125"/>
        <v>0</v>
      </c>
      <c r="W115" s="72">
        <f t="shared" si="123"/>
        <v>369675</v>
      </c>
      <c r="X115" s="72">
        <f t="shared" si="123"/>
        <v>0</v>
      </c>
      <c r="Y115" s="72">
        <f t="shared" si="123"/>
        <v>0</v>
      </c>
      <c r="Z115" s="5"/>
      <c r="AA115" s="5"/>
      <c r="AB115" s="5"/>
      <c r="AC115" s="5">
        <f t="shared" si="124"/>
        <v>369675</v>
      </c>
    </row>
    <row r="116" spans="1:29" x14ac:dyDescent="0.35">
      <c r="A116" s="26" t="s">
        <v>95</v>
      </c>
      <c r="B116" s="72">
        <f>(50000+67200)*1.03*1.015</f>
        <v>122526.73999999999</v>
      </c>
      <c r="C116" s="10"/>
      <c r="D116" s="5"/>
      <c r="E116" s="5"/>
      <c r="F116" s="5"/>
      <c r="G116" s="5"/>
      <c r="H116" s="5"/>
      <c r="I116" s="5">
        <f t="shared" si="121"/>
        <v>122526.73999999999</v>
      </c>
      <c r="J116" s="11"/>
      <c r="L116" s="72">
        <f>(57000+50000)</f>
        <v>107000</v>
      </c>
      <c r="M116" s="10"/>
      <c r="N116" s="5"/>
      <c r="O116" s="5"/>
      <c r="P116" s="5"/>
      <c r="Q116" s="5"/>
      <c r="R116" s="5"/>
      <c r="S116" s="5">
        <f t="shared" si="122"/>
        <v>107000</v>
      </c>
      <c r="T116" s="11"/>
      <c r="V116" s="72">
        <f t="shared" si="125"/>
        <v>229526.74</v>
      </c>
      <c r="W116" s="72">
        <f t="shared" si="123"/>
        <v>0</v>
      </c>
      <c r="X116" s="72">
        <f t="shared" si="123"/>
        <v>0</v>
      </c>
      <c r="Y116" s="72">
        <f t="shared" si="123"/>
        <v>0</v>
      </c>
      <c r="Z116" s="5"/>
      <c r="AA116" s="5"/>
      <c r="AB116" s="5"/>
      <c r="AC116" s="5">
        <f t="shared" si="124"/>
        <v>229526.74</v>
      </c>
    </row>
    <row r="117" spans="1:29" x14ac:dyDescent="0.35">
      <c r="A117" s="26" t="s">
        <v>96</v>
      </c>
      <c r="B117" s="10">
        <f>33120*1.03*1.015</f>
        <v>34625.303999999996</v>
      </c>
      <c r="C117" s="10"/>
      <c r="D117" s="5"/>
      <c r="E117" s="5"/>
      <c r="F117" s="5"/>
      <c r="G117" s="5"/>
      <c r="H117" s="5"/>
      <c r="I117" s="5">
        <f t="shared" si="121"/>
        <v>34625.303999999996</v>
      </c>
      <c r="J117" s="11"/>
      <c r="L117" s="10">
        <f>(20*8*185)*(L48+L49)</f>
        <v>29600</v>
      </c>
      <c r="M117" s="10"/>
      <c r="N117" s="5"/>
      <c r="O117" s="5"/>
      <c r="P117" s="5"/>
      <c r="Q117" s="5"/>
      <c r="R117" s="5"/>
      <c r="S117" s="5">
        <f t="shared" si="122"/>
        <v>29600</v>
      </c>
      <c r="T117" s="11"/>
      <c r="V117" s="72">
        <f t="shared" si="125"/>
        <v>64225.303999999996</v>
      </c>
      <c r="W117" s="72">
        <f t="shared" si="123"/>
        <v>0</v>
      </c>
      <c r="X117" s="72">
        <f t="shared" si="123"/>
        <v>0</v>
      </c>
      <c r="Y117" s="72">
        <f t="shared" si="123"/>
        <v>0</v>
      </c>
      <c r="Z117" s="5"/>
      <c r="AA117" s="5"/>
      <c r="AB117" s="5"/>
      <c r="AC117" s="5">
        <f t="shared" si="124"/>
        <v>64225.303999999996</v>
      </c>
    </row>
    <row r="118" spans="1:29" x14ac:dyDescent="0.35">
      <c r="A118" s="26" t="s">
        <v>292</v>
      </c>
      <c r="B118" s="10">
        <f>((22*8*180)*B50)</f>
        <v>158400</v>
      </c>
      <c r="C118" s="10">
        <f t="shared" ref="C118:D118" si="126">((22*8*180)*C50)</f>
        <v>95040</v>
      </c>
      <c r="D118" s="10">
        <f t="shared" si="126"/>
        <v>63360</v>
      </c>
      <c r="E118" s="5"/>
      <c r="F118" s="5">
        <f>(14*8*180)*F50</f>
        <v>0</v>
      </c>
      <c r="G118" s="5"/>
      <c r="H118" s="5"/>
      <c r="I118" s="5">
        <f t="shared" si="121"/>
        <v>316800</v>
      </c>
      <c r="J118" s="11"/>
      <c r="L118" s="10">
        <f>((20*8*180)*L50)</f>
        <v>28800</v>
      </c>
      <c r="M118" s="10">
        <f>((20*8*180)*M50)</f>
        <v>57600</v>
      </c>
      <c r="N118" s="10">
        <f t="shared" ref="N118" si="127">((22*8*180)*N50)</f>
        <v>63360</v>
      </c>
      <c r="O118" s="5"/>
      <c r="P118" s="5">
        <f>(14*8*180)*P50</f>
        <v>0</v>
      </c>
      <c r="Q118" s="5"/>
      <c r="R118" s="5"/>
      <c r="S118" s="5">
        <f t="shared" si="122"/>
        <v>149760</v>
      </c>
      <c r="T118" s="11"/>
      <c r="V118" s="72">
        <f t="shared" si="125"/>
        <v>187200</v>
      </c>
      <c r="W118" s="72">
        <f t="shared" si="123"/>
        <v>152640</v>
      </c>
      <c r="X118" s="72">
        <f t="shared" si="123"/>
        <v>126720</v>
      </c>
      <c r="Y118" s="72">
        <f t="shared" si="123"/>
        <v>0</v>
      </c>
      <c r="Z118" s="5">
        <f>(14*8*180)*Z50</f>
        <v>0</v>
      </c>
      <c r="AA118" s="5"/>
      <c r="AB118" s="5"/>
      <c r="AC118" s="5">
        <f t="shared" si="124"/>
        <v>466560</v>
      </c>
    </row>
    <row r="119" spans="1:29" x14ac:dyDescent="0.35">
      <c r="A119" s="26" t="s">
        <v>97</v>
      </c>
      <c r="B119" s="10">
        <f>(17.25*8*240)*B51</f>
        <v>0</v>
      </c>
      <c r="C119" s="10"/>
      <c r="D119" s="5"/>
      <c r="E119" s="5"/>
      <c r="F119" s="5"/>
      <c r="G119" s="5"/>
      <c r="H119" s="5"/>
      <c r="I119" s="5">
        <f t="shared" si="121"/>
        <v>0</v>
      </c>
      <c r="J119" s="11"/>
      <c r="L119" s="10">
        <f>(20*8*240)*L51</f>
        <v>76800</v>
      </c>
      <c r="M119" s="10"/>
      <c r="N119" s="5"/>
      <c r="O119" s="5"/>
      <c r="P119" s="5"/>
      <c r="Q119" s="5"/>
      <c r="R119" s="5"/>
      <c r="S119" s="5">
        <f t="shared" si="122"/>
        <v>76800</v>
      </c>
      <c r="T119" s="11"/>
      <c r="V119" s="72">
        <f t="shared" si="125"/>
        <v>76800</v>
      </c>
      <c r="W119" s="72">
        <f t="shared" si="123"/>
        <v>0</v>
      </c>
      <c r="X119" s="72">
        <f t="shared" si="123"/>
        <v>0</v>
      </c>
      <c r="Y119" s="72">
        <f t="shared" si="123"/>
        <v>0</v>
      </c>
      <c r="Z119" s="5"/>
      <c r="AA119" s="5"/>
      <c r="AB119" s="5"/>
      <c r="AC119" s="5">
        <f t="shared" si="124"/>
        <v>76800</v>
      </c>
    </row>
    <row r="120" spans="1:29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121"/>
        <v>0</v>
      </c>
      <c r="J120" s="11"/>
      <c r="L120" s="10"/>
      <c r="M120" s="10"/>
      <c r="N120" s="5">
        <v>45000</v>
      </c>
      <c r="O120" s="5"/>
      <c r="P120" s="5"/>
      <c r="Q120" s="5"/>
      <c r="R120" s="5"/>
      <c r="S120" s="5">
        <f t="shared" si="122"/>
        <v>45000</v>
      </c>
      <c r="T120" s="11"/>
      <c r="V120" s="72">
        <f t="shared" si="125"/>
        <v>0</v>
      </c>
      <c r="W120" s="72">
        <f t="shared" si="123"/>
        <v>0</v>
      </c>
      <c r="X120" s="72">
        <f t="shared" si="123"/>
        <v>45000</v>
      </c>
      <c r="Y120" s="72">
        <f t="shared" si="123"/>
        <v>0</v>
      </c>
      <c r="Z120" s="5"/>
      <c r="AA120" s="5"/>
      <c r="AB120" s="5"/>
      <c r="AC120" s="5">
        <f t="shared" si="124"/>
        <v>45000</v>
      </c>
    </row>
    <row r="121" spans="1:29" x14ac:dyDescent="0.35">
      <c r="A121" s="57" t="s">
        <v>98</v>
      </c>
      <c r="B121" s="58">
        <f>SUM(B107:B120)</f>
        <v>2027777.044</v>
      </c>
      <c r="C121" s="58">
        <f t="shared" ref="C121:D121" si="128">SUM(C107:C120)</f>
        <v>283215</v>
      </c>
      <c r="D121" s="58">
        <f t="shared" si="128"/>
        <v>63360</v>
      </c>
      <c r="E121" s="58"/>
      <c r="F121" s="58">
        <f t="shared" ref="F121:I121" si="129">SUM(F107:F120)</f>
        <v>0</v>
      </c>
      <c r="G121" s="58">
        <f t="shared" si="129"/>
        <v>0</v>
      </c>
      <c r="H121" s="58">
        <f t="shared" si="129"/>
        <v>0</v>
      </c>
      <c r="I121" s="58">
        <f t="shared" si="129"/>
        <v>2374352.0439999998</v>
      </c>
      <c r="J121" s="7"/>
      <c r="L121" s="58">
        <f>SUM(L107:L120)</f>
        <v>2528450</v>
      </c>
      <c r="M121" s="58">
        <f t="shared" ref="M121:N121" si="130">SUM(M107:M120)</f>
        <v>239100</v>
      </c>
      <c r="N121" s="58">
        <f t="shared" si="130"/>
        <v>108360</v>
      </c>
      <c r="O121" s="58"/>
      <c r="P121" s="58">
        <f t="shared" ref="P121:S121" si="131">SUM(P107:P120)</f>
        <v>0</v>
      </c>
      <c r="Q121" s="58">
        <f t="shared" si="131"/>
        <v>0</v>
      </c>
      <c r="R121" s="58">
        <f t="shared" si="131"/>
        <v>0</v>
      </c>
      <c r="S121" s="58">
        <f t="shared" si="131"/>
        <v>2875910</v>
      </c>
      <c r="T121" s="7"/>
      <c r="V121" s="58">
        <f>SUM(V107:V120)</f>
        <v>4556227.0439999998</v>
      </c>
      <c r="W121" s="58">
        <f t="shared" ref="W121:X121" si="132">SUM(W107:W120)</f>
        <v>522315</v>
      </c>
      <c r="X121" s="58">
        <f t="shared" si="132"/>
        <v>171720</v>
      </c>
      <c r="Y121" s="58"/>
      <c r="Z121" s="58">
        <f t="shared" ref="Z121:AC121" si="133">SUM(Z107:Z120)</f>
        <v>0</v>
      </c>
      <c r="AA121" s="58">
        <f t="shared" si="133"/>
        <v>0</v>
      </c>
      <c r="AB121" s="58">
        <f t="shared" si="133"/>
        <v>0</v>
      </c>
      <c r="AC121" s="58">
        <f t="shared" si="133"/>
        <v>5250262.0439999998</v>
      </c>
    </row>
    <row r="122" spans="1:29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  <c r="L122" s="44"/>
      <c r="M122" s="44"/>
      <c r="N122" s="44"/>
      <c r="O122" s="44"/>
      <c r="P122" s="44"/>
      <c r="Q122" s="44"/>
      <c r="R122" s="44"/>
      <c r="S122" s="45"/>
      <c r="T122" s="7"/>
      <c r="V122" s="44"/>
      <c r="W122" s="44"/>
      <c r="X122" s="44"/>
      <c r="Y122" s="44"/>
      <c r="Z122" s="44"/>
      <c r="AA122" s="44"/>
      <c r="AB122" s="44"/>
      <c r="AC122" s="45"/>
    </row>
    <row r="123" spans="1:29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134">SUM(B123:H123)</f>
        <v>0</v>
      </c>
      <c r="J123" s="11"/>
      <c r="L123" s="10">
        <v>0</v>
      </c>
      <c r="M123" s="72">
        <v>0</v>
      </c>
      <c r="N123" s="10"/>
      <c r="O123" s="10"/>
      <c r="P123" s="5"/>
      <c r="Q123" s="5"/>
      <c r="R123" s="5"/>
      <c r="S123" s="5">
        <f t="shared" ref="S123:S128" si="135">SUM(L123:R123)</f>
        <v>0</v>
      </c>
      <c r="T123" s="11"/>
      <c r="V123" s="10">
        <f>B123+L123</f>
        <v>0</v>
      </c>
      <c r="W123" s="10">
        <f t="shared" ref="W123:Y130" si="136">C123+M123</f>
        <v>0</v>
      </c>
      <c r="X123" s="10">
        <f t="shared" si="136"/>
        <v>0</v>
      </c>
      <c r="Y123" s="10">
        <f t="shared" si="136"/>
        <v>0</v>
      </c>
      <c r="Z123" s="5"/>
      <c r="AA123" s="5"/>
      <c r="AB123" s="5"/>
      <c r="AC123" s="5">
        <f t="shared" ref="AC123:AC128" si="137">SUM(V123:AB123)</f>
        <v>0</v>
      </c>
    </row>
    <row r="124" spans="1:29" x14ac:dyDescent="0.35">
      <c r="A124" s="26" t="s">
        <v>43</v>
      </c>
      <c r="B124" s="10">
        <v>0</v>
      </c>
      <c r="C124" s="72">
        <f>57500*1.03*1.015</f>
        <v>60113.374999999993</v>
      </c>
      <c r="D124" s="10"/>
      <c r="E124" s="10"/>
      <c r="F124" s="5"/>
      <c r="G124" s="5"/>
      <c r="H124" s="5"/>
      <c r="I124" s="5">
        <f t="shared" si="134"/>
        <v>60113.374999999993</v>
      </c>
      <c r="J124" s="11"/>
      <c r="L124" s="10">
        <v>0</v>
      </c>
      <c r="M124" s="72">
        <v>0</v>
      </c>
      <c r="N124" s="10"/>
      <c r="O124" s="10"/>
      <c r="P124" s="5"/>
      <c r="Q124" s="5"/>
      <c r="R124" s="5"/>
      <c r="S124" s="5">
        <f t="shared" si="135"/>
        <v>0</v>
      </c>
      <c r="T124" s="11"/>
      <c r="V124" s="10">
        <f t="shared" ref="V124:V130" si="138">B124+L124</f>
        <v>0</v>
      </c>
      <c r="W124" s="10">
        <f t="shared" si="136"/>
        <v>60113.374999999993</v>
      </c>
      <c r="X124" s="10">
        <f t="shared" si="136"/>
        <v>0</v>
      </c>
      <c r="Y124" s="10">
        <f t="shared" si="136"/>
        <v>0</v>
      </c>
      <c r="Z124" s="5"/>
      <c r="AA124" s="5"/>
      <c r="AB124" s="5"/>
      <c r="AC124" s="5">
        <f t="shared" si="137"/>
        <v>60113.374999999993</v>
      </c>
    </row>
    <row r="125" spans="1:29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134"/>
        <v>0</v>
      </c>
      <c r="J125" s="11"/>
      <c r="L125" s="10">
        <v>0</v>
      </c>
      <c r="M125" s="10">
        <v>0</v>
      </c>
      <c r="N125" s="10"/>
      <c r="O125" s="10"/>
      <c r="P125" s="5"/>
      <c r="Q125" s="5"/>
      <c r="R125" s="5"/>
      <c r="S125" s="5">
        <f t="shared" si="135"/>
        <v>0</v>
      </c>
      <c r="T125" s="11"/>
      <c r="V125" s="10">
        <f t="shared" si="138"/>
        <v>0</v>
      </c>
      <c r="W125" s="10">
        <f t="shared" si="136"/>
        <v>0</v>
      </c>
      <c r="X125" s="10">
        <f t="shared" si="136"/>
        <v>0</v>
      </c>
      <c r="Y125" s="10">
        <f t="shared" si="136"/>
        <v>0</v>
      </c>
      <c r="Z125" s="5"/>
      <c r="AA125" s="5"/>
      <c r="AB125" s="5"/>
      <c r="AC125" s="5">
        <f t="shared" si="137"/>
        <v>0</v>
      </c>
    </row>
    <row r="126" spans="1:29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134"/>
        <v>0</v>
      </c>
      <c r="J126" s="11"/>
      <c r="L126" s="10">
        <v>0</v>
      </c>
      <c r="M126" s="10"/>
      <c r="N126" s="10"/>
      <c r="O126" s="10"/>
      <c r="P126" s="5"/>
      <c r="Q126" s="5"/>
      <c r="R126" s="5"/>
      <c r="S126" s="21">
        <f t="shared" si="135"/>
        <v>0</v>
      </c>
      <c r="T126" s="11"/>
      <c r="V126" s="10">
        <f t="shared" si="138"/>
        <v>0</v>
      </c>
      <c r="W126" s="10">
        <f t="shared" si="136"/>
        <v>0</v>
      </c>
      <c r="X126" s="10">
        <f t="shared" si="136"/>
        <v>0</v>
      </c>
      <c r="Y126" s="10">
        <f t="shared" si="136"/>
        <v>0</v>
      </c>
      <c r="Z126" s="5"/>
      <c r="AA126" s="5"/>
      <c r="AB126" s="5"/>
      <c r="AC126" s="21">
        <f t="shared" si="137"/>
        <v>0</v>
      </c>
    </row>
    <row r="127" spans="1:29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134"/>
        <v>0</v>
      </c>
      <c r="J127" s="11"/>
      <c r="L127" s="10">
        <v>0</v>
      </c>
      <c r="M127" s="10"/>
      <c r="N127" s="10"/>
      <c r="O127" s="10"/>
      <c r="P127" s="5"/>
      <c r="Q127" s="5"/>
      <c r="R127" s="5"/>
      <c r="S127" s="5">
        <f t="shared" si="135"/>
        <v>0</v>
      </c>
      <c r="T127" s="11"/>
      <c r="V127" s="10">
        <f t="shared" si="138"/>
        <v>0</v>
      </c>
      <c r="W127" s="10">
        <f t="shared" si="136"/>
        <v>0</v>
      </c>
      <c r="X127" s="10">
        <f t="shared" si="136"/>
        <v>0</v>
      </c>
      <c r="Y127" s="10">
        <f t="shared" si="136"/>
        <v>0</v>
      </c>
      <c r="Z127" s="5"/>
      <c r="AA127" s="5"/>
      <c r="AB127" s="5"/>
      <c r="AC127" s="5">
        <f t="shared" si="137"/>
        <v>0</v>
      </c>
    </row>
    <row r="128" spans="1:29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134"/>
        <v>0</v>
      </c>
      <c r="J128" s="11"/>
      <c r="L128" s="72">
        <v>0</v>
      </c>
      <c r="M128" s="10"/>
      <c r="N128" s="10"/>
      <c r="O128" s="10"/>
      <c r="P128" s="5"/>
      <c r="Q128" s="5"/>
      <c r="R128" s="5"/>
      <c r="S128" s="5">
        <f t="shared" si="135"/>
        <v>0</v>
      </c>
      <c r="T128" s="11"/>
      <c r="V128" s="10">
        <f t="shared" si="138"/>
        <v>0</v>
      </c>
      <c r="W128" s="10">
        <f t="shared" si="136"/>
        <v>0</v>
      </c>
      <c r="X128" s="10">
        <f t="shared" si="136"/>
        <v>0</v>
      </c>
      <c r="Y128" s="10">
        <f t="shared" si="136"/>
        <v>0</v>
      </c>
      <c r="Z128" s="5"/>
      <c r="AA128" s="5"/>
      <c r="AB128" s="5"/>
      <c r="AC128" s="5">
        <f t="shared" si="137"/>
        <v>0</v>
      </c>
    </row>
    <row r="129" spans="1:29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  <c r="L129" s="10"/>
      <c r="M129" s="10">
        <f>(12.5*6*185)*M52</f>
        <v>0</v>
      </c>
      <c r="N129" s="72"/>
      <c r="O129" s="72"/>
      <c r="P129" s="5"/>
      <c r="Q129" s="5"/>
      <c r="R129" s="5"/>
      <c r="S129" s="5">
        <f>SUM(L129:R129)</f>
        <v>0</v>
      </c>
      <c r="T129" s="11"/>
      <c r="V129" s="10">
        <f t="shared" si="138"/>
        <v>0</v>
      </c>
      <c r="W129" s="10">
        <f t="shared" si="136"/>
        <v>0</v>
      </c>
      <c r="X129" s="10">
        <f t="shared" si="136"/>
        <v>0</v>
      </c>
      <c r="Y129" s="10">
        <f t="shared" si="136"/>
        <v>0</v>
      </c>
      <c r="Z129" s="5"/>
      <c r="AA129" s="5"/>
      <c r="AB129" s="5"/>
      <c r="AC129" s="5">
        <f>SUM(V129:AB129)</f>
        <v>0</v>
      </c>
    </row>
    <row r="130" spans="1:29" x14ac:dyDescent="0.35">
      <c r="A130" s="26" t="s">
        <v>55</v>
      </c>
      <c r="B130" s="148">
        <f>150*180*B59</f>
        <v>0</v>
      </c>
      <c r="C130" s="148">
        <f t="shared" ref="C130:H130" si="139">150*180*C59</f>
        <v>0</v>
      </c>
      <c r="D130" s="148">
        <f t="shared" si="139"/>
        <v>0</v>
      </c>
      <c r="E130" s="148">
        <f t="shared" si="139"/>
        <v>0</v>
      </c>
      <c r="F130" s="148">
        <f t="shared" si="139"/>
        <v>0</v>
      </c>
      <c r="G130" s="148">
        <f t="shared" si="139"/>
        <v>0</v>
      </c>
      <c r="H130" s="148">
        <f t="shared" si="139"/>
        <v>0</v>
      </c>
      <c r="I130" s="5">
        <f>SUM(B130:H130)</f>
        <v>0</v>
      </c>
      <c r="J130" s="11"/>
      <c r="L130" s="148">
        <f>150*180*L59</f>
        <v>0</v>
      </c>
      <c r="M130" s="148">
        <f t="shared" ref="M130:R130" si="140">150*180*M59</f>
        <v>0</v>
      </c>
      <c r="N130" s="148">
        <f t="shared" si="140"/>
        <v>0</v>
      </c>
      <c r="O130" s="148">
        <f t="shared" si="140"/>
        <v>0</v>
      </c>
      <c r="P130" s="148">
        <f t="shared" si="140"/>
        <v>0</v>
      </c>
      <c r="Q130" s="148">
        <f t="shared" si="140"/>
        <v>0</v>
      </c>
      <c r="R130" s="148">
        <f t="shared" si="140"/>
        <v>0</v>
      </c>
      <c r="S130" s="5">
        <f>SUM(L130:R130)</f>
        <v>0</v>
      </c>
      <c r="T130" s="11"/>
      <c r="V130" s="10">
        <f t="shared" si="138"/>
        <v>0</v>
      </c>
      <c r="W130" s="10">
        <f t="shared" si="136"/>
        <v>0</v>
      </c>
      <c r="X130" s="10">
        <f t="shared" si="136"/>
        <v>0</v>
      </c>
      <c r="Y130" s="10">
        <f t="shared" si="136"/>
        <v>0</v>
      </c>
      <c r="Z130" s="148">
        <f t="shared" ref="Z130:AB130" si="141">150*180*Z59</f>
        <v>0</v>
      </c>
      <c r="AA130" s="148">
        <f t="shared" si="141"/>
        <v>0</v>
      </c>
      <c r="AB130" s="148">
        <f t="shared" si="141"/>
        <v>0</v>
      </c>
      <c r="AC130" s="5">
        <f>SUM(V130:AB130)</f>
        <v>0</v>
      </c>
    </row>
    <row r="131" spans="1:29" x14ac:dyDescent="0.35">
      <c r="A131" s="60" t="s">
        <v>101</v>
      </c>
      <c r="B131" s="61">
        <f>SUM(B123:B130)</f>
        <v>0</v>
      </c>
      <c r="C131" s="61">
        <f t="shared" ref="C131:I131" si="142">SUM(C123:C130)</f>
        <v>60113.374999999993</v>
      </c>
      <c r="D131" s="61">
        <f t="shared" si="142"/>
        <v>0</v>
      </c>
      <c r="E131" s="61"/>
      <c r="F131" s="61">
        <f t="shared" si="142"/>
        <v>0</v>
      </c>
      <c r="G131" s="61">
        <f t="shared" si="142"/>
        <v>0</v>
      </c>
      <c r="H131" s="61">
        <f t="shared" si="142"/>
        <v>0</v>
      </c>
      <c r="I131" s="61">
        <f t="shared" si="142"/>
        <v>60113.374999999993</v>
      </c>
      <c r="J131" s="7"/>
      <c r="L131" s="61">
        <f>SUM(L123:L130)</f>
        <v>0</v>
      </c>
      <c r="M131" s="61">
        <f t="shared" ref="M131:N131" si="143">SUM(M123:M130)</f>
        <v>0</v>
      </c>
      <c r="N131" s="61">
        <f t="shared" si="143"/>
        <v>0</v>
      </c>
      <c r="O131" s="61"/>
      <c r="P131" s="61">
        <f t="shared" ref="P131:S131" si="144">SUM(P123:P130)</f>
        <v>0</v>
      </c>
      <c r="Q131" s="61">
        <f t="shared" si="144"/>
        <v>0</v>
      </c>
      <c r="R131" s="61">
        <f t="shared" si="144"/>
        <v>0</v>
      </c>
      <c r="S131" s="61">
        <f t="shared" si="144"/>
        <v>0</v>
      </c>
      <c r="T131" s="7"/>
      <c r="V131" s="61">
        <f>SUM(V123:V130)</f>
        <v>0</v>
      </c>
      <c r="W131" s="61">
        <f t="shared" ref="W131:X131" si="145">SUM(W123:W130)</f>
        <v>60113.374999999993</v>
      </c>
      <c r="X131" s="61">
        <f t="shared" si="145"/>
        <v>0</v>
      </c>
      <c r="Y131" s="61"/>
      <c r="Z131" s="61">
        <f t="shared" ref="Z131:AC131" si="146">SUM(Z123:Z130)</f>
        <v>0</v>
      </c>
      <c r="AA131" s="61">
        <f t="shared" si="146"/>
        <v>0</v>
      </c>
      <c r="AB131" s="61">
        <f t="shared" si="146"/>
        <v>0</v>
      </c>
      <c r="AC131" s="61">
        <f t="shared" si="146"/>
        <v>60113.374999999993</v>
      </c>
    </row>
    <row r="132" spans="1:29" x14ac:dyDescent="0.35">
      <c r="A132" s="62" t="s">
        <v>102</v>
      </c>
      <c r="B132" s="63">
        <f t="shared" ref="B132:H132" si="147">B121+B131</f>
        <v>2027777.044</v>
      </c>
      <c r="C132" s="63">
        <f t="shared" si="147"/>
        <v>343328.375</v>
      </c>
      <c r="D132" s="63">
        <f t="shared" si="147"/>
        <v>63360</v>
      </c>
      <c r="E132" s="63"/>
      <c r="F132" s="63">
        <f t="shared" si="147"/>
        <v>0</v>
      </c>
      <c r="G132" s="63">
        <f t="shared" si="147"/>
        <v>0</v>
      </c>
      <c r="H132" s="63">
        <f t="shared" si="147"/>
        <v>0</v>
      </c>
      <c r="I132" s="63">
        <f>I121+I131</f>
        <v>2434465.4189999998</v>
      </c>
      <c r="J132" s="7"/>
      <c r="L132" s="63">
        <f t="shared" ref="L132:N132" si="148">L121+L131</f>
        <v>2528450</v>
      </c>
      <c r="M132" s="63">
        <f t="shared" si="148"/>
        <v>239100</v>
      </c>
      <c r="N132" s="63">
        <f t="shared" si="148"/>
        <v>108360</v>
      </c>
      <c r="O132" s="63"/>
      <c r="P132" s="63">
        <f t="shared" ref="P132:R132" si="149">P121+P131</f>
        <v>0</v>
      </c>
      <c r="Q132" s="63">
        <f t="shared" si="149"/>
        <v>0</v>
      </c>
      <c r="R132" s="63">
        <f t="shared" si="149"/>
        <v>0</v>
      </c>
      <c r="S132" s="63">
        <f>S121+S131</f>
        <v>2875910</v>
      </c>
      <c r="T132" s="7"/>
      <c r="V132" s="63">
        <f t="shared" ref="V132:X132" si="150">V121+V131</f>
        <v>4556227.0439999998</v>
      </c>
      <c r="W132" s="63">
        <f t="shared" si="150"/>
        <v>582428.375</v>
      </c>
      <c r="X132" s="63">
        <f t="shared" si="150"/>
        <v>171720</v>
      </c>
      <c r="Y132" s="63"/>
      <c r="Z132" s="63">
        <f t="shared" ref="Z132:AB132" si="151">Z121+Z131</f>
        <v>0</v>
      </c>
      <c r="AA132" s="63">
        <f t="shared" si="151"/>
        <v>0</v>
      </c>
      <c r="AB132" s="63">
        <f t="shared" si="151"/>
        <v>0</v>
      </c>
      <c r="AC132" s="63">
        <f>AC121+AC131</f>
        <v>5310375.4189999998</v>
      </c>
    </row>
    <row r="133" spans="1:29" x14ac:dyDescent="0.35">
      <c r="A133" s="26" t="s">
        <v>258</v>
      </c>
      <c r="B133" s="47">
        <f>B132*0.335</f>
        <v>679305.30974000006</v>
      </c>
      <c r="C133" s="47">
        <f t="shared" ref="C133:H133" si="152">C132*0.335</f>
        <v>115015.00562500001</v>
      </c>
      <c r="D133" s="47">
        <f t="shared" si="152"/>
        <v>21225.600000000002</v>
      </c>
      <c r="E133" s="47"/>
      <c r="F133" s="47">
        <f t="shared" si="152"/>
        <v>0</v>
      </c>
      <c r="G133" s="47">
        <f t="shared" si="152"/>
        <v>0</v>
      </c>
      <c r="H133" s="47">
        <f t="shared" si="152"/>
        <v>0</v>
      </c>
      <c r="I133" s="10">
        <f>SUM(B133:H133)</f>
        <v>815545.91536500002</v>
      </c>
      <c r="J133" s="105">
        <f>I133/I132</f>
        <v>0.33500000000000002</v>
      </c>
      <c r="L133" s="47">
        <f>L132*0.335</f>
        <v>847030.75</v>
      </c>
      <c r="M133" s="47">
        <f t="shared" ref="M133:N133" si="153">M132*0.335</f>
        <v>80098.5</v>
      </c>
      <c r="N133" s="47">
        <f t="shared" si="153"/>
        <v>36300.6</v>
      </c>
      <c r="O133" s="47"/>
      <c r="P133" s="47">
        <f t="shared" ref="P133:R133" si="154">P132*0.335</f>
        <v>0</v>
      </c>
      <c r="Q133" s="47">
        <f t="shared" si="154"/>
        <v>0</v>
      </c>
      <c r="R133" s="47">
        <f t="shared" si="154"/>
        <v>0</v>
      </c>
      <c r="S133" s="10">
        <f>SUM(L133:R133)</f>
        <v>963429.85</v>
      </c>
      <c r="T133" s="105">
        <f>S133/S132</f>
        <v>0.33499999999999996</v>
      </c>
      <c r="V133" s="47">
        <f>B133+L133</f>
        <v>1526336.0597399999</v>
      </c>
      <c r="W133" s="47">
        <f t="shared" ref="W133:Y140" si="155">C133+M133</f>
        <v>195113.50562499999</v>
      </c>
      <c r="X133" s="47">
        <f t="shared" si="155"/>
        <v>57526.2</v>
      </c>
      <c r="Y133" s="47">
        <f t="shared" si="155"/>
        <v>0</v>
      </c>
      <c r="Z133" s="47">
        <f t="shared" ref="Z133:AB133" si="156">Z132*0.335</f>
        <v>0</v>
      </c>
      <c r="AA133" s="47">
        <f t="shared" si="156"/>
        <v>0</v>
      </c>
      <c r="AB133" s="47">
        <f t="shared" si="156"/>
        <v>0</v>
      </c>
      <c r="AC133" s="10">
        <f>SUM(V133:AB133)</f>
        <v>1778975.7653649999</v>
      </c>
    </row>
    <row r="134" spans="1:29" x14ac:dyDescent="0.35">
      <c r="A134" s="26" t="s">
        <v>103</v>
      </c>
      <c r="B134" s="10">
        <f>((6700*B65)*0.8)+((175*B65)*0.78)+((80*B65)*0.78)+(B132*0.015)+(B132*0.03)</f>
        <v>274693.66697999998</v>
      </c>
      <c r="C134" s="10">
        <f t="shared" ref="C134:E134" si="157">((6700*C65)*0.8)+((175*C65)*0.78)+((80*C65)*0.78)+(C132*0.015)+(C132*0.03)</f>
        <v>54362.076875000006</v>
      </c>
      <c r="D134" s="10">
        <f t="shared" si="157"/>
        <v>13968.999999999998</v>
      </c>
      <c r="E134" s="10">
        <f t="shared" si="157"/>
        <v>0</v>
      </c>
      <c r="F134" s="10">
        <f t="shared" ref="F134:H134" si="158">((6450*F65)*0.78)+((160*F65)*0.78)+((65*F65)*0.78)+(F132*0.015)+(F132*0.03)</f>
        <v>0</v>
      </c>
      <c r="G134" s="10">
        <f t="shared" si="158"/>
        <v>0</v>
      </c>
      <c r="H134" s="10">
        <f t="shared" si="158"/>
        <v>0</v>
      </c>
      <c r="I134" s="10">
        <f>SUM(B134:H134)</f>
        <v>343024.74385500001</v>
      </c>
      <c r="J134" s="105">
        <f>I134/I132</f>
        <v>0.14090351876754265</v>
      </c>
      <c r="L134" s="10">
        <f>((6700*L65)*0.78)+((175*L65)*0.78)+((80*L65)*0.78)+(L132*0.015)+(L132*0.03)</f>
        <v>338913.6</v>
      </c>
      <c r="M134" s="10">
        <f t="shared" ref="M134:O134" si="159">((6700*M65)*0.78)+((175*M65)*0.78)+((80*M65)*0.78)+(M132*0.015)+(M132*0.03)</f>
        <v>37884</v>
      </c>
      <c r="N134" s="10">
        <f>((6700*N65)*0.4)+((175*N65)*0.78)+((80*N65)*0.78)+(N132*0.015)+(N132*0.03)</f>
        <v>13512.9</v>
      </c>
      <c r="O134" s="10">
        <f t="shared" si="159"/>
        <v>0</v>
      </c>
      <c r="P134" s="10">
        <f t="shared" ref="P134:R134" si="160">((6450*P65)*0.78)+((160*P65)*0.78)+((65*P65)*0.78)+(P132*0.015)+(P132*0.03)</f>
        <v>0</v>
      </c>
      <c r="Q134" s="10">
        <f t="shared" si="160"/>
        <v>0</v>
      </c>
      <c r="R134" s="10">
        <f t="shared" si="160"/>
        <v>0</v>
      </c>
      <c r="S134" s="10">
        <f>SUM(L134:R134)</f>
        <v>390310.5</v>
      </c>
      <c r="T134" s="105">
        <f>S134/S132</f>
        <v>0.13571721646365845</v>
      </c>
      <c r="V134" s="47">
        <f t="shared" ref="V134:V140" si="161">B134+L134</f>
        <v>613607.26697999996</v>
      </c>
      <c r="W134" s="47">
        <f t="shared" si="155"/>
        <v>92246.076874999999</v>
      </c>
      <c r="X134" s="47">
        <f t="shared" si="155"/>
        <v>27481.899999999998</v>
      </c>
      <c r="Y134" s="47">
        <f t="shared" si="155"/>
        <v>0</v>
      </c>
      <c r="Z134" s="10">
        <f t="shared" ref="Z134:AB134" si="162">((6450*Z65)*0.78)+((160*Z65)*0.78)+((65*Z65)*0.78)+(Z132*0.015)+(Z132*0.03)</f>
        <v>0</v>
      </c>
      <c r="AA134" s="10">
        <f t="shared" si="162"/>
        <v>0</v>
      </c>
      <c r="AB134" s="10">
        <f t="shared" si="162"/>
        <v>0</v>
      </c>
      <c r="AC134" s="10">
        <f>SUM(V134:AB134)</f>
        <v>733335.24385500001</v>
      </c>
    </row>
    <row r="135" spans="1:29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</f>
        <v>32422.5</v>
      </c>
      <c r="C135" s="10">
        <f t="shared" ref="C135:H135" si="163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163"/>
        <v>990</v>
      </c>
      <c r="E135" s="10">
        <f t="shared" si="163"/>
        <v>0</v>
      </c>
      <c r="F135" s="10">
        <f t="shared" si="163"/>
        <v>0</v>
      </c>
      <c r="G135" s="10">
        <f t="shared" si="163"/>
        <v>0</v>
      </c>
      <c r="H135" s="10">
        <f t="shared" si="163"/>
        <v>0</v>
      </c>
      <c r="I135" s="10">
        <f t="shared" ref="I135:I140" si="164">SUM(B135:H135)</f>
        <v>38857.5</v>
      </c>
      <c r="J135" s="11"/>
      <c r="L135" s="10">
        <f>((2000*L39)+(1750*L40)+(1500*L41)+(1500*L42)+(1500*L43)+(1500*L44)+(1500*L45)+(1000*L46)+(1000*L47)+(500*L48)+(500*L49)+(500*L50)+(500*L51)+(500*L52)+(500*L53)+(1000*L54)+(1000*L55)+(1000*L56)+(1000*L57)+(1000*L58)+(500*L59)+(500*L60)+(1000*L36))*0.4</f>
        <v>16700</v>
      </c>
      <c r="M135" s="10">
        <f t="shared" ref="M135:N135" si="165">((2000*M39)+(1750*M40)+(1500*M41)+(1500*M42)+(1500*M43)+(1500*M44)+(1500*M45)+(1000*M46)+(1000*M47)+(500*M48)+(500*M49)+(500*M50)+(500*M51)+(500*M52)+(500*M53)+(1000*M54)+(1000*M55)+(1000*M56)+(1000*M57)+(1000*M58)+(500*M59)+(500*M60)+(1000*M36))*0.4</f>
        <v>1600</v>
      </c>
      <c r="N135" s="10">
        <f t="shared" si="165"/>
        <v>600</v>
      </c>
      <c r="O135" s="10">
        <f t="shared" ref="O135:R135" si="166">((2000*O39)+(1750*O40)+(1500*O41)+(1500*O42)+(1500*O43)+(1500*O44)+(1500*O45)+(1000*O46)+(1000*O47)+(500*O48)+(500*O49)+(500*O50)+(500*O51)+(500*O52)+(500*O53)+(1000*O54)+(1000*O55)+(1000*O56)+(1000*O57)+(1000*O58)+(500*O59)+(500*O60)+(1000*O36))*0.99</f>
        <v>0</v>
      </c>
      <c r="P135" s="10">
        <f t="shared" si="166"/>
        <v>0</v>
      </c>
      <c r="Q135" s="10">
        <f t="shared" si="166"/>
        <v>0</v>
      </c>
      <c r="R135" s="10">
        <f t="shared" si="166"/>
        <v>0</v>
      </c>
      <c r="S135" s="10">
        <f t="shared" ref="S135:S140" si="167">SUM(L135:R135)</f>
        <v>18900</v>
      </c>
      <c r="T135" s="11"/>
      <c r="V135" s="47">
        <f t="shared" si="161"/>
        <v>49122.5</v>
      </c>
      <c r="W135" s="47">
        <f t="shared" si="155"/>
        <v>7045</v>
      </c>
      <c r="X135" s="47">
        <f t="shared" si="155"/>
        <v>1590</v>
      </c>
      <c r="Y135" s="47">
        <f t="shared" si="155"/>
        <v>0</v>
      </c>
      <c r="Z135" s="10">
        <f t="shared" ref="Z135:AB135" si="168">((2000*Z39)+(1750*Z40)+(1500*Z41)+(1500*Z42)+(1500*Z43)+(1500*Z44)+(1500*Z45)+(1000*Z46)+(1000*Z47)+(500*Z48)+(500*Z49)+(500*Z50)+(500*Z51)+(500*Z52)+(500*Z53)+(1000*Z54)+(1000*Z55)+(1000*Z56)+(1000*Z57)+(1000*Z58)+(500*Z59)+(500*Z60)+(1000*Z36))*0.99</f>
        <v>0</v>
      </c>
      <c r="AA135" s="10">
        <f t="shared" si="168"/>
        <v>0</v>
      </c>
      <c r="AB135" s="10">
        <f t="shared" si="168"/>
        <v>0</v>
      </c>
      <c r="AC135" s="10">
        <f t="shared" ref="AC135:AC140" si="169">SUM(V135:AB135)</f>
        <v>57757.5</v>
      </c>
    </row>
    <row r="136" spans="1:29" x14ac:dyDescent="0.35">
      <c r="A136" s="26" t="s">
        <v>105</v>
      </c>
      <c r="B136" s="10">
        <f>125*B65+(125*15)</f>
        <v>6000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164"/>
        <v>7125</v>
      </c>
      <c r="J136" s="11"/>
      <c r="L136" s="10">
        <f>125*L65+(125*15)</f>
        <v>7062.5</v>
      </c>
      <c r="M136" s="10">
        <f>125*M65</f>
        <v>625</v>
      </c>
      <c r="N136" s="10">
        <f>125*N65</f>
        <v>375</v>
      </c>
      <c r="O136" s="10"/>
      <c r="P136" s="10">
        <f>125*P65</f>
        <v>0</v>
      </c>
      <c r="Q136" s="10">
        <f>125*Q65</f>
        <v>0</v>
      </c>
      <c r="R136" s="10">
        <f>125*R65</f>
        <v>0</v>
      </c>
      <c r="S136" s="10">
        <f t="shared" si="167"/>
        <v>8062.5</v>
      </c>
      <c r="T136" s="11"/>
      <c r="V136" s="47">
        <f t="shared" si="161"/>
        <v>13062.5</v>
      </c>
      <c r="W136" s="47">
        <f t="shared" si="155"/>
        <v>1500</v>
      </c>
      <c r="X136" s="47">
        <f t="shared" si="155"/>
        <v>625</v>
      </c>
      <c r="Y136" s="47">
        <f t="shared" si="155"/>
        <v>0</v>
      </c>
      <c r="Z136" s="10">
        <f>125*Z65</f>
        <v>0</v>
      </c>
      <c r="AA136" s="10">
        <f>125*AA65</f>
        <v>0</v>
      </c>
      <c r="AB136" s="10">
        <f>125*AB65</f>
        <v>0</v>
      </c>
      <c r="AC136" s="10">
        <f t="shared" si="169"/>
        <v>15187.5</v>
      </c>
    </row>
    <row r="137" spans="1:29" x14ac:dyDescent="0.35">
      <c r="A137" s="26" t="s">
        <v>106</v>
      </c>
      <c r="B137" s="10">
        <v>0</v>
      </c>
      <c r="C137" s="10">
        <f>50000*1.03*1.015</f>
        <v>52272.499999999993</v>
      </c>
      <c r="D137" s="10"/>
      <c r="E137" s="10"/>
      <c r="F137" s="10">
        <v>0</v>
      </c>
      <c r="G137" s="10"/>
      <c r="H137" s="10"/>
      <c r="I137" s="10">
        <f t="shared" si="164"/>
        <v>52272.499999999993</v>
      </c>
      <c r="J137" s="11"/>
      <c r="L137" s="10">
        <v>0</v>
      </c>
      <c r="M137" s="10">
        <v>0</v>
      </c>
      <c r="N137" s="10"/>
      <c r="O137" s="10"/>
      <c r="P137" s="10">
        <v>0</v>
      </c>
      <c r="Q137" s="10"/>
      <c r="R137" s="10"/>
      <c r="S137" s="10">
        <f t="shared" si="167"/>
        <v>0</v>
      </c>
      <c r="T137" s="11"/>
      <c r="V137" s="47">
        <f t="shared" si="161"/>
        <v>0</v>
      </c>
      <c r="W137" s="47">
        <f t="shared" si="155"/>
        <v>52272.499999999993</v>
      </c>
      <c r="X137" s="47">
        <f t="shared" si="155"/>
        <v>0</v>
      </c>
      <c r="Y137" s="47">
        <f t="shared" si="155"/>
        <v>0</v>
      </c>
      <c r="Z137" s="10">
        <v>0</v>
      </c>
      <c r="AA137" s="10"/>
      <c r="AB137" s="10"/>
      <c r="AC137" s="10">
        <f t="shared" si="169"/>
        <v>52272.499999999993</v>
      </c>
    </row>
    <row r="138" spans="1:29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164"/>
        <v>0</v>
      </c>
      <c r="J138" s="11"/>
      <c r="L138" s="10">
        <v>0</v>
      </c>
      <c r="M138" s="10">
        <v>0</v>
      </c>
      <c r="N138" s="10">
        <v>0</v>
      </c>
      <c r="O138" s="10"/>
      <c r="P138" s="10"/>
      <c r="Q138" s="10"/>
      <c r="R138" s="10"/>
      <c r="S138" s="10">
        <f t="shared" si="167"/>
        <v>0</v>
      </c>
      <c r="T138" s="11"/>
      <c r="V138" s="47">
        <f t="shared" si="161"/>
        <v>0</v>
      </c>
      <c r="W138" s="47">
        <f t="shared" si="155"/>
        <v>0</v>
      </c>
      <c r="X138" s="47">
        <f t="shared" si="155"/>
        <v>0</v>
      </c>
      <c r="Y138" s="47">
        <f t="shared" si="155"/>
        <v>0</v>
      </c>
      <c r="Z138" s="10"/>
      <c r="AA138" s="10"/>
      <c r="AB138" s="10"/>
      <c r="AC138" s="10">
        <f t="shared" si="169"/>
        <v>0</v>
      </c>
    </row>
    <row r="139" spans="1:29" x14ac:dyDescent="0.35">
      <c r="A139" s="26" t="s">
        <v>108</v>
      </c>
      <c r="B139" s="10">
        <v>12500</v>
      </c>
      <c r="C139" s="10"/>
      <c r="D139" s="10"/>
      <c r="E139" s="10"/>
      <c r="F139" s="10"/>
      <c r="G139" s="10"/>
      <c r="H139" s="10"/>
      <c r="I139" s="5">
        <f t="shared" si="164"/>
        <v>12500</v>
      </c>
      <c r="J139" s="11"/>
      <c r="L139" s="10">
        <v>11500</v>
      </c>
      <c r="M139" s="10"/>
      <c r="N139" s="10"/>
      <c r="O139" s="10"/>
      <c r="P139" s="10"/>
      <c r="Q139" s="10"/>
      <c r="R139" s="10"/>
      <c r="S139" s="5">
        <f t="shared" si="167"/>
        <v>11500</v>
      </c>
      <c r="T139" s="11"/>
      <c r="V139" s="47">
        <f t="shared" si="161"/>
        <v>24000</v>
      </c>
      <c r="W139" s="47">
        <f t="shared" si="155"/>
        <v>0</v>
      </c>
      <c r="X139" s="47">
        <f t="shared" si="155"/>
        <v>0</v>
      </c>
      <c r="Y139" s="47">
        <f t="shared" si="155"/>
        <v>0</v>
      </c>
      <c r="Z139" s="10"/>
      <c r="AA139" s="10"/>
      <c r="AB139" s="10"/>
      <c r="AC139" s="5">
        <f t="shared" si="169"/>
        <v>24000</v>
      </c>
    </row>
    <row r="140" spans="1:29" x14ac:dyDescent="0.35">
      <c r="A140" s="26" t="s">
        <v>322</v>
      </c>
      <c r="B140" s="30">
        <f>(190*11*(B36-B35))-B130</f>
        <v>43890</v>
      </c>
      <c r="C140" s="30">
        <f t="shared" ref="C140:E140" si="170">(190*11*(C36-C35))-C130</f>
        <v>6270</v>
      </c>
      <c r="D140" s="30">
        <f t="shared" si="170"/>
        <v>0</v>
      </c>
      <c r="E140" s="30">
        <f t="shared" si="170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164"/>
        <v>50160</v>
      </c>
      <c r="J140" s="11" t="s">
        <v>327</v>
      </c>
      <c r="L140" s="30">
        <f>(190*11*(L36-L35))-L130</f>
        <v>67925</v>
      </c>
      <c r="M140" s="30">
        <f t="shared" ref="M140:O140" si="171">(190*11*(M36-M35))-M130</f>
        <v>6270</v>
      </c>
      <c r="N140" s="30">
        <f t="shared" si="171"/>
        <v>0</v>
      </c>
      <c r="O140" s="30">
        <f t="shared" si="171"/>
        <v>0</v>
      </c>
      <c r="P140" s="30">
        <f>(175*10*P36)-P130</f>
        <v>0</v>
      </c>
      <c r="Q140" s="30">
        <f>(175*10*Q36)-Q130</f>
        <v>0</v>
      </c>
      <c r="R140" s="30">
        <f>(175*10*R36)-R130</f>
        <v>0</v>
      </c>
      <c r="S140" s="5">
        <f t="shared" si="167"/>
        <v>74195</v>
      </c>
      <c r="T140" s="11" t="s">
        <v>327</v>
      </c>
      <c r="V140" s="47">
        <f t="shared" si="161"/>
        <v>111815</v>
      </c>
      <c r="W140" s="47">
        <f t="shared" si="155"/>
        <v>12540</v>
      </c>
      <c r="X140" s="47">
        <f t="shared" si="155"/>
        <v>0</v>
      </c>
      <c r="Y140" s="47">
        <f t="shared" si="155"/>
        <v>0</v>
      </c>
      <c r="Z140" s="30">
        <f>(175*10*Z36)-Z130</f>
        <v>0</v>
      </c>
      <c r="AA140" s="30">
        <f>(175*10*AA36)-AA130</f>
        <v>0</v>
      </c>
      <c r="AB140" s="30">
        <f>(175*10*AB36)-AB130</f>
        <v>0</v>
      </c>
      <c r="AC140" s="5">
        <f t="shared" si="169"/>
        <v>124355</v>
      </c>
    </row>
    <row r="141" spans="1:29" x14ac:dyDescent="0.35">
      <c r="A141" s="64" t="s">
        <v>109</v>
      </c>
      <c r="B141" s="65">
        <f>SUM(B133:B140)</f>
        <v>1048811.4767200002</v>
      </c>
      <c r="C141" s="65">
        <f t="shared" ref="C141:H141" si="172">SUM(C133:C140)</f>
        <v>234239.58250000002</v>
      </c>
      <c r="D141" s="65">
        <f t="shared" si="172"/>
        <v>36434.6</v>
      </c>
      <c r="E141" s="65"/>
      <c r="F141" s="65">
        <f t="shared" si="172"/>
        <v>0</v>
      </c>
      <c r="G141" s="65">
        <f t="shared" si="172"/>
        <v>0</v>
      </c>
      <c r="H141" s="65">
        <f t="shared" si="172"/>
        <v>0</v>
      </c>
      <c r="I141" s="65">
        <f>SUM(I133:I140)</f>
        <v>1319485.65922</v>
      </c>
      <c r="J141" s="7"/>
      <c r="L141" s="65">
        <f>SUM(L133:L140)</f>
        <v>1289131.8500000001</v>
      </c>
      <c r="M141" s="65">
        <f t="shared" ref="M141:N141" si="173">SUM(M133:M140)</f>
        <v>126477.5</v>
      </c>
      <c r="N141" s="65">
        <f t="shared" si="173"/>
        <v>50788.5</v>
      </c>
      <c r="O141" s="65"/>
      <c r="P141" s="65">
        <f t="shared" ref="P141:R141" si="174">SUM(P133:P140)</f>
        <v>0</v>
      </c>
      <c r="Q141" s="65">
        <f t="shared" si="174"/>
        <v>0</v>
      </c>
      <c r="R141" s="65">
        <f t="shared" si="174"/>
        <v>0</v>
      </c>
      <c r="S141" s="65">
        <f>SUM(S133:S140)</f>
        <v>1466397.85</v>
      </c>
      <c r="T141" s="7"/>
      <c r="V141" s="65">
        <f>SUM(V133:V140)</f>
        <v>2337943.3267199998</v>
      </c>
      <c r="W141" s="65">
        <f t="shared" ref="W141:X141" si="175">SUM(W133:W140)</f>
        <v>360717.08250000002</v>
      </c>
      <c r="X141" s="65">
        <f t="shared" si="175"/>
        <v>87223.099999999991</v>
      </c>
      <c r="Y141" s="65"/>
      <c r="Z141" s="65">
        <f t="shared" ref="Z141:AB141" si="176">SUM(Z133:Z140)</f>
        <v>0</v>
      </c>
      <c r="AA141" s="65">
        <f t="shared" si="176"/>
        <v>0</v>
      </c>
      <c r="AB141" s="65">
        <f t="shared" si="176"/>
        <v>0</v>
      </c>
      <c r="AC141" s="65">
        <f>SUM(AC133:AC140)</f>
        <v>2785883.5092199999</v>
      </c>
    </row>
    <row r="142" spans="1:29" x14ac:dyDescent="0.35">
      <c r="A142" s="62" t="s">
        <v>110</v>
      </c>
      <c r="B142" s="63">
        <f t="shared" ref="B142:I142" si="177">B132+B141</f>
        <v>3076588.5207200004</v>
      </c>
      <c r="C142" s="63">
        <f t="shared" si="177"/>
        <v>577567.95750000002</v>
      </c>
      <c r="D142" s="63">
        <f t="shared" si="177"/>
        <v>99794.6</v>
      </c>
      <c r="E142" s="63"/>
      <c r="F142" s="63">
        <f t="shared" si="177"/>
        <v>0</v>
      </c>
      <c r="G142" s="63">
        <f t="shared" si="177"/>
        <v>0</v>
      </c>
      <c r="H142" s="63">
        <f t="shared" si="177"/>
        <v>0</v>
      </c>
      <c r="I142" s="63">
        <f t="shared" si="177"/>
        <v>3753951.0782199996</v>
      </c>
      <c r="J142" s="7"/>
      <c r="L142" s="63">
        <f t="shared" ref="L142:N142" si="178">L132+L141</f>
        <v>3817581.85</v>
      </c>
      <c r="M142" s="63">
        <f t="shared" si="178"/>
        <v>365577.5</v>
      </c>
      <c r="N142" s="63">
        <f t="shared" si="178"/>
        <v>159148.5</v>
      </c>
      <c r="O142" s="63"/>
      <c r="P142" s="63">
        <f t="shared" ref="P142:S142" si="179">P132+P141</f>
        <v>0</v>
      </c>
      <c r="Q142" s="63">
        <f t="shared" si="179"/>
        <v>0</v>
      </c>
      <c r="R142" s="63">
        <f t="shared" si="179"/>
        <v>0</v>
      </c>
      <c r="S142" s="63">
        <f t="shared" si="179"/>
        <v>4342307.8499999996</v>
      </c>
      <c r="T142" s="7"/>
      <c r="V142" s="63">
        <f t="shared" ref="V142:X142" si="180">V132+V141</f>
        <v>6894170.3707199991</v>
      </c>
      <c r="W142" s="63">
        <f t="shared" si="180"/>
        <v>943145.45750000002</v>
      </c>
      <c r="X142" s="63">
        <f t="shared" si="180"/>
        <v>258943.09999999998</v>
      </c>
      <c r="Y142" s="63"/>
      <c r="Z142" s="63">
        <f t="shared" ref="Z142:AC142" si="181">Z132+Z141</f>
        <v>0</v>
      </c>
      <c r="AA142" s="63">
        <f t="shared" si="181"/>
        <v>0</v>
      </c>
      <c r="AB142" s="63">
        <f t="shared" si="181"/>
        <v>0</v>
      </c>
      <c r="AC142" s="63">
        <f t="shared" si="181"/>
        <v>8096258.9282200001</v>
      </c>
    </row>
    <row r="143" spans="1:29" x14ac:dyDescent="0.35">
      <c r="A143" s="66" t="s">
        <v>256</v>
      </c>
      <c r="B143" s="15" t="str">
        <f t="shared" ref="B143:I143" si="182">B1</f>
        <v>Operating</v>
      </c>
      <c r="C143" s="15" t="str">
        <f t="shared" si="182"/>
        <v>SPED</v>
      </c>
      <c r="D143" s="15" t="str">
        <f t="shared" si="182"/>
        <v>NSLP</v>
      </c>
      <c r="E143" s="15" t="str">
        <f t="shared" si="182"/>
        <v>Other</v>
      </c>
      <c r="F143" s="15" t="str">
        <f t="shared" si="182"/>
        <v>Title I</v>
      </c>
      <c r="G143" s="15" t="str">
        <f t="shared" si="182"/>
        <v>Title II</v>
      </c>
      <c r="H143" s="15" t="str">
        <f t="shared" si="182"/>
        <v>Title III</v>
      </c>
      <c r="I143" s="15" t="str">
        <f t="shared" si="182"/>
        <v>B&amp;G</v>
      </c>
      <c r="J143" s="7"/>
      <c r="L143" s="15" t="str">
        <f t="shared" ref="L143:S143" si="183">L1</f>
        <v>Operating</v>
      </c>
      <c r="M143" s="15" t="str">
        <f t="shared" si="183"/>
        <v>SPED</v>
      </c>
      <c r="N143" s="15" t="str">
        <f t="shared" si="183"/>
        <v>NSLP</v>
      </c>
      <c r="O143" s="15" t="str">
        <f t="shared" si="183"/>
        <v>Other</v>
      </c>
      <c r="P143" s="15" t="str">
        <f t="shared" si="183"/>
        <v>Title I</v>
      </c>
      <c r="Q143" s="15" t="str">
        <f t="shared" si="183"/>
        <v>Title II</v>
      </c>
      <c r="R143" s="15" t="str">
        <f t="shared" si="183"/>
        <v>Title III</v>
      </c>
      <c r="S143" s="15" t="str">
        <f t="shared" si="183"/>
        <v>New</v>
      </c>
      <c r="T143" s="7"/>
      <c r="V143" s="15" t="str">
        <f t="shared" ref="V143:AC143" si="184">V1</f>
        <v>Operating</v>
      </c>
      <c r="W143" s="15" t="str">
        <f t="shared" si="184"/>
        <v>SPED</v>
      </c>
      <c r="X143" s="15" t="str">
        <f t="shared" si="184"/>
        <v>NSLP</v>
      </c>
      <c r="Y143" s="15" t="str">
        <f t="shared" si="184"/>
        <v>Other</v>
      </c>
      <c r="Z143" s="15" t="str">
        <f t="shared" si="184"/>
        <v>Title I</v>
      </c>
      <c r="AA143" s="15" t="str">
        <f t="shared" si="184"/>
        <v>Title II</v>
      </c>
      <c r="AB143" s="15" t="str">
        <f t="shared" si="184"/>
        <v>Title III</v>
      </c>
      <c r="AC143" s="15" t="str">
        <f t="shared" si="184"/>
        <v>MANN</v>
      </c>
    </row>
    <row r="144" spans="1:29" x14ac:dyDescent="0.35">
      <c r="A144" s="67" t="s">
        <v>111</v>
      </c>
      <c r="B144" s="5">
        <f>(220*B17)</f>
        <v>102300</v>
      </c>
      <c r="C144" s="10"/>
      <c r="D144" s="10"/>
      <c r="E144" s="10"/>
      <c r="F144" s="10"/>
      <c r="G144" s="10"/>
      <c r="H144" s="10"/>
      <c r="I144" s="5">
        <f t="shared" ref="I144:I152" si="185">SUM(B144:H144)</f>
        <v>102300</v>
      </c>
      <c r="J144" s="11" t="s">
        <v>484</v>
      </c>
      <c r="L144" s="5">
        <f>(155*L17)</f>
        <v>118885</v>
      </c>
      <c r="M144" s="10"/>
      <c r="N144" s="10"/>
      <c r="O144" s="10"/>
      <c r="P144" s="10"/>
      <c r="Q144" s="10"/>
      <c r="R144" s="10"/>
      <c r="S144" s="5">
        <f t="shared" ref="S144:S152" si="186">SUM(L144:R144)</f>
        <v>118885</v>
      </c>
      <c r="T144" s="11" t="s">
        <v>513</v>
      </c>
      <c r="V144" s="5">
        <f>B144+L144</f>
        <v>221185</v>
      </c>
      <c r="W144" s="5">
        <f t="shared" ref="W144:Y153" si="187">C144+M144</f>
        <v>0</v>
      </c>
      <c r="X144" s="5">
        <f t="shared" si="187"/>
        <v>0</v>
      </c>
      <c r="Y144" s="5">
        <f t="shared" si="187"/>
        <v>0</v>
      </c>
      <c r="Z144" s="10"/>
      <c r="AA144" s="10"/>
      <c r="AB144" s="10"/>
      <c r="AC144" s="5">
        <f t="shared" ref="AC144:AC152" si="188">SUM(V144:AB144)</f>
        <v>221185</v>
      </c>
    </row>
    <row r="145" spans="1:29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185"/>
        <v>0</v>
      </c>
      <c r="J145" s="11"/>
      <c r="L145" s="5">
        <v>0</v>
      </c>
      <c r="M145" s="10"/>
      <c r="N145" s="10"/>
      <c r="O145" s="10"/>
      <c r="P145" s="10"/>
      <c r="Q145" s="10"/>
      <c r="R145" s="10"/>
      <c r="S145" s="5">
        <f t="shared" si="186"/>
        <v>0</v>
      </c>
      <c r="T145" s="11"/>
      <c r="V145" s="5">
        <f t="shared" ref="V145:V153" si="189">B145+L145</f>
        <v>0</v>
      </c>
      <c r="W145" s="5">
        <f t="shared" si="187"/>
        <v>0</v>
      </c>
      <c r="X145" s="5">
        <f t="shared" si="187"/>
        <v>0</v>
      </c>
      <c r="Y145" s="5">
        <f t="shared" si="187"/>
        <v>0</v>
      </c>
      <c r="Z145" s="10"/>
      <c r="AA145" s="10"/>
      <c r="AB145" s="10"/>
      <c r="AC145" s="5">
        <f t="shared" si="188"/>
        <v>0</v>
      </c>
    </row>
    <row r="146" spans="1:29" x14ac:dyDescent="0.35">
      <c r="A146" s="26" t="s">
        <v>113</v>
      </c>
      <c r="B146" s="10">
        <v>0</v>
      </c>
      <c r="C146" s="10"/>
      <c r="D146" s="10"/>
      <c r="E146" s="10"/>
      <c r="F146" s="10"/>
      <c r="G146" s="10"/>
      <c r="H146" s="10"/>
      <c r="I146" s="5">
        <f t="shared" si="185"/>
        <v>0</v>
      </c>
      <c r="J146" s="11"/>
      <c r="L146" s="10">
        <v>0</v>
      </c>
      <c r="M146" s="10"/>
      <c r="N146" s="10"/>
      <c r="O146" s="10"/>
      <c r="P146" s="10"/>
      <c r="Q146" s="10"/>
      <c r="R146" s="10"/>
      <c r="S146" s="5">
        <f t="shared" si="186"/>
        <v>0</v>
      </c>
      <c r="T146" s="11"/>
      <c r="V146" s="5">
        <f t="shared" si="189"/>
        <v>0</v>
      </c>
      <c r="W146" s="5">
        <f t="shared" si="187"/>
        <v>0</v>
      </c>
      <c r="X146" s="5">
        <f t="shared" si="187"/>
        <v>0</v>
      </c>
      <c r="Y146" s="5">
        <f t="shared" si="187"/>
        <v>0</v>
      </c>
      <c r="Z146" s="10"/>
      <c r="AA146" s="10"/>
      <c r="AB146" s="10"/>
      <c r="AC146" s="5">
        <f t="shared" si="188"/>
        <v>0</v>
      </c>
    </row>
    <row r="147" spans="1:29" x14ac:dyDescent="0.35">
      <c r="A147" s="26" t="s">
        <v>114</v>
      </c>
      <c r="B147" s="5">
        <f>30*B17</f>
        <v>13950</v>
      </c>
      <c r="C147" s="10"/>
      <c r="D147" s="10">
        <v>3500</v>
      </c>
      <c r="E147" s="10"/>
      <c r="F147" s="10"/>
      <c r="G147" s="10"/>
      <c r="H147" s="10"/>
      <c r="I147" s="5">
        <f t="shared" si="185"/>
        <v>17450</v>
      </c>
      <c r="J147" s="11" t="s">
        <v>303</v>
      </c>
      <c r="L147" s="5">
        <f>30*L17</f>
        <v>23010</v>
      </c>
      <c r="M147" s="10"/>
      <c r="N147" s="10">
        <v>3500</v>
      </c>
      <c r="O147" s="10"/>
      <c r="P147" s="10"/>
      <c r="Q147" s="10"/>
      <c r="R147" s="10"/>
      <c r="S147" s="5">
        <f t="shared" si="186"/>
        <v>26510</v>
      </c>
      <c r="T147" s="11" t="s">
        <v>303</v>
      </c>
      <c r="V147" s="5">
        <f t="shared" si="189"/>
        <v>36960</v>
      </c>
      <c r="W147" s="5">
        <f t="shared" si="187"/>
        <v>0</v>
      </c>
      <c r="X147" s="5">
        <f t="shared" si="187"/>
        <v>7000</v>
      </c>
      <c r="Y147" s="5">
        <f t="shared" si="187"/>
        <v>0</v>
      </c>
      <c r="Z147" s="10"/>
      <c r="AA147" s="10"/>
      <c r="AB147" s="10"/>
      <c r="AC147" s="5">
        <f t="shared" si="188"/>
        <v>43960</v>
      </c>
    </row>
    <row r="148" spans="1:29" x14ac:dyDescent="0.35">
      <c r="A148" s="26" t="s">
        <v>115</v>
      </c>
      <c r="B148" s="5">
        <f>50*B17</f>
        <v>23250</v>
      </c>
      <c r="C148" s="10"/>
      <c r="D148" s="10"/>
      <c r="E148" s="10"/>
      <c r="F148" s="10"/>
      <c r="G148" s="10"/>
      <c r="H148" s="10"/>
      <c r="I148" s="5">
        <f t="shared" si="185"/>
        <v>23250</v>
      </c>
      <c r="J148" s="11" t="s">
        <v>465</v>
      </c>
      <c r="L148" s="5">
        <f>50*L17</f>
        <v>38350</v>
      </c>
      <c r="M148" s="10"/>
      <c r="N148" s="10"/>
      <c r="O148" s="10"/>
      <c r="P148" s="10"/>
      <c r="Q148" s="10"/>
      <c r="R148" s="10"/>
      <c r="S148" s="5">
        <f t="shared" si="186"/>
        <v>38350</v>
      </c>
      <c r="T148" s="11" t="s">
        <v>465</v>
      </c>
      <c r="V148" s="5">
        <f t="shared" si="189"/>
        <v>61600</v>
      </c>
      <c r="W148" s="5">
        <f t="shared" si="187"/>
        <v>0</v>
      </c>
      <c r="X148" s="5">
        <f t="shared" si="187"/>
        <v>0</v>
      </c>
      <c r="Y148" s="5">
        <f t="shared" si="187"/>
        <v>0</v>
      </c>
      <c r="Z148" s="10"/>
      <c r="AA148" s="10"/>
      <c r="AB148" s="10"/>
      <c r="AC148" s="5">
        <f t="shared" si="188"/>
        <v>61600</v>
      </c>
    </row>
    <row r="149" spans="1:29" x14ac:dyDescent="0.35">
      <c r="A149" s="26" t="s">
        <v>116</v>
      </c>
      <c r="B149" s="5">
        <f>25*B17</f>
        <v>11625</v>
      </c>
      <c r="C149" s="10"/>
      <c r="D149" s="10"/>
      <c r="E149" s="10"/>
      <c r="F149" s="10"/>
      <c r="G149" s="10"/>
      <c r="H149" s="10"/>
      <c r="I149" s="5">
        <f t="shared" si="185"/>
        <v>11625</v>
      </c>
      <c r="J149" s="11" t="s">
        <v>466</v>
      </c>
      <c r="L149" s="5">
        <f>25*L17</f>
        <v>19175</v>
      </c>
      <c r="M149" s="10"/>
      <c r="N149" s="10"/>
      <c r="O149" s="10"/>
      <c r="P149" s="10"/>
      <c r="Q149" s="10"/>
      <c r="R149" s="10"/>
      <c r="S149" s="5">
        <f t="shared" si="186"/>
        <v>19175</v>
      </c>
      <c r="T149" s="11" t="s">
        <v>466</v>
      </c>
      <c r="V149" s="5">
        <f t="shared" si="189"/>
        <v>30800</v>
      </c>
      <c r="W149" s="5">
        <f t="shared" si="187"/>
        <v>0</v>
      </c>
      <c r="X149" s="5">
        <f t="shared" si="187"/>
        <v>0</v>
      </c>
      <c r="Y149" s="5">
        <f t="shared" si="187"/>
        <v>0</v>
      </c>
      <c r="Z149" s="10"/>
      <c r="AA149" s="10"/>
      <c r="AB149" s="10"/>
      <c r="AC149" s="5">
        <f t="shared" si="188"/>
        <v>30800</v>
      </c>
    </row>
    <row r="150" spans="1:29" x14ac:dyDescent="0.35">
      <c r="A150" s="26" t="s">
        <v>117</v>
      </c>
      <c r="B150" s="5">
        <f>10*B17</f>
        <v>4650</v>
      </c>
      <c r="C150" s="10"/>
      <c r="D150" s="10"/>
      <c r="E150" s="10"/>
      <c r="F150" s="10"/>
      <c r="G150" s="10"/>
      <c r="H150" s="10"/>
      <c r="I150" s="5">
        <f t="shared" si="185"/>
        <v>4650</v>
      </c>
      <c r="J150" s="11" t="s">
        <v>467</v>
      </c>
      <c r="L150" s="5">
        <f>10*L17</f>
        <v>7670</v>
      </c>
      <c r="M150" s="10"/>
      <c r="N150" s="10"/>
      <c r="O150" s="10"/>
      <c r="P150" s="10"/>
      <c r="Q150" s="10"/>
      <c r="R150" s="10"/>
      <c r="S150" s="5">
        <f t="shared" si="186"/>
        <v>7670</v>
      </c>
      <c r="T150" s="11" t="s">
        <v>467</v>
      </c>
      <c r="V150" s="5">
        <f t="shared" si="189"/>
        <v>12320</v>
      </c>
      <c r="W150" s="5">
        <f t="shared" si="187"/>
        <v>0</v>
      </c>
      <c r="X150" s="5">
        <f t="shared" si="187"/>
        <v>0</v>
      </c>
      <c r="Y150" s="5">
        <f t="shared" si="187"/>
        <v>0</v>
      </c>
      <c r="Z150" s="10"/>
      <c r="AA150" s="10"/>
      <c r="AB150" s="10"/>
      <c r="AC150" s="5">
        <f t="shared" si="188"/>
        <v>12320</v>
      </c>
    </row>
    <row r="151" spans="1:29" x14ac:dyDescent="0.35">
      <c r="A151" s="26" t="s">
        <v>118</v>
      </c>
      <c r="B151" s="5">
        <f>129*B20</f>
        <v>0</v>
      </c>
      <c r="C151" s="10">
        <f>150*(C20)</f>
        <v>11400</v>
      </c>
      <c r="D151" s="10"/>
      <c r="E151" s="10"/>
      <c r="F151" s="10"/>
      <c r="G151" s="10"/>
      <c r="H151" s="10"/>
      <c r="I151" s="5">
        <f t="shared" si="185"/>
        <v>11400</v>
      </c>
      <c r="J151" s="11" t="s">
        <v>304</v>
      </c>
      <c r="L151" s="5">
        <f>129*L20</f>
        <v>0</v>
      </c>
      <c r="M151" s="10">
        <f>150*(M20)</f>
        <v>13500</v>
      </c>
      <c r="N151" s="10"/>
      <c r="O151" s="10"/>
      <c r="P151" s="10"/>
      <c r="Q151" s="10"/>
      <c r="R151" s="10"/>
      <c r="S151" s="5">
        <f t="shared" si="186"/>
        <v>13500</v>
      </c>
      <c r="T151" s="11" t="s">
        <v>304</v>
      </c>
      <c r="V151" s="5">
        <f t="shared" si="189"/>
        <v>0</v>
      </c>
      <c r="W151" s="5">
        <f t="shared" si="187"/>
        <v>24900</v>
      </c>
      <c r="X151" s="5">
        <f t="shared" si="187"/>
        <v>0</v>
      </c>
      <c r="Y151" s="5">
        <f t="shared" si="187"/>
        <v>0</v>
      </c>
      <c r="Z151" s="10"/>
      <c r="AA151" s="10"/>
      <c r="AB151" s="10"/>
      <c r="AC151" s="5">
        <f t="shared" si="188"/>
        <v>24900</v>
      </c>
    </row>
    <row r="152" spans="1:29" x14ac:dyDescent="0.35">
      <c r="A152" s="26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185"/>
        <v>0</v>
      </c>
      <c r="J152" s="11"/>
      <c r="L152" s="5">
        <v>0</v>
      </c>
      <c r="M152" s="5"/>
      <c r="N152" s="5"/>
      <c r="O152" s="5"/>
      <c r="P152" s="5"/>
      <c r="Q152" s="5"/>
      <c r="R152" s="5"/>
      <c r="S152" s="5">
        <f t="shared" si="186"/>
        <v>0</v>
      </c>
      <c r="T152" s="11"/>
      <c r="V152" s="5">
        <f t="shared" si="189"/>
        <v>0</v>
      </c>
      <c r="W152" s="5">
        <f t="shared" si="187"/>
        <v>0</v>
      </c>
      <c r="X152" s="5">
        <f t="shared" si="187"/>
        <v>0</v>
      </c>
      <c r="Y152" s="5">
        <f t="shared" si="187"/>
        <v>0</v>
      </c>
      <c r="Z152" s="5"/>
      <c r="AA152" s="5"/>
      <c r="AB152" s="5"/>
      <c r="AC152" s="5">
        <f t="shared" si="188"/>
        <v>0</v>
      </c>
    </row>
    <row r="153" spans="1:29" x14ac:dyDescent="0.35">
      <c r="A153" s="69" t="s">
        <v>161</v>
      </c>
      <c r="B153" s="73">
        <f>45*B17</f>
        <v>20925</v>
      </c>
      <c r="C153" s="5"/>
      <c r="D153" s="5"/>
      <c r="E153" s="5"/>
      <c r="F153" s="5"/>
      <c r="G153" s="5"/>
      <c r="H153" s="5"/>
      <c r="I153" s="5">
        <f>SUM(B153:H153)</f>
        <v>20925</v>
      </c>
      <c r="J153" s="11" t="s">
        <v>468</v>
      </c>
      <c r="L153" s="73">
        <f>45*L17</f>
        <v>34515</v>
      </c>
      <c r="M153" s="5"/>
      <c r="N153" s="5"/>
      <c r="O153" s="5"/>
      <c r="P153" s="5"/>
      <c r="Q153" s="5"/>
      <c r="R153" s="5"/>
      <c r="S153" s="5">
        <f>SUM(L153:R153)</f>
        <v>34515</v>
      </c>
      <c r="T153" s="11" t="s">
        <v>468</v>
      </c>
      <c r="V153" s="5">
        <f t="shared" si="189"/>
        <v>55440</v>
      </c>
      <c r="W153" s="5">
        <f t="shared" si="187"/>
        <v>0</v>
      </c>
      <c r="X153" s="5">
        <f t="shared" si="187"/>
        <v>0</v>
      </c>
      <c r="Y153" s="5">
        <f t="shared" si="187"/>
        <v>0</v>
      </c>
      <c r="Z153" s="5"/>
      <c r="AA153" s="5"/>
      <c r="AB153" s="5"/>
      <c r="AC153" s="5">
        <f>SUM(V153:AB153)</f>
        <v>55440</v>
      </c>
    </row>
    <row r="154" spans="1:29" x14ac:dyDescent="0.35">
      <c r="A154" s="62" t="s">
        <v>257</v>
      </c>
      <c r="B154" s="63">
        <f>SUM(B144:B153)</f>
        <v>176700</v>
      </c>
      <c r="C154" s="63">
        <f t="shared" ref="C154:I154" si="190">SUM(C144:C153)</f>
        <v>11400</v>
      </c>
      <c r="D154" s="63">
        <f t="shared" si="190"/>
        <v>3500</v>
      </c>
      <c r="E154" s="63">
        <f t="shared" si="190"/>
        <v>0</v>
      </c>
      <c r="F154" s="63">
        <f t="shared" si="190"/>
        <v>0</v>
      </c>
      <c r="G154" s="63">
        <f t="shared" si="190"/>
        <v>0</v>
      </c>
      <c r="H154" s="63">
        <f t="shared" si="190"/>
        <v>0</v>
      </c>
      <c r="I154" s="63">
        <f t="shared" si="190"/>
        <v>191600</v>
      </c>
      <c r="J154" s="7"/>
      <c r="L154" s="63">
        <f>SUM(L144:L153)</f>
        <v>241605</v>
      </c>
      <c r="M154" s="63">
        <f t="shared" ref="M154:S154" si="191">SUM(M144:M153)</f>
        <v>13500</v>
      </c>
      <c r="N154" s="63">
        <f t="shared" si="191"/>
        <v>3500</v>
      </c>
      <c r="O154" s="63">
        <f t="shared" si="191"/>
        <v>0</v>
      </c>
      <c r="P154" s="63">
        <f t="shared" si="191"/>
        <v>0</v>
      </c>
      <c r="Q154" s="63">
        <f t="shared" si="191"/>
        <v>0</v>
      </c>
      <c r="R154" s="63">
        <f t="shared" si="191"/>
        <v>0</v>
      </c>
      <c r="S154" s="63">
        <f t="shared" si="191"/>
        <v>258605</v>
      </c>
      <c r="T154" s="7"/>
      <c r="V154" s="63">
        <f>SUM(V144:V153)</f>
        <v>418305</v>
      </c>
      <c r="W154" s="63">
        <f t="shared" ref="W154:AC154" si="192">SUM(W144:W153)</f>
        <v>24900</v>
      </c>
      <c r="X154" s="63">
        <f t="shared" si="192"/>
        <v>7000</v>
      </c>
      <c r="Y154" s="63">
        <f t="shared" si="192"/>
        <v>0</v>
      </c>
      <c r="Z154" s="63">
        <f t="shared" si="192"/>
        <v>0</v>
      </c>
      <c r="AA154" s="63">
        <f t="shared" si="192"/>
        <v>0</v>
      </c>
      <c r="AB154" s="63">
        <f t="shared" si="192"/>
        <v>0</v>
      </c>
      <c r="AC154" s="63">
        <f t="shared" si="192"/>
        <v>450205</v>
      </c>
    </row>
    <row r="155" spans="1:29" x14ac:dyDescent="0.35">
      <c r="A155" s="66" t="s">
        <v>120</v>
      </c>
      <c r="B155" s="15" t="str">
        <f t="shared" ref="B155:I155" si="193">B1</f>
        <v>Operating</v>
      </c>
      <c r="C155" s="15" t="str">
        <f t="shared" si="193"/>
        <v>SPED</v>
      </c>
      <c r="D155" s="15" t="str">
        <f t="shared" si="193"/>
        <v>NSLP</v>
      </c>
      <c r="E155" s="15" t="str">
        <f t="shared" si="193"/>
        <v>Other</v>
      </c>
      <c r="F155" s="15" t="str">
        <f t="shared" si="193"/>
        <v>Title I</v>
      </c>
      <c r="G155" s="15" t="str">
        <f t="shared" si="193"/>
        <v>Title II</v>
      </c>
      <c r="H155" s="15" t="str">
        <f t="shared" si="193"/>
        <v>Title III</v>
      </c>
      <c r="I155" s="15" t="str">
        <f t="shared" si="193"/>
        <v>B&amp;G</v>
      </c>
      <c r="J155" s="7"/>
      <c r="L155" s="15" t="str">
        <f t="shared" ref="L155:S155" si="194">L1</f>
        <v>Operating</v>
      </c>
      <c r="M155" s="15" t="str">
        <f t="shared" si="194"/>
        <v>SPED</v>
      </c>
      <c r="N155" s="15" t="str">
        <f t="shared" si="194"/>
        <v>NSLP</v>
      </c>
      <c r="O155" s="15" t="str">
        <f t="shared" si="194"/>
        <v>Other</v>
      </c>
      <c r="P155" s="15" t="str">
        <f t="shared" si="194"/>
        <v>Title I</v>
      </c>
      <c r="Q155" s="15" t="str">
        <f t="shared" si="194"/>
        <v>Title II</v>
      </c>
      <c r="R155" s="15" t="str">
        <f t="shared" si="194"/>
        <v>Title III</v>
      </c>
      <c r="S155" s="15" t="str">
        <f t="shared" si="194"/>
        <v>New</v>
      </c>
      <c r="T155" s="7"/>
      <c r="V155" s="15" t="str">
        <f t="shared" ref="V155:AC155" si="195">V1</f>
        <v>Operating</v>
      </c>
      <c r="W155" s="15" t="str">
        <f t="shared" si="195"/>
        <v>SPED</v>
      </c>
      <c r="X155" s="15" t="str">
        <f t="shared" si="195"/>
        <v>NSLP</v>
      </c>
      <c r="Y155" s="15" t="str">
        <f t="shared" si="195"/>
        <v>Other</v>
      </c>
      <c r="Z155" s="15" t="str">
        <f t="shared" si="195"/>
        <v>Title I</v>
      </c>
      <c r="AA155" s="15" t="str">
        <f t="shared" si="195"/>
        <v>Title II</v>
      </c>
      <c r="AB155" s="15" t="str">
        <f t="shared" si="195"/>
        <v>Title III</v>
      </c>
      <c r="AC155" s="15" t="str">
        <f t="shared" si="195"/>
        <v>MANN</v>
      </c>
    </row>
    <row r="156" spans="1:29" x14ac:dyDescent="0.35">
      <c r="A156" s="26" t="s">
        <v>457</v>
      </c>
      <c r="B156" s="10">
        <f>(12600+3000)*1.03*1.01</f>
        <v>16228.68</v>
      </c>
      <c r="C156" s="10"/>
      <c r="D156" s="10"/>
      <c r="E156" s="10"/>
      <c r="F156" s="10"/>
      <c r="G156" s="10"/>
      <c r="H156" s="10"/>
      <c r="I156" s="5">
        <f t="shared" ref="I156:I169" si="196">SUM(B156:H156)</f>
        <v>16228.68</v>
      </c>
      <c r="J156" s="11"/>
      <c r="L156" s="10">
        <f>(12600+3000)*1.03</f>
        <v>16068</v>
      </c>
      <c r="M156" s="10"/>
      <c r="N156" s="10"/>
      <c r="O156" s="10"/>
      <c r="P156" s="10"/>
      <c r="Q156" s="10"/>
      <c r="R156" s="10"/>
      <c r="S156" s="5">
        <f t="shared" ref="S156:S169" si="197">SUM(L156:R156)</f>
        <v>16068</v>
      </c>
      <c r="T156" s="11"/>
      <c r="V156" s="10">
        <f>B156+L156</f>
        <v>32296.68</v>
      </c>
      <c r="W156" s="10">
        <f t="shared" ref="W156:Y169" si="198">C156+M156</f>
        <v>0</v>
      </c>
      <c r="X156" s="10">
        <f t="shared" si="198"/>
        <v>0</v>
      </c>
      <c r="Y156" s="10">
        <f t="shared" si="198"/>
        <v>0</v>
      </c>
      <c r="Z156" s="10"/>
      <c r="AA156" s="10"/>
      <c r="AB156" s="10"/>
      <c r="AC156" s="5">
        <f t="shared" ref="AC156:AC169" si="199">SUM(V156:AB156)</f>
        <v>32296.68</v>
      </c>
    </row>
    <row r="157" spans="1:29" x14ac:dyDescent="0.35">
      <c r="A157" s="26" t="s">
        <v>121</v>
      </c>
      <c r="B157" s="10">
        <v>0</v>
      </c>
      <c r="C157" s="5">
        <f>115*B17</f>
        <v>53475</v>
      </c>
      <c r="D157" s="5"/>
      <c r="E157" s="5"/>
      <c r="F157" s="5"/>
      <c r="G157" s="5"/>
      <c r="H157" s="5"/>
      <c r="I157" s="5">
        <f t="shared" si="196"/>
        <v>53475</v>
      </c>
      <c r="J157" s="11" t="s">
        <v>485</v>
      </c>
      <c r="L157" s="10">
        <v>0</v>
      </c>
      <c r="M157" s="5">
        <f>265*L17</f>
        <v>203255</v>
      </c>
      <c r="N157" s="5"/>
      <c r="O157" s="5"/>
      <c r="P157" s="5"/>
      <c r="Q157" s="5"/>
      <c r="R157" s="5"/>
      <c r="S157" s="5">
        <f t="shared" si="197"/>
        <v>203255</v>
      </c>
      <c r="T157" s="11" t="s">
        <v>514</v>
      </c>
      <c r="V157" s="10">
        <f t="shared" ref="V157:V169" si="200">B157+L157</f>
        <v>0</v>
      </c>
      <c r="W157" s="10">
        <f t="shared" si="198"/>
        <v>256730</v>
      </c>
      <c r="X157" s="10">
        <f t="shared" si="198"/>
        <v>0</v>
      </c>
      <c r="Y157" s="10">
        <f t="shared" si="198"/>
        <v>0</v>
      </c>
      <c r="Z157" s="5"/>
      <c r="AA157" s="5"/>
      <c r="AB157" s="5"/>
      <c r="AC157" s="5">
        <f t="shared" si="199"/>
        <v>256730</v>
      </c>
    </row>
    <row r="158" spans="1:29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196"/>
        <v>0</v>
      </c>
      <c r="J158" s="11"/>
      <c r="L158" s="10">
        <v>0</v>
      </c>
      <c r="M158" s="5"/>
      <c r="N158" s="5"/>
      <c r="O158" s="5"/>
      <c r="P158" s="5"/>
      <c r="Q158" s="5"/>
      <c r="R158" s="5"/>
      <c r="S158" s="5">
        <f t="shared" si="197"/>
        <v>0</v>
      </c>
      <c r="T158" s="11"/>
      <c r="V158" s="10">
        <f t="shared" si="200"/>
        <v>0</v>
      </c>
      <c r="W158" s="10">
        <f t="shared" si="198"/>
        <v>0</v>
      </c>
      <c r="X158" s="10">
        <f t="shared" si="198"/>
        <v>0</v>
      </c>
      <c r="Y158" s="10">
        <f t="shared" si="198"/>
        <v>0</v>
      </c>
      <c r="Z158" s="5"/>
      <c r="AA158" s="5"/>
      <c r="AB158" s="5"/>
      <c r="AC158" s="5">
        <f t="shared" si="199"/>
        <v>0</v>
      </c>
    </row>
    <row r="159" spans="1:29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196"/>
        <v>0</v>
      </c>
      <c r="J159" s="11"/>
      <c r="L159" s="10">
        <v>0</v>
      </c>
      <c r="M159" s="5"/>
      <c r="N159" s="5"/>
      <c r="O159" s="5"/>
      <c r="P159" s="5"/>
      <c r="Q159" s="5"/>
      <c r="R159" s="5"/>
      <c r="S159" s="5">
        <f t="shared" si="197"/>
        <v>0</v>
      </c>
      <c r="T159" s="11"/>
      <c r="V159" s="10">
        <f t="shared" si="200"/>
        <v>0</v>
      </c>
      <c r="W159" s="10">
        <f t="shared" si="198"/>
        <v>0</v>
      </c>
      <c r="X159" s="10">
        <f t="shared" si="198"/>
        <v>0</v>
      </c>
      <c r="Y159" s="10">
        <f t="shared" si="198"/>
        <v>0</v>
      </c>
      <c r="Z159" s="5"/>
      <c r="AA159" s="5"/>
      <c r="AB159" s="5"/>
      <c r="AC159" s="5">
        <f t="shared" si="199"/>
        <v>0</v>
      </c>
    </row>
    <row r="160" spans="1:29" x14ac:dyDescent="0.35">
      <c r="A160" s="26" t="s">
        <v>122</v>
      </c>
      <c r="B160" s="10">
        <f>495*B17</f>
        <v>230175</v>
      </c>
      <c r="C160" s="5"/>
      <c r="D160" s="5"/>
      <c r="E160" s="5"/>
      <c r="F160" s="5"/>
      <c r="G160" s="5"/>
      <c r="H160" s="5"/>
      <c r="I160" s="5">
        <f t="shared" si="196"/>
        <v>230175</v>
      </c>
      <c r="J160" s="11" t="s">
        <v>460</v>
      </c>
      <c r="L160" s="10">
        <f>495*L17</f>
        <v>379665</v>
      </c>
      <c r="M160" s="5"/>
      <c r="N160" s="5"/>
      <c r="O160" s="5"/>
      <c r="P160" s="5"/>
      <c r="Q160" s="5"/>
      <c r="R160" s="5"/>
      <c r="S160" s="5">
        <f t="shared" si="197"/>
        <v>379665</v>
      </c>
      <c r="T160" s="11" t="s">
        <v>460</v>
      </c>
      <c r="V160" s="10">
        <f t="shared" si="200"/>
        <v>609840</v>
      </c>
      <c r="W160" s="10">
        <f t="shared" si="198"/>
        <v>0</v>
      </c>
      <c r="X160" s="10">
        <f t="shared" si="198"/>
        <v>0</v>
      </c>
      <c r="Y160" s="10">
        <f t="shared" si="198"/>
        <v>0</v>
      </c>
      <c r="Z160" s="5"/>
      <c r="AA160" s="5"/>
      <c r="AB160" s="5"/>
      <c r="AC160" s="5">
        <f t="shared" si="199"/>
        <v>609840</v>
      </c>
    </row>
    <row r="161" spans="1:29" x14ac:dyDescent="0.35">
      <c r="A161" s="26" t="s">
        <v>123</v>
      </c>
      <c r="B161" s="10">
        <f>(250*B65)+7000</f>
        <v>15250</v>
      </c>
      <c r="C161" s="10">
        <f>(245*C65)+1000</f>
        <v>2715</v>
      </c>
      <c r="D161" s="10">
        <f>(245*D65)+200</f>
        <v>690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196"/>
        <v>18655</v>
      </c>
      <c r="J161" s="11" t="s">
        <v>461</v>
      </c>
      <c r="L161" s="10">
        <f>(250*L65)+7000</f>
        <v>17375</v>
      </c>
      <c r="M161" s="10">
        <f>(245*M65)+1000</f>
        <v>2225</v>
      </c>
      <c r="N161" s="10">
        <f>(245*N65)+200</f>
        <v>935</v>
      </c>
      <c r="O161" s="10"/>
      <c r="P161" s="10">
        <f>(240*P65)</f>
        <v>0</v>
      </c>
      <c r="Q161" s="10">
        <f>(240*Q65)</f>
        <v>0</v>
      </c>
      <c r="R161" s="10">
        <f>(240*R65)</f>
        <v>0</v>
      </c>
      <c r="S161" s="5">
        <f t="shared" si="197"/>
        <v>20535</v>
      </c>
      <c r="T161" s="11" t="s">
        <v>461</v>
      </c>
      <c r="V161" s="10">
        <f t="shared" si="200"/>
        <v>32625</v>
      </c>
      <c r="W161" s="10">
        <f t="shared" si="198"/>
        <v>4940</v>
      </c>
      <c r="X161" s="10">
        <f t="shared" si="198"/>
        <v>1625</v>
      </c>
      <c r="Y161" s="10">
        <f t="shared" si="198"/>
        <v>0</v>
      </c>
      <c r="Z161" s="10">
        <f>(240*Z65)</f>
        <v>0</v>
      </c>
      <c r="AA161" s="10">
        <f>(240*AA65)</f>
        <v>0</v>
      </c>
      <c r="AB161" s="10">
        <f>(240*AB65)</f>
        <v>0</v>
      </c>
      <c r="AC161" s="5">
        <f t="shared" si="199"/>
        <v>39190</v>
      </c>
    </row>
    <row r="162" spans="1:29" x14ac:dyDescent="0.35">
      <c r="A162" s="26" t="s">
        <v>124</v>
      </c>
      <c r="B162" s="10">
        <v>67500</v>
      </c>
      <c r="C162" s="5"/>
      <c r="D162" s="5"/>
      <c r="E162" s="5"/>
      <c r="F162" s="5"/>
      <c r="G162" s="5"/>
      <c r="H162" s="5"/>
      <c r="I162" s="5">
        <f t="shared" si="196"/>
        <v>67500</v>
      </c>
      <c r="J162" s="11"/>
      <c r="L162" s="10">
        <v>0</v>
      </c>
      <c r="M162" s="5"/>
      <c r="N162" s="5"/>
      <c r="O162" s="5"/>
      <c r="P162" s="5"/>
      <c r="Q162" s="5"/>
      <c r="R162" s="5"/>
      <c r="S162" s="5">
        <f t="shared" si="197"/>
        <v>0</v>
      </c>
      <c r="T162" s="11"/>
      <c r="V162" s="10">
        <f t="shared" si="200"/>
        <v>67500</v>
      </c>
      <c r="W162" s="10">
        <f t="shared" si="198"/>
        <v>0</v>
      </c>
      <c r="X162" s="10">
        <f t="shared" si="198"/>
        <v>0</v>
      </c>
      <c r="Y162" s="10">
        <f t="shared" si="198"/>
        <v>0</v>
      </c>
      <c r="Z162" s="5"/>
      <c r="AA162" s="5"/>
      <c r="AB162" s="5"/>
      <c r="AC162" s="5">
        <f t="shared" si="199"/>
        <v>67500</v>
      </c>
    </row>
    <row r="163" spans="1:29" x14ac:dyDescent="0.35">
      <c r="A163" s="26" t="s">
        <v>125</v>
      </c>
      <c r="B163" s="10">
        <v>6500</v>
      </c>
      <c r="C163" s="5"/>
      <c r="D163" s="5"/>
      <c r="E163" s="5"/>
      <c r="F163" s="5"/>
      <c r="G163" s="5"/>
      <c r="H163" s="5"/>
      <c r="I163" s="5">
        <f t="shared" si="196"/>
        <v>6500</v>
      </c>
      <c r="J163" s="11"/>
      <c r="L163" s="10">
        <v>6500</v>
      </c>
      <c r="M163" s="5"/>
      <c r="N163" s="5"/>
      <c r="O163" s="5"/>
      <c r="P163" s="5"/>
      <c r="Q163" s="5"/>
      <c r="R163" s="5"/>
      <c r="S163" s="5">
        <f t="shared" si="197"/>
        <v>6500</v>
      </c>
      <c r="T163" s="11"/>
      <c r="V163" s="10">
        <f t="shared" si="200"/>
        <v>13000</v>
      </c>
      <c r="W163" s="10">
        <f t="shared" si="198"/>
        <v>0</v>
      </c>
      <c r="X163" s="10">
        <f t="shared" si="198"/>
        <v>0</v>
      </c>
      <c r="Y163" s="10">
        <f t="shared" si="198"/>
        <v>0</v>
      </c>
      <c r="Z163" s="5"/>
      <c r="AA163" s="5"/>
      <c r="AB163" s="5"/>
      <c r="AC163" s="5">
        <f t="shared" si="199"/>
        <v>13000</v>
      </c>
    </row>
    <row r="164" spans="1:29" x14ac:dyDescent="0.35">
      <c r="A164" s="26" t="s">
        <v>126</v>
      </c>
      <c r="B164" s="10">
        <f>50*B17+(60*12)</f>
        <v>23970</v>
      </c>
      <c r="C164" s="5"/>
      <c r="D164" s="5"/>
      <c r="E164" s="5"/>
      <c r="F164" s="5"/>
      <c r="G164" s="5"/>
      <c r="H164" s="5"/>
      <c r="I164" s="5">
        <f t="shared" si="196"/>
        <v>23970</v>
      </c>
      <c r="J164" s="11" t="s">
        <v>462</v>
      </c>
      <c r="L164" s="10">
        <f>50*L17+(60*12)</f>
        <v>39070</v>
      </c>
      <c r="M164" s="5"/>
      <c r="N164" s="5"/>
      <c r="O164" s="5"/>
      <c r="P164" s="5"/>
      <c r="Q164" s="5"/>
      <c r="R164" s="5"/>
      <c r="S164" s="5">
        <f t="shared" si="197"/>
        <v>39070</v>
      </c>
      <c r="T164" s="11" t="s">
        <v>462</v>
      </c>
      <c r="V164" s="10">
        <f t="shared" si="200"/>
        <v>63040</v>
      </c>
      <c r="W164" s="10">
        <f t="shared" si="198"/>
        <v>0</v>
      </c>
      <c r="X164" s="10">
        <f t="shared" si="198"/>
        <v>0</v>
      </c>
      <c r="Y164" s="10">
        <f t="shared" si="198"/>
        <v>0</v>
      </c>
      <c r="Z164" s="5"/>
      <c r="AA164" s="5"/>
      <c r="AB164" s="5"/>
      <c r="AC164" s="5">
        <f t="shared" si="199"/>
        <v>63040</v>
      </c>
    </row>
    <row r="165" spans="1:29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196"/>
        <v>18000</v>
      </c>
      <c r="J165" s="11"/>
      <c r="L165" s="10">
        <v>18000</v>
      </c>
      <c r="M165" s="5"/>
      <c r="N165" s="5"/>
      <c r="O165" s="5"/>
      <c r="P165" s="5"/>
      <c r="Q165" s="5"/>
      <c r="R165" s="5"/>
      <c r="S165" s="5">
        <f t="shared" si="197"/>
        <v>18000</v>
      </c>
      <c r="T165" s="11"/>
      <c r="V165" s="10">
        <f t="shared" si="200"/>
        <v>36000</v>
      </c>
      <c r="W165" s="10">
        <f t="shared" si="198"/>
        <v>0</v>
      </c>
      <c r="X165" s="10">
        <f t="shared" si="198"/>
        <v>0</v>
      </c>
      <c r="Y165" s="10">
        <f t="shared" si="198"/>
        <v>0</v>
      </c>
      <c r="Z165" s="5"/>
      <c r="AA165" s="5"/>
      <c r="AB165" s="5"/>
      <c r="AC165" s="5">
        <f t="shared" si="199"/>
        <v>36000</v>
      </c>
    </row>
    <row r="166" spans="1:29" x14ac:dyDescent="0.35">
      <c r="A166" s="26" t="s">
        <v>128</v>
      </c>
      <c r="B166" s="10">
        <f>B74*0.0125</f>
        <v>55538.4375</v>
      </c>
      <c r="C166" s="5"/>
      <c r="D166" s="5"/>
      <c r="E166" s="5"/>
      <c r="F166" s="5"/>
      <c r="G166" s="5"/>
      <c r="H166" s="5"/>
      <c r="I166" s="5">
        <f t="shared" si="196"/>
        <v>55538.4375</v>
      </c>
      <c r="J166" s="70">
        <v>1.2500000000000001E-2</v>
      </c>
      <c r="L166" s="10">
        <f>L74*0.0125</f>
        <v>91608.5625</v>
      </c>
      <c r="M166" s="5"/>
      <c r="N166" s="5"/>
      <c r="O166" s="5"/>
      <c r="P166" s="5"/>
      <c r="Q166" s="5"/>
      <c r="R166" s="5"/>
      <c r="S166" s="5">
        <f t="shared" si="197"/>
        <v>91608.5625</v>
      </c>
      <c r="T166" s="70">
        <v>1.2500000000000001E-2</v>
      </c>
      <c r="V166" s="10">
        <f t="shared" si="200"/>
        <v>147147</v>
      </c>
      <c r="W166" s="10">
        <f t="shared" si="198"/>
        <v>0</v>
      </c>
      <c r="X166" s="10">
        <f t="shared" si="198"/>
        <v>0</v>
      </c>
      <c r="Y166" s="10">
        <f t="shared" si="198"/>
        <v>0</v>
      </c>
      <c r="Z166" s="5"/>
      <c r="AA166" s="5"/>
      <c r="AB166" s="5"/>
      <c r="AC166" s="5">
        <f t="shared" si="199"/>
        <v>147147</v>
      </c>
    </row>
    <row r="167" spans="1:29" x14ac:dyDescent="0.35">
      <c r="A167" s="26" t="s">
        <v>129</v>
      </c>
      <c r="B167" s="10">
        <f>B74*0.005</f>
        <v>22215.375</v>
      </c>
      <c r="C167" s="5"/>
      <c r="D167" s="5"/>
      <c r="E167" s="5"/>
      <c r="F167" s="5"/>
      <c r="G167" s="5"/>
      <c r="H167" s="5"/>
      <c r="I167" s="5">
        <f t="shared" si="196"/>
        <v>22215.375</v>
      </c>
      <c r="J167" s="70" t="s">
        <v>130</v>
      </c>
      <c r="L167" s="10">
        <f>L74*0.005</f>
        <v>36643.425000000003</v>
      </c>
      <c r="M167" s="5"/>
      <c r="N167" s="5"/>
      <c r="O167" s="5"/>
      <c r="P167" s="5"/>
      <c r="Q167" s="5"/>
      <c r="R167" s="5"/>
      <c r="S167" s="5">
        <f t="shared" si="197"/>
        <v>36643.425000000003</v>
      </c>
      <c r="T167" s="70" t="s">
        <v>130</v>
      </c>
      <c r="V167" s="10">
        <f t="shared" si="200"/>
        <v>58858.8</v>
      </c>
      <c r="W167" s="10">
        <f t="shared" si="198"/>
        <v>0</v>
      </c>
      <c r="X167" s="10">
        <f t="shared" si="198"/>
        <v>0</v>
      </c>
      <c r="Y167" s="10">
        <f t="shared" si="198"/>
        <v>0</v>
      </c>
      <c r="Z167" s="5"/>
      <c r="AA167" s="5"/>
      <c r="AB167" s="5"/>
      <c r="AC167" s="5">
        <f t="shared" si="199"/>
        <v>58858.8</v>
      </c>
    </row>
    <row r="168" spans="1:29" x14ac:dyDescent="0.35">
      <c r="A168" s="26" t="s">
        <v>131</v>
      </c>
      <c r="B168" s="10">
        <f>B74*0.005</f>
        <v>22215.375</v>
      </c>
      <c r="C168" s="5"/>
      <c r="D168" s="5"/>
      <c r="E168" s="5"/>
      <c r="F168" s="5"/>
      <c r="G168" s="5"/>
      <c r="H168" s="5"/>
      <c r="I168" s="5">
        <f t="shared" si="196"/>
        <v>22215.375</v>
      </c>
      <c r="J168" s="70" t="s">
        <v>130</v>
      </c>
      <c r="L168" s="10">
        <f>L74*0.005</f>
        <v>36643.425000000003</v>
      </c>
      <c r="M168" s="5"/>
      <c r="N168" s="5"/>
      <c r="O168" s="5"/>
      <c r="P168" s="5"/>
      <c r="Q168" s="5"/>
      <c r="R168" s="5"/>
      <c r="S168" s="5">
        <f t="shared" si="197"/>
        <v>36643.425000000003</v>
      </c>
      <c r="T168" s="70" t="s">
        <v>130</v>
      </c>
      <c r="V168" s="10">
        <f t="shared" si="200"/>
        <v>58858.8</v>
      </c>
      <c r="W168" s="10">
        <f t="shared" si="198"/>
        <v>0</v>
      </c>
      <c r="X168" s="10">
        <f t="shared" si="198"/>
        <v>0</v>
      </c>
      <c r="Y168" s="10">
        <f t="shared" si="198"/>
        <v>0</v>
      </c>
      <c r="Z168" s="5"/>
      <c r="AA168" s="5"/>
      <c r="AB168" s="5"/>
      <c r="AC168" s="5">
        <f t="shared" si="199"/>
        <v>58858.8</v>
      </c>
    </row>
    <row r="169" spans="1:29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196"/>
        <v>0</v>
      </c>
      <c r="J169" s="70"/>
      <c r="L169" s="10">
        <v>0</v>
      </c>
      <c r="M169" s="5"/>
      <c r="N169" s="5"/>
      <c r="O169" s="5"/>
      <c r="P169" s="5"/>
      <c r="Q169" s="5"/>
      <c r="R169" s="5"/>
      <c r="S169" s="5">
        <f t="shared" si="197"/>
        <v>0</v>
      </c>
      <c r="T169" s="70"/>
      <c r="V169" s="10">
        <f t="shared" si="200"/>
        <v>0</v>
      </c>
      <c r="W169" s="10">
        <f t="shared" si="198"/>
        <v>0</v>
      </c>
      <c r="X169" s="10">
        <f t="shared" si="198"/>
        <v>0</v>
      </c>
      <c r="Y169" s="10">
        <f t="shared" si="198"/>
        <v>0</v>
      </c>
      <c r="Z169" s="5"/>
      <c r="AA169" s="5"/>
      <c r="AB169" s="5"/>
      <c r="AC169" s="5">
        <f t="shared" si="199"/>
        <v>0</v>
      </c>
    </row>
    <row r="170" spans="1:29" x14ac:dyDescent="0.35">
      <c r="A170" s="62" t="s">
        <v>133</v>
      </c>
      <c r="B170" s="63">
        <f>SUM(B156:B169)</f>
        <v>477592.86749999999</v>
      </c>
      <c r="C170" s="63">
        <f t="shared" ref="C170:H170" si="201">SUM(C156:C169)</f>
        <v>56190</v>
      </c>
      <c r="D170" s="63">
        <f t="shared" si="201"/>
        <v>690</v>
      </c>
      <c r="E170" s="63">
        <f t="shared" si="201"/>
        <v>0</v>
      </c>
      <c r="F170" s="63">
        <f t="shared" si="201"/>
        <v>0</v>
      </c>
      <c r="G170" s="63">
        <f t="shared" si="201"/>
        <v>0</v>
      </c>
      <c r="H170" s="63">
        <f t="shared" si="201"/>
        <v>0</v>
      </c>
      <c r="I170" s="63">
        <f>SUM(I156:I169)</f>
        <v>534472.86749999993</v>
      </c>
      <c r="J170" s="7"/>
      <c r="L170" s="63">
        <f>SUM(L156:L169)</f>
        <v>641573.41250000009</v>
      </c>
      <c r="M170" s="63">
        <f t="shared" ref="M170:R170" si="202">SUM(M156:M169)</f>
        <v>205480</v>
      </c>
      <c r="N170" s="63">
        <f t="shared" si="202"/>
        <v>935</v>
      </c>
      <c r="O170" s="63">
        <f t="shared" si="202"/>
        <v>0</v>
      </c>
      <c r="P170" s="63">
        <f t="shared" si="202"/>
        <v>0</v>
      </c>
      <c r="Q170" s="63">
        <f t="shared" si="202"/>
        <v>0</v>
      </c>
      <c r="R170" s="63">
        <f t="shared" si="202"/>
        <v>0</v>
      </c>
      <c r="S170" s="63">
        <f>SUM(S156:S169)</f>
        <v>847988.41250000009</v>
      </c>
      <c r="T170" s="7"/>
      <c r="V170" s="63">
        <f>SUM(V156:V169)</f>
        <v>1119166.28</v>
      </c>
      <c r="W170" s="63">
        <f t="shared" ref="W170:AB170" si="203">SUM(W156:W169)</f>
        <v>261670</v>
      </c>
      <c r="X170" s="63">
        <f t="shared" si="203"/>
        <v>1625</v>
      </c>
      <c r="Y170" s="63">
        <f t="shared" si="203"/>
        <v>0</v>
      </c>
      <c r="Z170" s="63">
        <f t="shared" si="203"/>
        <v>0</v>
      </c>
      <c r="AA170" s="63">
        <f t="shared" si="203"/>
        <v>0</v>
      </c>
      <c r="AB170" s="63">
        <f t="shared" si="203"/>
        <v>0</v>
      </c>
      <c r="AC170" s="63">
        <f>SUM(AC156:AC169)</f>
        <v>1382461.28</v>
      </c>
    </row>
    <row r="171" spans="1:29" x14ac:dyDescent="0.35">
      <c r="A171" s="66" t="s">
        <v>134</v>
      </c>
      <c r="B171" s="15" t="str">
        <f t="shared" ref="B171:I171" si="204">B1</f>
        <v>Operating</v>
      </c>
      <c r="C171" s="15" t="str">
        <f t="shared" si="204"/>
        <v>SPED</v>
      </c>
      <c r="D171" s="15" t="str">
        <f t="shared" si="204"/>
        <v>NSLP</v>
      </c>
      <c r="E171" s="15" t="str">
        <f t="shared" si="204"/>
        <v>Other</v>
      </c>
      <c r="F171" s="15" t="str">
        <f t="shared" si="204"/>
        <v>Title I</v>
      </c>
      <c r="G171" s="15" t="str">
        <f t="shared" si="204"/>
        <v>Title II</v>
      </c>
      <c r="H171" s="15" t="str">
        <f t="shared" si="204"/>
        <v>Title III</v>
      </c>
      <c r="I171" s="15" t="str">
        <f t="shared" si="204"/>
        <v>B&amp;G</v>
      </c>
      <c r="J171" s="7"/>
      <c r="L171" s="15" t="str">
        <f t="shared" ref="L171:S171" si="205">L1</f>
        <v>Operating</v>
      </c>
      <c r="M171" s="15" t="str">
        <f t="shared" si="205"/>
        <v>SPED</v>
      </c>
      <c r="N171" s="15" t="str">
        <f t="shared" si="205"/>
        <v>NSLP</v>
      </c>
      <c r="O171" s="15" t="str">
        <f t="shared" si="205"/>
        <v>Other</v>
      </c>
      <c r="P171" s="15" t="str">
        <f t="shared" si="205"/>
        <v>Title I</v>
      </c>
      <c r="Q171" s="15" t="str">
        <f t="shared" si="205"/>
        <v>Title II</v>
      </c>
      <c r="R171" s="15" t="str">
        <f t="shared" si="205"/>
        <v>Title III</v>
      </c>
      <c r="S171" s="15" t="str">
        <f t="shared" si="205"/>
        <v>New</v>
      </c>
      <c r="T171" s="7"/>
      <c r="V171" s="15" t="str">
        <f t="shared" ref="V171:AC171" si="206">V1</f>
        <v>Operating</v>
      </c>
      <c r="W171" s="15" t="str">
        <f t="shared" si="206"/>
        <v>SPED</v>
      </c>
      <c r="X171" s="15" t="str">
        <f t="shared" si="206"/>
        <v>NSLP</v>
      </c>
      <c r="Y171" s="15" t="str">
        <f t="shared" si="206"/>
        <v>Other</v>
      </c>
      <c r="Z171" s="15" t="str">
        <f t="shared" si="206"/>
        <v>Title I</v>
      </c>
      <c r="AA171" s="15" t="str">
        <f t="shared" si="206"/>
        <v>Title II</v>
      </c>
      <c r="AB171" s="15" t="str">
        <f t="shared" si="206"/>
        <v>Title III</v>
      </c>
      <c r="AC171" s="15" t="str">
        <f t="shared" si="206"/>
        <v>MANN</v>
      </c>
    </row>
    <row r="172" spans="1:29" x14ac:dyDescent="0.35">
      <c r="A172" s="71" t="s">
        <v>135</v>
      </c>
      <c r="B172" s="72">
        <f>(200*12)*1.03*1.01</f>
        <v>2496.7199999999998</v>
      </c>
      <c r="C172" s="5"/>
      <c r="D172" s="5"/>
      <c r="E172" s="5"/>
      <c r="F172" s="5"/>
      <c r="G172" s="5"/>
      <c r="H172" s="5"/>
      <c r="I172" s="5">
        <f t="shared" ref="I172:I178" si="207">SUM(B172:H172)</f>
        <v>2496.7199999999998</v>
      </c>
      <c r="J172" s="11" t="s">
        <v>286</v>
      </c>
      <c r="L172" s="72">
        <f>(500*12)*1.03</f>
        <v>6180</v>
      </c>
      <c r="M172" s="5"/>
      <c r="N172" s="5"/>
      <c r="O172" s="5"/>
      <c r="P172" s="5"/>
      <c r="Q172" s="5"/>
      <c r="R172" s="5"/>
      <c r="S172" s="5">
        <f t="shared" ref="S172:S178" si="208">SUM(L172:R172)</f>
        <v>6180</v>
      </c>
      <c r="T172" s="11"/>
      <c r="V172" s="72">
        <f>B172+L172</f>
        <v>8676.7199999999993</v>
      </c>
      <c r="W172" s="72">
        <f t="shared" ref="W172:Y187" si="209">C172+M172</f>
        <v>0</v>
      </c>
      <c r="X172" s="72">
        <f t="shared" si="209"/>
        <v>0</v>
      </c>
      <c r="Y172" s="72">
        <f t="shared" si="209"/>
        <v>0</v>
      </c>
      <c r="Z172" s="5"/>
      <c r="AA172" s="5"/>
      <c r="AB172" s="5"/>
      <c r="AC172" s="5">
        <f t="shared" ref="AC172:AC178" si="210">SUM(V172:AB172)</f>
        <v>8676.7199999999993</v>
      </c>
    </row>
    <row r="173" spans="1:29" x14ac:dyDescent="0.35">
      <c r="A173" s="26" t="s">
        <v>136</v>
      </c>
      <c r="B173" s="72">
        <f>(1400*12)*1.03*1.01</f>
        <v>17477.04</v>
      </c>
      <c r="C173" s="5"/>
      <c r="D173" s="5"/>
      <c r="E173" s="5"/>
      <c r="F173" s="5"/>
      <c r="G173" s="5"/>
      <c r="H173" s="5"/>
      <c r="I173" s="5">
        <f t="shared" si="207"/>
        <v>17477.04</v>
      </c>
      <c r="J173" s="11" t="s">
        <v>287</v>
      </c>
      <c r="L173" s="72">
        <f>(2400*12)*1.03</f>
        <v>29664</v>
      </c>
      <c r="M173" s="5"/>
      <c r="N173" s="5"/>
      <c r="O173" s="5"/>
      <c r="P173" s="5"/>
      <c r="Q173" s="5"/>
      <c r="R173" s="5"/>
      <c r="S173" s="5">
        <f t="shared" si="208"/>
        <v>29664</v>
      </c>
      <c r="T173" s="11"/>
      <c r="V173" s="72">
        <f t="shared" ref="V173:Y195" si="211">B173+L173</f>
        <v>47141.04</v>
      </c>
      <c r="W173" s="72">
        <f t="shared" si="209"/>
        <v>0</v>
      </c>
      <c r="X173" s="72">
        <f t="shared" si="209"/>
        <v>0</v>
      </c>
      <c r="Y173" s="72">
        <f t="shared" si="209"/>
        <v>0</v>
      </c>
      <c r="Z173" s="5"/>
      <c r="AA173" s="5"/>
      <c r="AB173" s="5"/>
      <c r="AC173" s="5">
        <f t="shared" si="210"/>
        <v>47141.04</v>
      </c>
    </row>
    <row r="174" spans="1:29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207"/>
        <v>0</v>
      </c>
      <c r="J174" s="11"/>
      <c r="L174" s="73"/>
      <c r="M174" s="5"/>
      <c r="N174" s="5"/>
      <c r="O174" s="5"/>
      <c r="P174" s="5"/>
      <c r="Q174" s="5"/>
      <c r="R174" s="5"/>
      <c r="S174" s="5">
        <f t="shared" si="208"/>
        <v>0</v>
      </c>
      <c r="T174" s="11"/>
      <c r="V174" s="72">
        <f t="shared" si="211"/>
        <v>0</v>
      </c>
      <c r="W174" s="72">
        <f t="shared" si="209"/>
        <v>0</v>
      </c>
      <c r="X174" s="72">
        <f t="shared" si="209"/>
        <v>0</v>
      </c>
      <c r="Y174" s="72">
        <f t="shared" si="209"/>
        <v>0</v>
      </c>
      <c r="Z174" s="5"/>
      <c r="AA174" s="5"/>
      <c r="AB174" s="5"/>
      <c r="AC174" s="5">
        <f t="shared" si="210"/>
        <v>0</v>
      </c>
    </row>
    <row r="175" spans="1:29" x14ac:dyDescent="0.35">
      <c r="A175" s="26" t="s">
        <v>138</v>
      </c>
      <c r="B175" s="73">
        <v>1200</v>
      </c>
      <c r="C175" s="5"/>
      <c r="D175" s="5"/>
      <c r="E175" s="5"/>
      <c r="F175" s="5"/>
      <c r="G175" s="5"/>
      <c r="H175" s="5"/>
      <c r="I175" s="5">
        <f t="shared" si="207"/>
        <v>1200</v>
      </c>
      <c r="J175" s="11"/>
      <c r="L175" s="73">
        <v>1100</v>
      </c>
      <c r="M175" s="5"/>
      <c r="N175" s="5"/>
      <c r="O175" s="5"/>
      <c r="P175" s="5"/>
      <c r="Q175" s="5"/>
      <c r="R175" s="5"/>
      <c r="S175" s="5">
        <f t="shared" si="208"/>
        <v>1100</v>
      </c>
      <c r="T175" s="11"/>
      <c r="V175" s="72">
        <f t="shared" si="211"/>
        <v>2300</v>
      </c>
      <c r="W175" s="72">
        <f t="shared" si="209"/>
        <v>0</v>
      </c>
      <c r="X175" s="72">
        <f t="shared" si="209"/>
        <v>0</v>
      </c>
      <c r="Y175" s="72">
        <f t="shared" si="209"/>
        <v>0</v>
      </c>
      <c r="Z175" s="5"/>
      <c r="AA175" s="5"/>
      <c r="AB175" s="5"/>
      <c r="AC175" s="5">
        <f t="shared" si="210"/>
        <v>2300</v>
      </c>
    </row>
    <row r="176" spans="1:29" x14ac:dyDescent="0.35">
      <c r="A176" s="26" t="s">
        <v>139</v>
      </c>
      <c r="B176" s="73">
        <f>5500*1.03*1.02</f>
        <v>5778.3</v>
      </c>
      <c r="C176" s="5"/>
      <c r="D176" s="5"/>
      <c r="E176" s="5"/>
      <c r="F176" s="5"/>
      <c r="G176" s="5"/>
      <c r="H176" s="5"/>
      <c r="I176" s="5">
        <f t="shared" si="207"/>
        <v>5778.3</v>
      </c>
      <c r="J176" s="11"/>
      <c r="L176" s="73">
        <f>5500*1.03</f>
        <v>5665</v>
      </c>
      <c r="M176" s="5"/>
      <c r="N176" s="5"/>
      <c r="O176" s="5"/>
      <c r="P176" s="5"/>
      <c r="Q176" s="5"/>
      <c r="R176" s="5"/>
      <c r="S176" s="5">
        <f t="shared" si="208"/>
        <v>5665</v>
      </c>
      <c r="T176" s="11"/>
      <c r="V176" s="72">
        <f t="shared" si="211"/>
        <v>11443.3</v>
      </c>
      <c r="W176" s="72">
        <f t="shared" si="209"/>
        <v>0</v>
      </c>
      <c r="X176" s="72">
        <f t="shared" si="209"/>
        <v>0</v>
      </c>
      <c r="Y176" s="72">
        <f t="shared" si="209"/>
        <v>0</v>
      </c>
      <c r="Z176" s="5"/>
      <c r="AA176" s="5"/>
      <c r="AB176" s="5"/>
      <c r="AC176" s="5">
        <f t="shared" si="210"/>
        <v>11443.3</v>
      </c>
    </row>
    <row r="177" spans="1:29" x14ac:dyDescent="0.35">
      <c r="A177" s="26" t="s">
        <v>140</v>
      </c>
      <c r="B177" s="72">
        <f>30000*1.03*1.02</f>
        <v>31518</v>
      </c>
      <c r="C177" s="5"/>
      <c r="D177" s="5"/>
      <c r="E177" s="5"/>
      <c r="F177" s="5"/>
      <c r="G177" s="5"/>
      <c r="H177" s="5"/>
      <c r="I177" s="5">
        <f t="shared" si="207"/>
        <v>31518</v>
      </c>
      <c r="J177" s="11"/>
      <c r="L177" s="72">
        <v>40000</v>
      </c>
      <c r="M177" s="5"/>
      <c r="N177" s="5"/>
      <c r="O177" s="5"/>
      <c r="P177" s="5"/>
      <c r="Q177" s="5"/>
      <c r="R177" s="5"/>
      <c r="S177" s="5">
        <f t="shared" si="208"/>
        <v>40000</v>
      </c>
      <c r="T177" s="11"/>
      <c r="V177" s="72">
        <f t="shared" si="211"/>
        <v>71518</v>
      </c>
      <c r="W177" s="72">
        <f t="shared" si="209"/>
        <v>0</v>
      </c>
      <c r="X177" s="72">
        <f t="shared" si="209"/>
        <v>0</v>
      </c>
      <c r="Y177" s="72">
        <f t="shared" si="209"/>
        <v>0</v>
      </c>
      <c r="Z177" s="5"/>
      <c r="AA177" s="5"/>
      <c r="AB177" s="5"/>
      <c r="AC177" s="5">
        <f t="shared" si="210"/>
        <v>71518</v>
      </c>
    </row>
    <row r="178" spans="1:29" x14ac:dyDescent="0.35">
      <c r="A178" s="26" t="s">
        <v>141</v>
      </c>
      <c r="B178" s="30">
        <f>((2.5*B17)+4250)*1.02*1.02</f>
        <v>5631.165</v>
      </c>
      <c r="C178" s="5"/>
      <c r="D178" s="5"/>
      <c r="E178" s="5"/>
      <c r="F178" s="5"/>
      <c r="G178" s="5"/>
      <c r="H178" s="5"/>
      <c r="I178" s="5">
        <f t="shared" si="207"/>
        <v>5631.165</v>
      </c>
      <c r="J178" s="11"/>
      <c r="L178" s="30">
        <f>((2.5*L17)+4250)*1.02</f>
        <v>6290.85</v>
      </c>
      <c r="M178" s="5"/>
      <c r="N178" s="5"/>
      <c r="O178" s="5"/>
      <c r="P178" s="5"/>
      <c r="Q178" s="5"/>
      <c r="R178" s="5"/>
      <c r="S178" s="5">
        <f t="shared" si="208"/>
        <v>6290.85</v>
      </c>
      <c r="T178" s="11"/>
      <c r="V178" s="72">
        <f t="shared" si="211"/>
        <v>11922.014999999999</v>
      </c>
      <c r="W178" s="72">
        <f t="shared" si="209"/>
        <v>0</v>
      </c>
      <c r="X178" s="72">
        <f t="shared" si="209"/>
        <v>0</v>
      </c>
      <c r="Y178" s="72">
        <f t="shared" si="209"/>
        <v>0</v>
      </c>
      <c r="Z178" s="5"/>
      <c r="AA178" s="5"/>
      <c r="AB178" s="5"/>
      <c r="AC178" s="5">
        <f t="shared" si="210"/>
        <v>11922.014999999999</v>
      </c>
    </row>
    <row r="179" spans="1:29" x14ac:dyDescent="0.35">
      <c r="A179" s="26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/>
      <c r="L179" s="72">
        <f>2500*12</f>
        <v>30000</v>
      </c>
      <c r="M179" s="5"/>
      <c r="N179" s="5"/>
      <c r="O179" s="5"/>
      <c r="P179" s="5"/>
      <c r="Q179" s="5"/>
      <c r="R179" s="5"/>
      <c r="S179" s="5">
        <f>SUM(L179:R179)</f>
        <v>30000</v>
      </c>
      <c r="T179" s="11"/>
      <c r="V179" s="72">
        <f t="shared" si="211"/>
        <v>30000</v>
      </c>
      <c r="W179" s="72">
        <f t="shared" si="209"/>
        <v>0</v>
      </c>
      <c r="X179" s="72">
        <f t="shared" si="209"/>
        <v>0</v>
      </c>
      <c r="Y179" s="72">
        <f t="shared" si="209"/>
        <v>0</v>
      </c>
      <c r="Z179" s="5"/>
      <c r="AA179" s="5"/>
      <c r="AB179" s="5"/>
      <c r="AC179" s="5">
        <f>SUM(V179:AB179)</f>
        <v>30000</v>
      </c>
    </row>
    <row r="180" spans="1:29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  <c r="L180" s="72">
        <v>0</v>
      </c>
      <c r="M180" s="5"/>
      <c r="N180" s="5"/>
      <c r="O180" s="5"/>
      <c r="P180" s="5"/>
      <c r="Q180" s="5"/>
      <c r="R180" s="5"/>
      <c r="S180" s="5">
        <f>SUM(L180:R180)</f>
        <v>0</v>
      </c>
      <c r="T180" s="11"/>
      <c r="V180" s="72">
        <f t="shared" si="211"/>
        <v>0</v>
      </c>
      <c r="W180" s="72">
        <f t="shared" si="209"/>
        <v>0</v>
      </c>
      <c r="X180" s="72">
        <f t="shared" si="209"/>
        <v>0</v>
      </c>
      <c r="Y180" s="72">
        <f t="shared" si="209"/>
        <v>0</v>
      </c>
      <c r="Z180" s="5"/>
      <c r="AA180" s="5"/>
      <c r="AB180" s="5"/>
      <c r="AC180" s="5">
        <f>SUM(V180:AB180)</f>
        <v>0</v>
      </c>
    </row>
    <row r="181" spans="1:29" x14ac:dyDescent="0.35">
      <c r="A181" s="26" t="s">
        <v>145</v>
      </c>
      <c r="B181" s="73">
        <f>26750*1.1*1.1</f>
        <v>32367.500000000007</v>
      </c>
      <c r="C181" s="5"/>
      <c r="D181" s="5"/>
      <c r="E181" s="5"/>
      <c r="F181" s="5"/>
      <c r="G181" s="5"/>
      <c r="H181" s="5"/>
      <c r="I181" s="5">
        <f>SUM(B181:H181)</f>
        <v>32367.500000000007</v>
      </c>
      <c r="J181" s="11"/>
      <c r="L181" s="72">
        <v>40000</v>
      </c>
      <c r="M181" s="5"/>
      <c r="N181" s="5"/>
      <c r="O181" s="5"/>
      <c r="P181" s="5"/>
      <c r="Q181" s="5"/>
      <c r="R181" s="5"/>
      <c r="S181" s="5">
        <f>SUM(L181:R181)</f>
        <v>40000</v>
      </c>
      <c r="T181" s="11"/>
      <c r="V181" s="72">
        <f t="shared" si="211"/>
        <v>72367.5</v>
      </c>
      <c r="W181" s="72">
        <f t="shared" si="209"/>
        <v>0</v>
      </c>
      <c r="X181" s="72">
        <f t="shared" si="209"/>
        <v>0</v>
      </c>
      <c r="Y181" s="72">
        <f t="shared" si="209"/>
        <v>0</v>
      </c>
      <c r="Z181" s="5"/>
      <c r="AA181" s="5"/>
      <c r="AB181" s="5"/>
      <c r="AC181" s="5">
        <f>SUM(V181:AB181)</f>
        <v>72367.5</v>
      </c>
    </row>
    <row r="182" spans="1:29" x14ac:dyDescent="0.35">
      <c r="A182" s="26" t="s">
        <v>146</v>
      </c>
      <c r="B182" s="5"/>
      <c r="C182" s="5"/>
      <c r="D182" s="5">
        <f>((B17*0.95)*2.2*180)</f>
        <v>174933</v>
      </c>
      <c r="E182" s="5"/>
      <c r="F182" s="5"/>
      <c r="G182" s="5"/>
      <c r="H182" s="5"/>
      <c r="I182" s="5">
        <f t="shared" ref="I182:I190" si="212">SUM(B182:H182)</f>
        <v>174933</v>
      </c>
      <c r="J182" s="52">
        <v>2.2000000000000002</v>
      </c>
      <c r="L182" s="5"/>
      <c r="M182" s="5"/>
      <c r="N182" s="5">
        <f>((L17*0.95)*2.2*180)</f>
        <v>288545.40000000002</v>
      </c>
      <c r="O182" s="5"/>
      <c r="P182" s="5"/>
      <c r="Q182" s="5"/>
      <c r="R182" s="5"/>
      <c r="S182" s="5">
        <f t="shared" ref="S182:S190" si="213">SUM(L182:R182)</f>
        <v>288545.40000000002</v>
      </c>
      <c r="T182" s="52">
        <v>2.2000000000000002</v>
      </c>
      <c r="V182" s="72">
        <f t="shared" si="211"/>
        <v>0</v>
      </c>
      <c r="W182" s="72">
        <f t="shared" si="209"/>
        <v>0</v>
      </c>
      <c r="X182" s="72">
        <f t="shared" si="209"/>
        <v>463478.4</v>
      </c>
      <c r="Y182" s="72">
        <f t="shared" si="209"/>
        <v>0</v>
      </c>
      <c r="Z182" s="5"/>
      <c r="AA182" s="5"/>
      <c r="AB182" s="5"/>
      <c r="AC182" s="5">
        <f t="shared" ref="AC182:AC190" si="214">SUM(V182:AB182)</f>
        <v>463478.4</v>
      </c>
    </row>
    <row r="183" spans="1:29" x14ac:dyDescent="0.35">
      <c r="A183" s="26" t="s">
        <v>147</v>
      </c>
      <c r="B183" s="5"/>
      <c r="C183" s="5"/>
      <c r="D183" s="5">
        <f>((B17*0.95)*3.4*180)</f>
        <v>270351</v>
      </c>
      <c r="E183" s="5"/>
      <c r="F183" s="5"/>
      <c r="G183" s="5"/>
      <c r="H183" s="5"/>
      <c r="I183" s="5">
        <f t="shared" si="212"/>
        <v>270351</v>
      </c>
      <c r="J183" s="52">
        <v>3.4</v>
      </c>
      <c r="L183" s="5"/>
      <c r="M183" s="5"/>
      <c r="N183" s="5">
        <f>((L17*0.95)*3.4*180)</f>
        <v>445933.8</v>
      </c>
      <c r="O183" s="5"/>
      <c r="P183" s="5"/>
      <c r="Q183" s="5"/>
      <c r="R183" s="5"/>
      <c r="S183" s="5">
        <f t="shared" si="213"/>
        <v>445933.8</v>
      </c>
      <c r="T183" s="52">
        <v>3.4</v>
      </c>
      <c r="V183" s="72">
        <f t="shared" si="211"/>
        <v>0</v>
      </c>
      <c r="W183" s="72">
        <f t="shared" si="209"/>
        <v>0</v>
      </c>
      <c r="X183" s="72">
        <f t="shared" si="209"/>
        <v>716284.8</v>
      </c>
      <c r="Y183" s="72">
        <f t="shared" si="209"/>
        <v>0</v>
      </c>
      <c r="Z183" s="5"/>
      <c r="AA183" s="5"/>
      <c r="AB183" s="5"/>
      <c r="AC183" s="5">
        <f t="shared" si="214"/>
        <v>716284.8</v>
      </c>
    </row>
    <row r="184" spans="1:29" x14ac:dyDescent="0.35">
      <c r="A184" s="26" t="s">
        <v>148</v>
      </c>
      <c r="B184" s="5">
        <v>6000</v>
      </c>
      <c r="C184" s="5"/>
      <c r="D184" s="5"/>
      <c r="E184" s="5"/>
      <c r="F184" s="5"/>
      <c r="G184" s="5"/>
      <c r="H184" s="5"/>
      <c r="I184" s="5">
        <f t="shared" si="212"/>
        <v>6000</v>
      </c>
      <c r="J184" s="11"/>
      <c r="L184" s="5">
        <v>6000</v>
      </c>
      <c r="M184" s="5"/>
      <c r="N184" s="5"/>
      <c r="O184" s="5"/>
      <c r="P184" s="5"/>
      <c r="Q184" s="5"/>
      <c r="R184" s="5"/>
      <c r="S184" s="5">
        <f t="shared" si="213"/>
        <v>6000</v>
      </c>
      <c r="T184" s="11"/>
      <c r="V184" s="72">
        <f t="shared" si="211"/>
        <v>12000</v>
      </c>
      <c r="W184" s="72">
        <f t="shared" si="209"/>
        <v>0</v>
      </c>
      <c r="X184" s="72">
        <f t="shared" si="209"/>
        <v>0</v>
      </c>
      <c r="Y184" s="72">
        <f t="shared" si="209"/>
        <v>0</v>
      </c>
      <c r="Z184" s="5"/>
      <c r="AA184" s="5"/>
      <c r="AB184" s="5"/>
      <c r="AC184" s="5">
        <f t="shared" si="214"/>
        <v>12000</v>
      </c>
    </row>
    <row r="185" spans="1:29" x14ac:dyDescent="0.35">
      <c r="A185" s="26" t="s">
        <v>149</v>
      </c>
      <c r="B185" s="5">
        <v>1600</v>
      </c>
      <c r="C185" s="5"/>
      <c r="D185" s="5"/>
      <c r="E185" s="5"/>
      <c r="F185" s="5"/>
      <c r="G185" s="5"/>
      <c r="H185" s="5"/>
      <c r="I185" s="5">
        <f t="shared" si="212"/>
        <v>1600</v>
      </c>
      <c r="J185" s="11"/>
      <c r="L185" s="5">
        <v>1500</v>
      </c>
      <c r="M185" s="5"/>
      <c r="N185" s="5"/>
      <c r="O185" s="5"/>
      <c r="P185" s="5"/>
      <c r="Q185" s="5"/>
      <c r="R185" s="5"/>
      <c r="S185" s="5">
        <f t="shared" si="213"/>
        <v>1500</v>
      </c>
      <c r="T185" s="11"/>
      <c r="V185" s="72">
        <f t="shared" si="211"/>
        <v>3100</v>
      </c>
      <c r="W185" s="72">
        <f t="shared" si="209"/>
        <v>0</v>
      </c>
      <c r="X185" s="72">
        <f t="shared" si="209"/>
        <v>0</v>
      </c>
      <c r="Y185" s="72">
        <f t="shared" si="209"/>
        <v>0</v>
      </c>
      <c r="Z185" s="5"/>
      <c r="AA185" s="5"/>
      <c r="AB185" s="5"/>
      <c r="AC185" s="5">
        <f t="shared" si="214"/>
        <v>3100</v>
      </c>
    </row>
    <row r="186" spans="1:29" x14ac:dyDescent="0.35">
      <c r="A186" s="26" t="s">
        <v>150</v>
      </c>
      <c r="B186" s="5">
        <v>1600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212"/>
        <v>1600</v>
      </c>
      <c r="J186" s="11"/>
      <c r="L186" s="5">
        <v>1500</v>
      </c>
      <c r="M186" s="5">
        <v>0</v>
      </c>
      <c r="N186" s="5">
        <v>0</v>
      </c>
      <c r="O186" s="5"/>
      <c r="P186" s="5">
        <v>0</v>
      </c>
      <c r="Q186" s="5">
        <v>0</v>
      </c>
      <c r="R186" s="5">
        <v>0</v>
      </c>
      <c r="S186" s="5">
        <f t="shared" si="213"/>
        <v>1500</v>
      </c>
      <c r="T186" s="11"/>
      <c r="V186" s="72">
        <f t="shared" si="211"/>
        <v>3100</v>
      </c>
      <c r="W186" s="72">
        <f t="shared" si="209"/>
        <v>0</v>
      </c>
      <c r="X186" s="72">
        <f t="shared" si="209"/>
        <v>0</v>
      </c>
      <c r="Y186" s="72">
        <f t="shared" si="209"/>
        <v>0</v>
      </c>
      <c r="Z186" s="5">
        <v>0</v>
      </c>
      <c r="AA186" s="5">
        <v>0</v>
      </c>
      <c r="AB186" s="5">
        <v>0</v>
      </c>
      <c r="AC186" s="5">
        <f t="shared" si="214"/>
        <v>3100</v>
      </c>
    </row>
    <row r="187" spans="1:29" x14ac:dyDescent="0.35">
      <c r="A187" s="26" t="s">
        <v>151</v>
      </c>
      <c r="B187" s="10">
        <f>((5*B17)+1200+1350+500)*1.01</f>
        <v>5428.75</v>
      </c>
      <c r="C187" s="5"/>
      <c r="D187" s="5"/>
      <c r="E187" s="5"/>
      <c r="F187" s="5"/>
      <c r="G187" s="5"/>
      <c r="H187" s="5"/>
      <c r="I187" s="5">
        <f t="shared" si="212"/>
        <v>5428.75</v>
      </c>
      <c r="J187" s="11" t="s">
        <v>288</v>
      </c>
      <c r="L187" s="10">
        <f>(5*L17)+1200+1350+500</f>
        <v>6885</v>
      </c>
      <c r="M187" s="5"/>
      <c r="N187" s="5"/>
      <c r="O187" s="5"/>
      <c r="P187" s="5"/>
      <c r="Q187" s="5"/>
      <c r="R187" s="5"/>
      <c r="S187" s="5">
        <f t="shared" si="213"/>
        <v>6885</v>
      </c>
      <c r="T187" s="11" t="s">
        <v>288</v>
      </c>
      <c r="V187" s="72">
        <f t="shared" si="211"/>
        <v>12313.75</v>
      </c>
      <c r="W187" s="72">
        <f t="shared" si="209"/>
        <v>0</v>
      </c>
      <c r="X187" s="72">
        <f t="shared" si="209"/>
        <v>0</v>
      </c>
      <c r="Y187" s="72">
        <f t="shared" si="209"/>
        <v>0</v>
      </c>
      <c r="Z187" s="5"/>
      <c r="AA187" s="5"/>
      <c r="AB187" s="5"/>
      <c r="AC187" s="5">
        <f t="shared" si="214"/>
        <v>12313.75</v>
      </c>
    </row>
    <row r="188" spans="1:29" hidden="1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212"/>
        <v>0</v>
      </c>
      <c r="J188" s="11"/>
      <c r="L188" s="10"/>
      <c r="M188" s="5"/>
      <c r="N188" s="5"/>
      <c r="O188" s="5"/>
      <c r="P188" s="5"/>
      <c r="Q188" s="5"/>
      <c r="R188" s="5"/>
      <c r="S188" s="5">
        <f t="shared" si="213"/>
        <v>0</v>
      </c>
      <c r="T188" s="11"/>
      <c r="V188" s="72">
        <f t="shared" si="211"/>
        <v>0</v>
      </c>
      <c r="W188" s="72">
        <f t="shared" si="211"/>
        <v>0</v>
      </c>
      <c r="X188" s="72">
        <f t="shared" si="211"/>
        <v>0</v>
      </c>
      <c r="Y188" s="72">
        <f t="shared" si="211"/>
        <v>0</v>
      </c>
      <c r="Z188" s="5"/>
      <c r="AA188" s="5"/>
      <c r="AB188" s="5"/>
      <c r="AC188" s="5">
        <f t="shared" si="214"/>
        <v>0</v>
      </c>
    </row>
    <row r="189" spans="1:29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212"/>
        <v>0</v>
      </c>
      <c r="J189" s="11"/>
      <c r="L189" s="5"/>
      <c r="M189" s="5"/>
      <c r="N189" s="5"/>
      <c r="O189" s="5"/>
      <c r="P189" s="5"/>
      <c r="Q189" s="5"/>
      <c r="R189" s="5"/>
      <c r="S189" s="5">
        <f t="shared" si="213"/>
        <v>0</v>
      </c>
      <c r="T189" s="11"/>
      <c r="V189" s="72">
        <f t="shared" si="211"/>
        <v>0</v>
      </c>
      <c r="W189" s="72">
        <f t="shared" si="211"/>
        <v>0</v>
      </c>
      <c r="X189" s="72">
        <f t="shared" si="211"/>
        <v>0</v>
      </c>
      <c r="Y189" s="72">
        <f t="shared" si="211"/>
        <v>0</v>
      </c>
      <c r="Z189" s="5"/>
      <c r="AA189" s="5"/>
      <c r="AB189" s="5"/>
      <c r="AC189" s="5">
        <f t="shared" si="214"/>
        <v>0</v>
      </c>
    </row>
    <row r="190" spans="1:29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212"/>
        <v>0</v>
      </c>
      <c r="J190" s="11"/>
      <c r="L190" s="10">
        <v>0</v>
      </c>
      <c r="M190" s="5"/>
      <c r="N190" s="5"/>
      <c r="O190" s="5"/>
      <c r="P190" s="5"/>
      <c r="Q190" s="5"/>
      <c r="R190" s="5"/>
      <c r="S190" s="5">
        <f t="shared" si="213"/>
        <v>0</v>
      </c>
      <c r="T190" s="11"/>
      <c r="V190" s="72">
        <f t="shared" si="211"/>
        <v>0</v>
      </c>
      <c r="W190" s="72">
        <f t="shared" si="211"/>
        <v>0</v>
      </c>
      <c r="X190" s="72">
        <f t="shared" si="211"/>
        <v>0</v>
      </c>
      <c r="Y190" s="72">
        <f t="shared" si="211"/>
        <v>0</v>
      </c>
      <c r="Z190" s="5"/>
      <c r="AA190" s="5"/>
      <c r="AB190" s="5"/>
      <c r="AC190" s="5">
        <f t="shared" si="214"/>
        <v>0</v>
      </c>
    </row>
    <row r="191" spans="1:29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  <c r="L191" s="10">
        <v>63775</v>
      </c>
      <c r="M191" s="10"/>
      <c r="N191" s="10"/>
      <c r="O191" s="10"/>
      <c r="P191" s="10"/>
      <c r="Q191" s="10"/>
      <c r="R191" s="10"/>
      <c r="S191" s="5">
        <f>SUM(L191:R191)</f>
        <v>63775</v>
      </c>
      <c r="T191" s="11"/>
      <c r="V191" s="72">
        <f t="shared" si="211"/>
        <v>63775</v>
      </c>
      <c r="W191" s="72">
        <f t="shared" si="211"/>
        <v>0</v>
      </c>
      <c r="X191" s="72">
        <f t="shared" si="211"/>
        <v>0</v>
      </c>
      <c r="Y191" s="72">
        <f t="shared" si="211"/>
        <v>0</v>
      </c>
      <c r="Z191" s="10"/>
      <c r="AA191" s="10"/>
      <c r="AB191" s="10"/>
      <c r="AC191" s="5">
        <f>SUM(V191:AB191)</f>
        <v>63775</v>
      </c>
    </row>
    <row r="192" spans="1:29" x14ac:dyDescent="0.35">
      <c r="A192" s="26" t="s">
        <v>254</v>
      </c>
      <c r="B192" s="10"/>
      <c r="C192" s="5"/>
      <c r="D192" s="5"/>
      <c r="E192" s="5"/>
      <c r="F192" s="5"/>
      <c r="G192" s="5"/>
      <c r="H192" s="5"/>
      <c r="I192" s="5">
        <f t="shared" ref="I192:I195" si="215">SUM(B192:H192)</f>
        <v>0</v>
      </c>
      <c r="J192" s="11"/>
      <c r="L192" s="10">
        <v>172865</v>
      </c>
      <c r="M192" s="5"/>
      <c r="N192" s="5"/>
      <c r="O192" s="5"/>
      <c r="P192" s="5"/>
      <c r="Q192" s="5"/>
      <c r="R192" s="5"/>
      <c r="S192" s="5">
        <f t="shared" ref="S192:S195" si="216">SUM(L192:R192)</f>
        <v>172865</v>
      </c>
      <c r="T192" s="11"/>
      <c r="V192" s="72">
        <f t="shared" si="211"/>
        <v>172865</v>
      </c>
      <c r="W192" s="72">
        <f t="shared" si="211"/>
        <v>0</v>
      </c>
      <c r="X192" s="72">
        <f t="shared" si="211"/>
        <v>0</v>
      </c>
      <c r="Y192" s="72">
        <f t="shared" si="211"/>
        <v>0</v>
      </c>
      <c r="Z192" s="5"/>
      <c r="AA192" s="5"/>
      <c r="AB192" s="5"/>
      <c r="AC192" s="5">
        <f t="shared" ref="AC192:AC195" si="217">SUM(V192:AB192)</f>
        <v>172865</v>
      </c>
    </row>
    <row r="193" spans="1:30" x14ac:dyDescent="0.35">
      <c r="A193" s="26" t="s">
        <v>255</v>
      </c>
      <c r="B193" s="10"/>
      <c r="C193" s="5"/>
      <c r="D193" s="5"/>
      <c r="E193" s="5"/>
      <c r="F193" s="5"/>
      <c r="G193" s="5"/>
      <c r="H193" s="5"/>
      <c r="I193" s="5">
        <f t="shared" si="215"/>
        <v>0</v>
      </c>
      <c r="J193" s="11"/>
      <c r="L193" s="10"/>
      <c r="M193" s="5"/>
      <c r="N193" s="5"/>
      <c r="O193" s="5"/>
      <c r="P193" s="5"/>
      <c r="Q193" s="5"/>
      <c r="R193" s="5"/>
      <c r="S193" s="5">
        <f t="shared" si="216"/>
        <v>0</v>
      </c>
      <c r="T193" s="11"/>
      <c r="V193" s="72">
        <f t="shared" si="211"/>
        <v>0</v>
      </c>
      <c r="W193" s="72">
        <f t="shared" si="211"/>
        <v>0</v>
      </c>
      <c r="X193" s="72">
        <f t="shared" si="211"/>
        <v>0</v>
      </c>
      <c r="Y193" s="72">
        <f t="shared" si="211"/>
        <v>0</v>
      </c>
      <c r="Z193" s="5"/>
      <c r="AA193" s="5"/>
      <c r="AB193" s="5"/>
      <c r="AC193" s="5">
        <f t="shared" si="217"/>
        <v>0</v>
      </c>
    </row>
    <row r="194" spans="1:30" x14ac:dyDescent="0.35">
      <c r="A194" s="26" t="s">
        <v>275</v>
      </c>
      <c r="B194" s="10">
        <v>10500</v>
      </c>
      <c r="C194" s="5"/>
      <c r="D194" s="5"/>
      <c r="E194" s="5"/>
      <c r="F194" s="5"/>
      <c r="G194" s="5"/>
      <c r="H194" s="5"/>
      <c r="I194" s="5">
        <f t="shared" si="215"/>
        <v>10500</v>
      </c>
      <c r="J194" s="11"/>
      <c r="L194" s="10">
        <v>7500</v>
      </c>
      <c r="M194" s="5"/>
      <c r="N194" s="5"/>
      <c r="O194" s="5"/>
      <c r="P194" s="5"/>
      <c r="Q194" s="5"/>
      <c r="R194" s="5"/>
      <c r="S194" s="5">
        <f t="shared" si="216"/>
        <v>7500</v>
      </c>
      <c r="T194" s="11"/>
      <c r="V194" s="72">
        <f t="shared" si="211"/>
        <v>18000</v>
      </c>
      <c r="W194" s="72">
        <f t="shared" si="211"/>
        <v>0</v>
      </c>
      <c r="X194" s="72">
        <f t="shared" si="211"/>
        <v>0</v>
      </c>
      <c r="Y194" s="72">
        <f t="shared" si="211"/>
        <v>0</v>
      </c>
      <c r="Z194" s="5"/>
      <c r="AA194" s="5"/>
      <c r="AB194" s="5"/>
      <c r="AC194" s="5">
        <f t="shared" si="217"/>
        <v>18000</v>
      </c>
    </row>
    <row r="195" spans="1:30" x14ac:dyDescent="0.35">
      <c r="A195" s="69" t="s">
        <v>458</v>
      </c>
      <c r="B195" s="5">
        <f>((B74)*0.04)</f>
        <v>177723</v>
      </c>
      <c r="C195" s="5"/>
      <c r="D195" s="5"/>
      <c r="E195" s="5"/>
      <c r="F195" s="5"/>
      <c r="G195" s="5"/>
      <c r="H195" s="5"/>
      <c r="I195" s="5">
        <f t="shared" si="215"/>
        <v>177723</v>
      </c>
      <c r="J195" s="48" t="s">
        <v>308</v>
      </c>
      <c r="L195" s="5">
        <f>((L74)*0.0025)</f>
        <v>18321.712500000001</v>
      </c>
      <c r="M195" s="5"/>
      <c r="N195" s="5"/>
      <c r="O195" s="5"/>
      <c r="P195" s="5"/>
      <c r="Q195" s="5"/>
      <c r="R195" s="5"/>
      <c r="S195" s="5">
        <f t="shared" si="216"/>
        <v>18321.712500000001</v>
      </c>
      <c r="T195" s="48" t="s">
        <v>515</v>
      </c>
      <c r="V195" s="72">
        <f t="shared" si="211"/>
        <v>196044.71249999999</v>
      </c>
      <c r="W195" s="72">
        <f t="shared" si="211"/>
        <v>0</v>
      </c>
      <c r="X195" s="72">
        <f t="shared" si="211"/>
        <v>0</v>
      </c>
      <c r="Y195" s="72">
        <f t="shared" si="211"/>
        <v>0</v>
      </c>
      <c r="Z195" s="5"/>
      <c r="AA195" s="5"/>
      <c r="AB195" s="5"/>
      <c r="AC195" s="5">
        <f t="shared" si="217"/>
        <v>196044.71249999999</v>
      </c>
      <c r="AD195" s="105">
        <f>V195/AC74</f>
        <v>1.6653814935064935E-2</v>
      </c>
    </row>
    <row r="196" spans="1:30" x14ac:dyDescent="0.35">
      <c r="A196" s="62" t="s">
        <v>182</v>
      </c>
      <c r="B196" s="63">
        <f>SUM(B172:B195)</f>
        <v>299320.47499999998</v>
      </c>
      <c r="C196" s="63">
        <f t="shared" ref="C196:I196" si="218">SUM(C172:C195)</f>
        <v>0</v>
      </c>
      <c r="D196" s="63">
        <f t="shared" si="218"/>
        <v>445284</v>
      </c>
      <c r="E196" s="63">
        <f t="shared" si="218"/>
        <v>0</v>
      </c>
      <c r="F196" s="63">
        <f t="shared" si="218"/>
        <v>0</v>
      </c>
      <c r="G196" s="63">
        <f t="shared" si="218"/>
        <v>0</v>
      </c>
      <c r="H196" s="63">
        <f t="shared" si="218"/>
        <v>0</v>
      </c>
      <c r="I196" s="63">
        <f t="shared" si="218"/>
        <v>744604.47499999998</v>
      </c>
      <c r="J196" s="7"/>
      <c r="L196" s="63">
        <f>SUM(L172:L195)</f>
        <v>437246.5625</v>
      </c>
      <c r="M196" s="63">
        <f t="shared" ref="M196:S196" si="219">SUM(M172:M195)</f>
        <v>0</v>
      </c>
      <c r="N196" s="63">
        <f t="shared" si="219"/>
        <v>734479.2</v>
      </c>
      <c r="O196" s="63">
        <f t="shared" si="219"/>
        <v>0</v>
      </c>
      <c r="P196" s="63">
        <f t="shared" si="219"/>
        <v>0</v>
      </c>
      <c r="Q196" s="63">
        <f t="shared" si="219"/>
        <v>0</v>
      </c>
      <c r="R196" s="63">
        <f t="shared" si="219"/>
        <v>0</v>
      </c>
      <c r="S196" s="63">
        <f t="shared" si="219"/>
        <v>1171725.7625</v>
      </c>
      <c r="T196" s="7"/>
      <c r="V196" s="63">
        <f>SUM(V172:V195)</f>
        <v>736567.03749999998</v>
      </c>
      <c r="W196" s="63">
        <f t="shared" ref="W196:AC196" si="220">SUM(W172:W195)</f>
        <v>0</v>
      </c>
      <c r="X196" s="63">
        <f t="shared" si="220"/>
        <v>1179763.2000000002</v>
      </c>
      <c r="Y196" s="63">
        <f t="shared" si="220"/>
        <v>0</v>
      </c>
      <c r="Z196" s="63">
        <f t="shared" si="220"/>
        <v>0</v>
      </c>
      <c r="AA196" s="63">
        <f t="shared" si="220"/>
        <v>0</v>
      </c>
      <c r="AB196" s="63">
        <f t="shared" si="220"/>
        <v>0</v>
      </c>
      <c r="AC196" s="63">
        <f t="shared" si="220"/>
        <v>1916330.2375</v>
      </c>
    </row>
    <row r="197" spans="1:30" x14ac:dyDescent="0.35">
      <c r="A197" s="66" t="s">
        <v>154</v>
      </c>
      <c r="B197" s="15" t="str">
        <f t="shared" ref="B197:I197" si="221">B1</f>
        <v>Operating</v>
      </c>
      <c r="C197" s="15" t="str">
        <f t="shared" si="221"/>
        <v>SPED</v>
      </c>
      <c r="D197" s="15" t="str">
        <f t="shared" si="221"/>
        <v>NSLP</v>
      </c>
      <c r="E197" s="15" t="str">
        <f t="shared" si="221"/>
        <v>Other</v>
      </c>
      <c r="F197" s="15" t="str">
        <f t="shared" si="221"/>
        <v>Title I</v>
      </c>
      <c r="G197" s="15" t="str">
        <f t="shared" si="221"/>
        <v>Title II</v>
      </c>
      <c r="H197" s="15" t="str">
        <f t="shared" si="221"/>
        <v>Title III</v>
      </c>
      <c r="I197" s="15" t="str">
        <f t="shared" si="221"/>
        <v>B&amp;G</v>
      </c>
      <c r="J197" s="7"/>
      <c r="L197" s="15" t="str">
        <f t="shared" ref="L197:S197" si="222">L1</f>
        <v>Operating</v>
      </c>
      <c r="M197" s="15" t="str">
        <f t="shared" si="222"/>
        <v>SPED</v>
      </c>
      <c r="N197" s="15" t="str">
        <f t="shared" si="222"/>
        <v>NSLP</v>
      </c>
      <c r="O197" s="15" t="str">
        <f t="shared" si="222"/>
        <v>Other</v>
      </c>
      <c r="P197" s="15" t="str">
        <f t="shared" si="222"/>
        <v>Title I</v>
      </c>
      <c r="Q197" s="15" t="str">
        <f t="shared" si="222"/>
        <v>Title II</v>
      </c>
      <c r="R197" s="15" t="str">
        <f t="shared" si="222"/>
        <v>Title III</v>
      </c>
      <c r="S197" s="15" t="str">
        <f t="shared" si="222"/>
        <v>New</v>
      </c>
      <c r="T197" s="7"/>
      <c r="V197" s="15" t="str">
        <f t="shared" ref="V197:AC197" si="223">V1</f>
        <v>Operating</v>
      </c>
      <c r="W197" s="15" t="str">
        <f t="shared" si="223"/>
        <v>SPED</v>
      </c>
      <c r="X197" s="15" t="str">
        <f t="shared" si="223"/>
        <v>NSLP</v>
      </c>
      <c r="Y197" s="15" t="str">
        <f t="shared" si="223"/>
        <v>Other</v>
      </c>
      <c r="Z197" s="15" t="str">
        <f t="shared" si="223"/>
        <v>Title I</v>
      </c>
      <c r="AA197" s="15" t="str">
        <f t="shared" si="223"/>
        <v>Title II</v>
      </c>
      <c r="AB197" s="15" t="str">
        <f t="shared" si="223"/>
        <v>Title III</v>
      </c>
      <c r="AC197" s="15" t="str">
        <f t="shared" si="223"/>
        <v>MANN</v>
      </c>
    </row>
    <row r="198" spans="1:30" x14ac:dyDescent="0.35">
      <c r="A198" s="71" t="s">
        <v>155</v>
      </c>
      <c r="B198" s="120">
        <f>30000*1.05*1.02</f>
        <v>32130</v>
      </c>
      <c r="C198" s="5"/>
      <c r="D198" s="5"/>
      <c r="E198" s="5"/>
      <c r="F198" s="5"/>
      <c r="G198" s="5"/>
      <c r="H198" s="5"/>
      <c r="I198" s="5">
        <f t="shared" ref="I198:I207" si="224">SUM(B198:H198)</f>
        <v>32130</v>
      </c>
      <c r="J198" s="6"/>
      <c r="L198" s="120">
        <v>73000</v>
      </c>
      <c r="M198" s="5"/>
      <c r="N198" s="5"/>
      <c r="O198" s="5"/>
      <c r="P198" s="5"/>
      <c r="Q198" s="5"/>
      <c r="R198" s="5"/>
      <c r="S198" s="5">
        <f t="shared" ref="S198:S207" si="225">SUM(L198:R198)</f>
        <v>73000</v>
      </c>
      <c r="T198" s="6"/>
      <c r="V198" s="120">
        <f>B198+L198</f>
        <v>105130</v>
      </c>
      <c r="W198" s="120">
        <f t="shared" ref="W198:Y207" si="226">C198+M198</f>
        <v>0</v>
      </c>
      <c r="X198" s="120">
        <f t="shared" si="226"/>
        <v>0</v>
      </c>
      <c r="Y198" s="120">
        <f t="shared" si="226"/>
        <v>0</v>
      </c>
      <c r="Z198" s="5"/>
      <c r="AA198" s="5"/>
      <c r="AB198" s="5"/>
      <c r="AC198" s="5">
        <f t="shared" ref="AC198:AC207" si="227">SUM(V198:AB198)</f>
        <v>105130</v>
      </c>
    </row>
    <row r="199" spans="1:30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224"/>
        <v>0</v>
      </c>
      <c r="J199" s="11"/>
      <c r="L199" s="72">
        <v>12500</v>
      </c>
      <c r="M199" s="5"/>
      <c r="N199" s="5"/>
      <c r="O199" s="5"/>
      <c r="P199" s="5"/>
      <c r="Q199" s="5"/>
      <c r="R199" s="5"/>
      <c r="S199" s="5">
        <f t="shared" si="225"/>
        <v>12500</v>
      </c>
      <c r="T199" s="11"/>
      <c r="V199" s="120">
        <f t="shared" ref="V199:V207" si="228">B199+L199</f>
        <v>12500</v>
      </c>
      <c r="W199" s="120">
        <f t="shared" si="226"/>
        <v>0</v>
      </c>
      <c r="X199" s="120">
        <f t="shared" si="226"/>
        <v>0</v>
      </c>
      <c r="Y199" s="120">
        <f t="shared" si="226"/>
        <v>0</v>
      </c>
      <c r="Z199" s="5"/>
      <c r="AA199" s="5"/>
      <c r="AB199" s="5"/>
      <c r="AC199" s="5">
        <f t="shared" si="227"/>
        <v>12500</v>
      </c>
    </row>
    <row r="200" spans="1:30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224"/>
        <v>0</v>
      </c>
      <c r="J200" s="11"/>
      <c r="L200" s="73">
        <v>12000</v>
      </c>
      <c r="M200" s="5"/>
      <c r="N200" s="5"/>
      <c r="O200" s="5"/>
      <c r="P200" s="5"/>
      <c r="Q200" s="5"/>
      <c r="R200" s="5"/>
      <c r="S200" s="5">
        <f t="shared" si="225"/>
        <v>12000</v>
      </c>
      <c r="T200" s="11"/>
      <c r="V200" s="120">
        <f t="shared" si="228"/>
        <v>12000</v>
      </c>
      <c r="W200" s="120">
        <f t="shared" si="226"/>
        <v>0</v>
      </c>
      <c r="X200" s="120">
        <f t="shared" si="226"/>
        <v>0</v>
      </c>
      <c r="Y200" s="120">
        <f t="shared" si="226"/>
        <v>0</v>
      </c>
      <c r="Z200" s="5"/>
      <c r="AA200" s="5"/>
      <c r="AB200" s="5"/>
      <c r="AC200" s="5">
        <f t="shared" si="227"/>
        <v>12000</v>
      </c>
    </row>
    <row r="201" spans="1:30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224"/>
        <v>0</v>
      </c>
      <c r="J201" s="11"/>
      <c r="L201" s="73">
        <v>35000</v>
      </c>
      <c r="M201" s="5"/>
      <c r="N201" s="5"/>
      <c r="O201" s="5"/>
      <c r="P201" s="5"/>
      <c r="Q201" s="5"/>
      <c r="R201" s="5"/>
      <c r="S201" s="5">
        <f t="shared" si="225"/>
        <v>35000</v>
      </c>
      <c r="T201" s="11"/>
      <c r="V201" s="120">
        <f t="shared" si="228"/>
        <v>35000</v>
      </c>
      <c r="W201" s="120">
        <f t="shared" si="226"/>
        <v>0</v>
      </c>
      <c r="X201" s="120">
        <f t="shared" si="226"/>
        <v>0</v>
      </c>
      <c r="Y201" s="120">
        <f t="shared" si="226"/>
        <v>0</v>
      </c>
      <c r="Z201" s="5"/>
      <c r="AA201" s="5"/>
      <c r="AB201" s="5"/>
      <c r="AC201" s="5">
        <f t="shared" si="227"/>
        <v>35000</v>
      </c>
    </row>
    <row r="202" spans="1:30" x14ac:dyDescent="0.35">
      <c r="A202" s="26" t="s">
        <v>159</v>
      </c>
      <c r="B202" s="73">
        <v>6000</v>
      </c>
      <c r="C202" s="5"/>
      <c r="D202" s="5"/>
      <c r="E202" s="5"/>
      <c r="F202" s="5"/>
      <c r="G202" s="5"/>
      <c r="H202" s="5"/>
      <c r="I202" s="5">
        <f t="shared" si="224"/>
        <v>6000</v>
      </c>
      <c r="J202" s="11"/>
      <c r="L202" s="73">
        <v>7500</v>
      </c>
      <c r="M202" s="5"/>
      <c r="N202" s="5"/>
      <c r="O202" s="5"/>
      <c r="P202" s="5"/>
      <c r="Q202" s="5"/>
      <c r="R202" s="5"/>
      <c r="S202" s="5">
        <f t="shared" si="225"/>
        <v>7500</v>
      </c>
      <c r="T202" s="11"/>
      <c r="V202" s="120">
        <f t="shared" si="228"/>
        <v>13500</v>
      </c>
      <c r="W202" s="120">
        <f t="shared" si="226"/>
        <v>0</v>
      </c>
      <c r="X202" s="120">
        <f t="shared" si="226"/>
        <v>0</v>
      </c>
      <c r="Y202" s="120">
        <f t="shared" si="226"/>
        <v>0</v>
      </c>
      <c r="Z202" s="5"/>
      <c r="AA202" s="5"/>
      <c r="AB202" s="5"/>
      <c r="AC202" s="5">
        <f t="shared" si="227"/>
        <v>13500</v>
      </c>
    </row>
    <row r="203" spans="1:30" x14ac:dyDescent="0.35">
      <c r="A203" s="26" t="s">
        <v>160</v>
      </c>
      <c r="B203" s="72">
        <f>(2915*13)*1.05*1.03</f>
        <v>40983.442500000005</v>
      </c>
      <c r="C203" s="5"/>
      <c r="D203" s="5"/>
      <c r="E203" s="5"/>
      <c r="F203" s="5"/>
      <c r="G203" s="5"/>
      <c r="H203" s="5"/>
      <c r="I203" s="5">
        <f t="shared" si="224"/>
        <v>40983.442500000005</v>
      </c>
      <c r="J203" s="11"/>
      <c r="L203" s="72">
        <f>6800*11</f>
        <v>74800</v>
      </c>
      <c r="M203" s="5"/>
      <c r="N203" s="5"/>
      <c r="O203" s="5"/>
      <c r="P203" s="5"/>
      <c r="Q203" s="5"/>
      <c r="R203" s="5"/>
      <c r="S203" s="5">
        <f t="shared" si="225"/>
        <v>74800</v>
      </c>
      <c r="T203" s="11"/>
      <c r="V203" s="120">
        <f t="shared" si="228"/>
        <v>115783.4425</v>
      </c>
      <c r="W203" s="120">
        <f t="shared" si="226"/>
        <v>0</v>
      </c>
      <c r="X203" s="120">
        <f t="shared" si="226"/>
        <v>0</v>
      </c>
      <c r="Y203" s="120">
        <f t="shared" si="226"/>
        <v>0</v>
      </c>
      <c r="Z203" s="5"/>
      <c r="AA203" s="5"/>
      <c r="AB203" s="5"/>
      <c r="AC203" s="5">
        <f t="shared" si="227"/>
        <v>115783.4425</v>
      </c>
    </row>
    <row r="204" spans="1:30" x14ac:dyDescent="0.35">
      <c r="A204" s="26" t="s">
        <v>162</v>
      </c>
      <c r="B204" s="10">
        <v>52000</v>
      </c>
      <c r="C204" s="5"/>
      <c r="D204" s="5"/>
      <c r="E204" s="5"/>
      <c r="F204" s="5"/>
      <c r="G204" s="5"/>
      <c r="H204" s="5"/>
      <c r="I204" s="5">
        <f t="shared" si="224"/>
        <v>52000</v>
      </c>
      <c r="J204" s="11"/>
      <c r="L204" s="10">
        <v>25000</v>
      </c>
      <c r="M204" s="5"/>
      <c r="N204" s="5"/>
      <c r="O204" s="5"/>
      <c r="P204" s="5"/>
      <c r="Q204" s="5"/>
      <c r="R204" s="5"/>
      <c r="S204" s="5">
        <f t="shared" si="225"/>
        <v>25000</v>
      </c>
      <c r="T204" s="11"/>
      <c r="V204" s="120">
        <f t="shared" si="228"/>
        <v>77000</v>
      </c>
      <c r="W204" s="120">
        <f t="shared" si="226"/>
        <v>0</v>
      </c>
      <c r="X204" s="120">
        <f t="shared" si="226"/>
        <v>0</v>
      </c>
      <c r="Y204" s="120">
        <f t="shared" si="226"/>
        <v>0</v>
      </c>
      <c r="Z204" s="5"/>
      <c r="AA204" s="5"/>
      <c r="AB204" s="5"/>
      <c r="AC204" s="5">
        <f t="shared" si="227"/>
        <v>77000</v>
      </c>
    </row>
    <row r="205" spans="1:30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224"/>
        <v>0</v>
      </c>
      <c r="J205" s="11"/>
      <c r="L205" s="10">
        <v>15000</v>
      </c>
      <c r="M205" s="5"/>
      <c r="N205" s="5"/>
      <c r="O205" s="5"/>
      <c r="P205" s="5"/>
      <c r="Q205" s="5"/>
      <c r="R205" s="5"/>
      <c r="S205" s="5">
        <f t="shared" si="225"/>
        <v>15000</v>
      </c>
      <c r="T205" s="11"/>
      <c r="V205" s="120">
        <f t="shared" si="228"/>
        <v>15000</v>
      </c>
      <c r="W205" s="120">
        <f t="shared" si="226"/>
        <v>0</v>
      </c>
      <c r="X205" s="120">
        <f t="shared" si="226"/>
        <v>0</v>
      </c>
      <c r="Y205" s="120">
        <f t="shared" si="226"/>
        <v>0</v>
      </c>
      <c r="Z205" s="5"/>
      <c r="AA205" s="5"/>
      <c r="AB205" s="5"/>
      <c r="AC205" s="5">
        <f t="shared" si="227"/>
        <v>15000</v>
      </c>
    </row>
    <row r="206" spans="1:30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224"/>
        <v>0</v>
      </c>
      <c r="J206" s="11"/>
      <c r="L206" s="10">
        <f>((1000*12)+6000)*1.05</f>
        <v>18900</v>
      </c>
      <c r="M206" s="5"/>
      <c r="N206" s="5"/>
      <c r="O206" s="5"/>
      <c r="P206" s="5"/>
      <c r="Q206" s="5"/>
      <c r="R206" s="5"/>
      <c r="S206" s="5">
        <f t="shared" si="225"/>
        <v>18900</v>
      </c>
      <c r="T206" s="11"/>
      <c r="V206" s="120">
        <f t="shared" si="228"/>
        <v>18900</v>
      </c>
      <c r="W206" s="120">
        <f t="shared" si="226"/>
        <v>0</v>
      </c>
      <c r="X206" s="120">
        <f t="shared" si="226"/>
        <v>0</v>
      </c>
      <c r="Y206" s="120">
        <f t="shared" si="226"/>
        <v>0</v>
      </c>
      <c r="Z206" s="5"/>
      <c r="AA206" s="5"/>
      <c r="AB206" s="5"/>
      <c r="AC206" s="5">
        <f t="shared" si="227"/>
        <v>18900</v>
      </c>
    </row>
    <row r="207" spans="1:30" x14ac:dyDescent="0.35">
      <c r="A207" s="69" t="s">
        <v>165</v>
      </c>
      <c r="B207" s="10"/>
      <c r="C207" s="5"/>
      <c r="D207" s="5"/>
      <c r="E207" s="5"/>
      <c r="F207" s="5"/>
      <c r="G207" s="5"/>
      <c r="H207" s="5"/>
      <c r="I207" s="5">
        <f t="shared" si="224"/>
        <v>0</v>
      </c>
      <c r="J207" s="11"/>
      <c r="L207" s="10">
        <f>((1000*12)+8500)*1.05</f>
        <v>21525</v>
      </c>
      <c r="M207" s="5"/>
      <c r="N207" s="5"/>
      <c r="O207" s="5"/>
      <c r="P207" s="5"/>
      <c r="Q207" s="5"/>
      <c r="R207" s="5"/>
      <c r="S207" s="5">
        <f t="shared" si="225"/>
        <v>21525</v>
      </c>
      <c r="T207" s="11"/>
      <c r="V207" s="120">
        <f t="shared" si="228"/>
        <v>21525</v>
      </c>
      <c r="W207" s="120">
        <f t="shared" si="226"/>
        <v>0</v>
      </c>
      <c r="X207" s="120">
        <f t="shared" si="226"/>
        <v>0</v>
      </c>
      <c r="Y207" s="120">
        <f t="shared" si="226"/>
        <v>0</v>
      </c>
      <c r="Z207" s="5"/>
      <c r="AA207" s="5"/>
      <c r="AB207" s="5"/>
      <c r="AC207" s="5">
        <f t="shared" si="227"/>
        <v>21525</v>
      </c>
    </row>
    <row r="208" spans="1:30" x14ac:dyDescent="0.35">
      <c r="A208" s="62" t="s">
        <v>183</v>
      </c>
      <c r="B208" s="63">
        <f t="shared" ref="B208:I208" si="229">SUM(B198:B207)</f>
        <v>131113.4425</v>
      </c>
      <c r="C208" s="63">
        <f t="shared" si="229"/>
        <v>0</v>
      </c>
      <c r="D208" s="63">
        <f t="shared" si="229"/>
        <v>0</v>
      </c>
      <c r="E208" s="63">
        <f t="shared" si="229"/>
        <v>0</v>
      </c>
      <c r="F208" s="63">
        <f t="shared" si="229"/>
        <v>0</v>
      </c>
      <c r="G208" s="63">
        <f t="shared" si="229"/>
        <v>0</v>
      </c>
      <c r="H208" s="63">
        <f t="shared" si="229"/>
        <v>0</v>
      </c>
      <c r="I208" s="63">
        <f t="shared" si="229"/>
        <v>131113.4425</v>
      </c>
      <c r="J208" s="7"/>
      <c r="L208" s="63">
        <f t="shared" ref="L208:S208" si="230">SUM(L198:L207)</f>
        <v>295225</v>
      </c>
      <c r="M208" s="63">
        <f t="shared" si="230"/>
        <v>0</v>
      </c>
      <c r="N208" s="63">
        <f t="shared" si="230"/>
        <v>0</v>
      </c>
      <c r="O208" s="63">
        <f t="shared" si="230"/>
        <v>0</v>
      </c>
      <c r="P208" s="63">
        <f t="shared" si="230"/>
        <v>0</v>
      </c>
      <c r="Q208" s="63">
        <f t="shared" si="230"/>
        <v>0</v>
      </c>
      <c r="R208" s="63">
        <f t="shared" si="230"/>
        <v>0</v>
      </c>
      <c r="S208" s="63">
        <f t="shared" si="230"/>
        <v>295225</v>
      </c>
      <c r="T208" s="7"/>
      <c r="V208" s="63">
        <f t="shared" ref="V208:AC208" si="231">SUM(V198:V207)</f>
        <v>426338.4425</v>
      </c>
      <c r="W208" s="63">
        <f t="shared" si="231"/>
        <v>0</v>
      </c>
      <c r="X208" s="63">
        <f t="shared" si="231"/>
        <v>0</v>
      </c>
      <c r="Y208" s="63">
        <f t="shared" si="231"/>
        <v>0</v>
      </c>
      <c r="Z208" s="63">
        <f t="shared" si="231"/>
        <v>0</v>
      </c>
      <c r="AA208" s="63">
        <f t="shared" si="231"/>
        <v>0</v>
      </c>
      <c r="AB208" s="63">
        <f t="shared" si="231"/>
        <v>0</v>
      </c>
      <c r="AC208" s="63">
        <f t="shared" si="231"/>
        <v>426338.4425</v>
      </c>
    </row>
    <row r="209" spans="1:29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  <c r="L209" s="5"/>
      <c r="M209" s="5"/>
      <c r="N209" s="5"/>
      <c r="O209" s="5"/>
      <c r="P209" s="5"/>
      <c r="Q209" s="5"/>
      <c r="R209" s="5"/>
      <c r="S209" s="5"/>
      <c r="T209" s="7"/>
      <c r="V209" s="5"/>
      <c r="W209" s="5"/>
      <c r="X209" s="5"/>
      <c r="Y209" s="5"/>
      <c r="Z209" s="5"/>
      <c r="AA209" s="5"/>
      <c r="AB209" s="5"/>
      <c r="AC209" s="5"/>
    </row>
    <row r="210" spans="1:29" x14ac:dyDescent="0.35">
      <c r="A210" s="62" t="s">
        <v>166</v>
      </c>
      <c r="B210" s="63">
        <f>B142+B154+B170+B196+B208</f>
        <v>4161315.3057200005</v>
      </c>
      <c r="C210" s="63">
        <f t="shared" ref="C210:H210" si="232">C142+C154+C170+C196+C208</f>
        <v>645157.95750000002</v>
      </c>
      <c r="D210" s="63">
        <f t="shared" si="232"/>
        <v>549268.6</v>
      </c>
      <c r="E210" s="63">
        <f t="shared" si="232"/>
        <v>0</v>
      </c>
      <c r="F210" s="63">
        <f t="shared" si="232"/>
        <v>0</v>
      </c>
      <c r="G210" s="63">
        <f t="shared" si="232"/>
        <v>0</v>
      </c>
      <c r="H210" s="63">
        <f t="shared" si="232"/>
        <v>0</v>
      </c>
      <c r="I210" s="63">
        <f>I142+I154+I170+I196+I208</f>
        <v>5355741.8632199988</v>
      </c>
      <c r="J210" s="7"/>
      <c r="L210" s="63">
        <f>L142+L154+L170+L196+L208</f>
        <v>5433231.8250000002</v>
      </c>
      <c r="M210" s="63">
        <f t="shared" ref="M210:R210" si="233">M142+M154+M170+M196+M208</f>
        <v>584557.5</v>
      </c>
      <c r="N210" s="63">
        <f t="shared" si="233"/>
        <v>898062.7</v>
      </c>
      <c r="O210" s="63">
        <f t="shared" si="233"/>
        <v>0</v>
      </c>
      <c r="P210" s="63">
        <f t="shared" si="233"/>
        <v>0</v>
      </c>
      <c r="Q210" s="63">
        <f t="shared" si="233"/>
        <v>0</v>
      </c>
      <c r="R210" s="63">
        <f t="shared" si="233"/>
        <v>0</v>
      </c>
      <c r="S210" s="63">
        <f>S142+S154+S170+S196+S208</f>
        <v>6915852.0249999994</v>
      </c>
      <c r="T210" s="7"/>
      <c r="V210" s="63">
        <f>V142+V154+V170+V196+V208</f>
        <v>9594547.1307199989</v>
      </c>
      <c r="W210" s="63">
        <f t="shared" ref="W210:AB210" si="234">W142+W154+W170+W196+W208</f>
        <v>1229715.4575</v>
      </c>
      <c r="X210" s="63">
        <f t="shared" si="234"/>
        <v>1447331.3000000003</v>
      </c>
      <c r="Y210" s="63">
        <f t="shared" si="234"/>
        <v>0</v>
      </c>
      <c r="Z210" s="63">
        <f t="shared" si="234"/>
        <v>0</v>
      </c>
      <c r="AA210" s="63">
        <f t="shared" si="234"/>
        <v>0</v>
      </c>
      <c r="AB210" s="63">
        <f t="shared" si="234"/>
        <v>0</v>
      </c>
      <c r="AC210" s="63">
        <f>AC142+AC154+AC170+AC196+AC208</f>
        <v>12271593.888220001</v>
      </c>
    </row>
    <row r="211" spans="1:29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  <c r="L211" s="47"/>
      <c r="M211" s="47"/>
      <c r="N211" s="47"/>
      <c r="O211" s="47"/>
      <c r="P211" s="47"/>
      <c r="Q211" s="47"/>
      <c r="R211" s="47"/>
      <c r="S211" s="47"/>
      <c r="T211" s="7"/>
      <c r="V211" s="47"/>
      <c r="W211" s="47"/>
      <c r="X211" s="47"/>
      <c r="Y211" s="47"/>
      <c r="Z211" s="47"/>
      <c r="AA211" s="47"/>
      <c r="AB211" s="47"/>
      <c r="AC211" s="47"/>
    </row>
    <row r="212" spans="1:29" x14ac:dyDescent="0.35">
      <c r="A212" s="38" t="s">
        <v>167</v>
      </c>
      <c r="B212" s="9">
        <f>1195*B17</f>
        <v>555675</v>
      </c>
      <c r="C212" s="9"/>
      <c r="D212" s="9"/>
      <c r="E212" s="9"/>
      <c r="F212" s="9"/>
      <c r="G212" s="9"/>
      <c r="H212" s="9"/>
      <c r="I212" s="9">
        <f t="shared" ref="I212:I216" si="235">SUM(B212:H212)</f>
        <v>555675</v>
      </c>
      <c r="J212" s="11"/>
      <c r="L212" s="9">
        <f>1850*L17</f>
        <v>1418950</v>
      </c>
      <c r="M212" s="9"/>
      <c r="N212" s="9"/>
      <c r="O212" s="9"/>
      <c r="P212" s="9"/>
      <c r="Q212" s="9"/>
      <c r="R212" s="9"/>
      <c r="S212" s="9">
        <f t="shared" ref="S212:S216" si="236">SUM(L212:R212)</f>
        <v>1418950</v>
      </c>
      <c r="T212" s="52">
        <v>1850</v>
      </c>
      <c r="V212" s="9">
        <f>B212+L212</f>
        <v>1974625</v>
      </c>
      <c r="W212" s="9">
        <f t="shared" ref="W212:Y216" si="237">C212+M212</f>
        <v>0</v>
      </c>
      <c r="X212" s="9">
        <f t="shared" si="237"/>
        <v>0</v>
      </c>
      <c r="Y212" s="9">
        <f t="shared" si="237"/>
        <v>0</v>
      </c>
      <c r="Z212" s="9"/>
      <c r="AA212" s="9"/>
      <c r="AB212" s="9"/>
      <c r="AC212" s="9">
        <f t="shared" ref="AC212:AC216" si="238">SUM(V212:AB212)</f>
        <v>1974625</v>
      </c>
    </row>
    <row r="213" spans="1:29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235"/>
        <v>0</v>
      </c>
      <c r="J213" s="11"/>
      <c r="L213" s="9">
        <v>0</v>
      </c>
      <c r="M213" s="9"/>
      <c r="N213" s="9"/>
      <c r="O213" s="9"/>
      <c r="P213" s="9"/>
      <c r="Q213" s="9"/>
      <c r="R213" s="9"/>
      <c r="S213" s="9">
        <f t="shared" si="236"/>
        <v>0</v>
      </c>
      <c r="T213" s="11"/>
      <c r="V213" s="9">
        <f t="shared" ref="V213:V216" si="239">B213+L213</f>
        <v>0</v>
      </c>
      <c r="W213" s="9">
        <f t="shared" si="237"/>
        <v>0</v>
      </c>
      <c r="X213" s="9">
        <f t="shared" si="237"/>
        <v>0</v>
      </c>
      <c r="Y213" s="9">
        <f t="shared" si="237"/>
        <v>0</v>
      </c>
      <c r="Z213" s="9"/>
      <c r="AA213" s="9"/>
      <c r="AB213" s="9"/>
      <c r="AC213" s="9">
        <f t="shared" si="238"/>
        <v>0</v>
      </c>
    </row>
    <row r="214" spans="1:29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235"/>
        <v>0</v>
      </c>
      <c r="J214" s="119"/>
      <c r="L214" s="9">
        <v>0</v>
      </c>
      <c r="M214" s="9"/>
      <c r="N214" s="9"/>
      <c r="O214" s="9"/>
      <c r="P214" s="9"/>
      <c r="Q214" s="9"/>
      <c r="R214" s="9"/>
      <c r="S214" s="9">
        <f t="shared" si="236"/>
        <v>0</v>
      </c>
      <c r="T214" s="119"/>
      <c r="V214" s="9">
        <f t="shared" si="239"/>
        <v>0</v>
      </c>
      <c r="W214" s="9">
        <f t="shared" si="237"/>
        <v>0</v>
      </c>
      <c r="X214" s="9">
        <f t="shared" si="237"/>
        <v>0</v>
      </c>
      <c r="Y214" s="9">
        <f t="shared" si="237"/>
        <v>0</v>
      </c>
      <c r="Z214" s="9"/>
      <c r="AA214" s="9"/>
      <c r="AB214" s="9"/>
      <c r="AC214" s="9">
        <f t="shared" si="238"/>
        <v>0</v>
      </c>
    </row>
    <row r="215" spans="1:29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235"/>
        <v>0</v>
      </c>
      <c r="J215" s="11"/>
      <c r="L215" s="9">
        <v>0</v>
      </c>
      <c r="M215" s="9"/>
      <c r="N215" s="9"/>
      <c r="O215" s="9"/>
      <c r="P215" s="9"/>
      <c r="Q215" s="9"/>
      <c r="R215" s="9"/>
      <c r="S215" s="9">
        <f t="shared" si="236"/>
        <v>0</v>
      </c>
      <c r="T215" s="11"/>
      <c r="V215" s="9">
        <f t="shared" si="239"/>
        <v>0</v>
      </c>
      <c r="W215" s="9">
        <f t="shared" si="237"/>
        <v>0</v>
      </c>
      <c r="X215" s="9">
        <f t="shared" si="237"/>
        <v>0</v>
      </c>
      <c r="Y215" s="9">
        <f t="shared" si="237"/>
        <v>0</v>
      </c>
      <c r="Z215" s="9"/>
      <c r="AA215" s="9"/>
      <c r="AB215" s="9"/>
      <c r="AC215" s="9">
        <f t="shared" si="238"/>
        <v>0</v>
      </c>
    </row>
    <row r="216" spans="1:29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235"/>
        <v>0</v>
      </c>
      <c r="J216" s="11"/>
      <c r="L216" s="9">
        <v>0</v>
      </c>
      <c r="M216" s="9">
        <v>0</v>
      </c>
      <c r="N216" s="9">
        <v>0</v>
      </c>
      <c r="O216" s="9"/>
      <c r="P216" s="9">
        <v>0</v>
      </c>
      <c r="Q216" s="9">
        <v>0</v>
      </c>
      <c r="R216" s="9">
        <v>0</v>
      </c>
      <c r="S216" s="9">
        <f t="shared" si="236"/>
        <v>0</v>
      </c>
      <c r="T216" s="11"/>
      <c r="V216" s="9">
        <f t="shared" si="239"/>
        <v>0</v>
      </c>
      <c r="W216" s="9">
        <f t="shared" si="237"/>
        <v>0</v>
      </c>
      <c r="X216" s="9">
        <f t="shared" si="237"/>
        <v>0</v>
      </c>
      <c r="Y216" s="9">
        <f t="shared" si="237"/>
        <v>0</v>
      </c>
      <c r="Z216" s="9">
        <v>0</v>
      </c>
      <c r="AA216" s="9">
        <v>0</v>
      </c>
      <c r="AB216" s="9">
        <v>0</v>
      </c>
      <c r="AC216" s="9">
        <f t="shared" si="238"/>
        <v>0</v>
      </c>
    </row>
    <row r="217" spans="1:29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ref="I217" si="240">SUM(B217:H217)</f>
        <v>0</v>
      </c>
      <c r="J217" s="11"/>
      <c r="L217" s="30"/>
      <c r="M217" s="30"/>
      <c r="N217" s="30"/>
      <c r="O217" s="30"/>
      <c r="P217" s="30"/>
      <c r="Q217" s="30"/>
      <c r="R217" s="30"/>
      <c r="S217" s="5">
        <f t="shared" ref="S217" si="241">SUM(L217:R217)</f>
        <v>0</v>
      </c>
      <c r="T217" s="11"/>
      <c r="V217" s="9">
        <f t="shared" ref="V217" si="242">B217+L217</f>
        <v>0</v>
      </c>
      <c r="W217" s="9">
        <f t="shared" ref="W217:Y217" si="243">C217+M217</f>
        <v>0</v>
      </c>
      <c r="X217" s="9">
        <f t="shared" si="243"/>
        <v>0</v>
      </c>
      <c r="Y217" s="9">
        <f t="shared" si="243"/>
        <v>0</v>
      </c>
      <c r="Z217" s="30"/>
      <c r="AA217" s="30"/>
      <c r="AB217" s="30"/>
      <c r="AC217" s="5">
        <f t="shared" ref="AC217" si="244">SUM(V217:AB217)</f>
        <v>0</v>
      </c>
    </row>
    <row r="218" spans="1:29" ht="15" thickBot="1" x14ac:dyDescent="0.4">
      <c r="A218" s="76" t="s">
        <v>168</v>
      </c>
      <c r="B218" s="77">
        <f t="shared" ref="B218:I218" si="245">B97-B210-B212-B213-B215-B214</f>
        <v>426348.69427999947</v>
      </c>
      <c r="C218" s="77">
        <f t="shared" si="245"/>
        <v>-230295.95750000002</v>
      </c>
      <c r="D218" s="77">
        <f t="shared" si="245"/>
        <v>16878.20000000007</v>
      </c>
      <c r="E218" s="77">
        <f t="shared" si="245"/>
        <v>0</v>
      </c>
      <c r="F218" s="77">
        <f t="shared" si="245"/>
        <v>0</v>
      </c>
      <c r="G218" s="77">
        <f t="shared" si="245"/>
        <v>0</v>
      </c>
      <c r="H218" s="77">
        <f t="shared" si="245"/>
        <v>0</v>
      </c>
      <c r="I218" s="77">
        <f t="shared" si="245"/>
        <v>212930.93678000104</v>
      </c>
      <c r="J218" s="7"/>
      <c r="L218" s="77">
        <f t="shared" ref="L218:S218" si="246">L97-L210-L212-L213-L215-L214</f>
        <v>476503.17499999981</v>
      </c>
      <c r="M218" s="77">
        <f t="shared" si="246"/>
        <v>-499057.5</v>
      </c>
      <c r="N218" s="77">
        <f t="shared" si="246"/>
        <v>35775.140000000014</v>
      </c>
      <c r="O218" s="77">
        <f t="shared" si="246"/>
        <v>0</v>
      </c>
      <c r="P218" s="77">
        <f t="shared" si="246"/>
        <v>0</v>
      </c>
      <c r="Q218" s="77">
        <f t="shared" si="246"/>
        <v>0</v>
      </c>
      <c r="R218" s="77">
        <f t="shared" si="246"/>
        <v>0</v>
      </c>
      <c r="S218" s="77">
        <f t="shared" si="246"/>
        <v>13220.81500000041</v>
      </c>
      <c r="T218" s="7"/>
      <c r="V218" s="77">
        <f t="shared" ref="V218:AC218" si="247">V97-V210-V212-V213-V215-V214</f>
        <v>902851.86928000115</v>
      </c>
      <c r="W218" s="77">
        <f t="shared" si="247"/>
        <v>-729353.45750000002</v>
      </c>
      <c r="X218" s="77">
        <f t="shared" si="247"/>
        <v>52653.339999999618</v>
      </c>
      <c r="Y218" s="77">
        <f t="shared" si="247"/>
        <v>0</v>
      </c>
      <c r="Z218" s="77">
        <f t="shared" si="247"/>
        <v>0</v>
      </c>
      <c r="AA218" s="77">
        <f t="shared" si="247"/>
        <v>0</v>
      </c>
      <c r="AB218" s="77">
        <f t="shared" si="247"/>
        <v>0</v>
      </c>
      <c r="AC218" s="77">
        <f t="shared" si="247"/>
        <v>226151.75177999958</v>
      </c>
    </row>
    <row r="219" spans="1:29" x14ac:dyDescent="0.35">
      <c r="A219" s="78"/>
      <c r="B219" s="79">
        <f t="shared" ref="B219:I219" si="248">B218/(B97)</f>
        <v>8.2893368350793029E-2</v>
      </c>
      <c r="C219" s="79">
        <f t="shared" si="248"/>
        <v>-0.55511461040056698</v>
      </c>
      <c r="D219" s="79">
        <f t="shared" si="248"/>
        <v>2.9812409078352236E-2</v>
      </c>
      <c r="E219" s="79" t="e">
        <f t="shared" si="248"/>
        <v>#DIV/0!</v>
      </c>
      <c r="F219" s="79" t="e">
        <f t="shared" si="248"/>
        <v>#DIV/0!</v>
      </c>
      <c r="G219" s="79" t="e">
        <f t="shared" si="248"/>
        <v>#DIV/0!</v>
      </c>
      <c r="H219" s="79" t="e">
        <f t="shared" si="248"/>
        <v>#DIV/0!</v>
      </c>
      <c r="I219" s="79">
        <f t="shared" si="248"/>
        <v>3.4767936722992943E-2</v>
      </c>
      <c r="J219" s="7"/>
      <c r="L219" s="79">
        <f t="shared" ref="L219:S219" si="249">L218/(L97)</f>
        <v>6.5018918810127571E-2</v>
      </c>
      <c r="M219" s="79">
        <f t="shared" si="249"/>
        <v>-5.8369298245614036</v>
      </c>
      <c r="N219" s="79">
        <f t="shared" si="249"/>
        <v>3.8309799054619606E-2</v>
      </c>
      <c r="O219" s="79" t="e">
        <f t="shared" si="249"/>
        <v>#DIV/0!</v>
      </c>
      <c r="P219" s="79" t="e">
        <f t="shared" si="249"/>
        <v>#DIV/0!</v>
      </c>
      <c r="Q219" s="79" t="e">
        <f t="shared" si="249"/>
        <v>#DIV/0!</v>
      </c>
      <c r="R219" s="79" t="e">
        <f t="shared" si="249"/>
        <v>#DIV/0!</v>
      </c>
      <c r="S219" s="79">
        <f t="shared" si="249"/>
        <v>1.5837061365778929E-3</v>
      </c>
      <c r="T219" s="7"/>
      <c r="V219" s="79">
        <f t="shared" ref="V219:AC219" si="250">V218/(V97)</f>
        <v>7.2390164521813072E-2</v>
      </c>
      <c r="W219" s="79">
        <f t="shared" si="250"/>
        <v>-1.4576515752595121</v>
      </c>
      <c r="X219" s="79">
        <f t="shared" si="250"/>
        <v>3.5102586117148254E-2</v>
      </c>
      <c r="Y219" s="79" t="e">
        <f t="shared" si="250"/>
        <v>#DIV/0!</v>
      </c>
      <c r="Z219" s="79" t="e">
        <f t="shared" si="250"/>
        <v>#DIV/0!</v>
      </c>
      <c r="AA219" s="79" t="e">
        <f t="shared" si="250"/>
        <v>#DIV/0!</v>
      </c>
      <c r="AB219" s="79" t="e">
        <f t="shared" si="250"/>
        <v>#DIV/0!</v>
      </c>
      <c r="AC219" s="79">
        <f t="shared" si="250"/>
        <v>1.5626448313515524E-2</v>
      </c>
    </row>
    <row r="220" spans="1:29" x14ac:dyDescent="0.35">
      <c r="B220" s="80"/>
      <c r="C220" s="80"/>
      <c r="D220" s="80"/>
      <c r="E220" s="80"/>
      <c r="F220" s="80"/>
      <c r="G220" s="80"/>
      <c r="H220" s="80"/>
      <c r="I220" s="80"/>
      <c r="L220" s="80"/>
      <c r="M220" s="80"/>
      <c r="N220" s="80"/>
      <c r="O220" s="80"/>
      <c r="P220" s="80"/>
      <c r="Q220" s="80"/>
      <c r="R220" s="80"/>
      <c r="S220" s="80"/>
      <c r="V220" s="80"/>
      <c r="W220" s="80"/>
      <c r="X220" s="80"/>
      <c r="Y220" s="80"/>
      <c r="Z220" s="80"/>
      <c r="AA220" s="80"/>
      <c r="AB220" s="80"/>
      <c r="AC220" s="80"/>
    </row>
    <row r="221" spans="1:29" x14ac:dyDescent="0.35">
      <c r="A221" s="1" t="str">
        <f t="shared" ref="A221:I221" si="251">A1</f>
        <v>Mater Academy of Northern Nevada (MANN) - FY26</v>
      </c>
      <c r="B221" s="1" t="str">
        <f t="shared" si="251"/>
        <v>Operating</v>
      </c>
      <c r="C221" s="1" t="str">
        <f t="shared" si="251"/>
        <v>SPED</v>
      </c>
      <c r="D221" s="1" t="str">
        <f t="shared" si="251"/>
        <v>NSLP</v>
      </c>
      <c r="E221" s="1" t="str">
        <f t="shared" si="251"/>
        <v>Other</v>
      </c>
      <c r="F221" s="1" t="str">
        <f t="shared" si="251"/>
        <v>Title I</v>
      </c>
      <c r="G221" s="1" t="str">
        <f t="shared" si="251"/>
        <v>Title II</v>
      </c>
      <c r="H221" s="1" t="str">
        <f t="shared" si="251"/>
        <v>Title III</v>
      </c>
      <c r="I221" s="1" t="str">
        <f t="shared" si="251"/>
        <v>B&amp;G</v>
      </c>
      <c r="J221" s="2"/>
      <c r="L221" s="1" t="str">
        <f t="shared" ref="L221:S221" si="252">L1</f>
        <v>Operating</v>
      </c>
      <c r="M221" s="1" t="str">
        <f t="shared" si="252"/>
        <v>SPED</v>
      </c>
      <c r="N221" s="1" t="str">
        <f t="shared" si="252"/>
        <v>NSLP</v>
      </c>
      <c r="O221" s="1" t="str">
        <f t="shared" si="252"/>
        <v>Other</v>
      </c>
      <c r="P221" s="1" t="str">
        <f t="shared" si="252"/>
        <v>Title I</v>
      </c>
      <c r="Q221" s="1" t="str">
        <f t="shared" si="252"/>
        <v>Title II</v>
      </c>
      <c r="R221" s="1" t="str">
        <f t="shared" si="252"/>
        <v>Title III</v>
      </c>
      <c r="S221" s="1" t="str">
        <f t="shared" si="252"/>
        <v>New</v>
      </c>
      <c r="T221" s="2"/>
      <c r="V221" s="1" t="str">
        <f t="shared" ref="V221:AC221" si="253">V1</f>
        <v>Operating</v>
      </c>
      <c r="W221" s="1" t="str">
        <f t="shared" si="253"/>
        <v>SPED</v>
      </c>
      <c r="X221" s="1" t="str">
        <f t="shared" si="253"/>
        <v>NSLP</v>
      </c>
      <c r="Y221" s="1" t="str">
        <f t="shared" si="253"/>
        <v>Other</v>
      </c>
      <c r="Z221" s="1" t="str">
        <f t="shared" si="253"/>
        <v>Title I</v>
      </c>
      <c r="AA221" s="1" t="str">
        <f t="shared" si="253"/>
        <v>Title II</v>
      </c>
      <c r="AB221" s="1" t="str">
        <f t="shared" si="253"/>
        <v>Title III</v>
      </c>
      <c r="AC221" s="1" t="str">
        <f t="shared" si="253"/>
        <v>MANN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topLeftCell="A186" zoomScale="75" zoomScaleNormal="75" workbookViewId="0">
      <pane xSplit="1" topLeftCell="B1" activePane="topRight" state="frozen"/>
      <selection activeCell="C185" sqref="C185"/>
      <selection pane="topRight" activeCell="B4" sqref="B4:T216"/>
    </sheetView>
  </sheetViews>
  <sheetFormatPr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  <col min="12" max="15" width="15.6328125" style="81" customWidth="1"/>
    <col min="16" max="18" width="15.6328125" style="81" hidden="1" customWidth="1"/>
    <col min="19" max="19" width="15.6328125" style="81" customWidth="1"/>
    <col min="20" max="20" width="46" style="54" customWidth="1"/>
    <col min="22" max="25" width="15.6328125" style="81" customWidth="1"/>
    <col min="26" max="28" width="15.6328125" style="81" hidden="1" customWidth="1"/>
    <col min="29" max="29" width="15.6328125" style="81" customWidth="1"/>
  </cols>
  <sheetData>
    <row r="1" spans="1:29" x14ac:dyDescent="0.35">
      <c r="A1" s="1" t="s">
        <v>352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325</v>
      </c>
      <c r="J1" s="2"/>
      <c r="L1" s="1" t="s">
        <v>0</v>
      </c>
      <c r="M1" s="1" t="s">
        <v>1</v>
      </c>
      <c r="N1" s="1" t="s">
        <v>2</v>
      </c>
      <c r="O1" s="1" t="s">
        <v>277</v>
      </c>
      <c r="P1" s="1" t="s">
        <v>79</v>
      </c>
      <c r="Q1" s="1" t="s">
        <v>80</v>
      </c>
      <c r="R1" s="1" t="s">
        <v>81</v>
      </c>
      <c r="S1" s="1" t="s">
        <v>326</v>
      </c>
      <c r="T1" s="2"/>
      <c r="V1" s="1" t="s">
        <v>0</v>
      </c>
      <c r="W1" s="1" t="s">
        <v>1</v>
      </c>
      <c r="X1" s="1" t="s">
        <v>2</v>
      </c>
      <c r="Y1" s="1" t="s">
        <v>277</v>
      </c>
      <c r="Z1" s="1" t="s">
        <v>79</v>
      </c>
      <c r="AA1" s="1" t="s">
        <v>80</v>
      </c>
      <c r="AB1" s="1" t="s">
        <v>81</v>
      </c>
      <c r="AC1" s="1" t="s">
        <v>283</v>
      </c>
    </row>
    <row r="2" spans="1:29" x14ac:dyDescent="0.35">
      <c r="A2" s="4" t="s">
        <v>3</v>
      </c>
      <c r="B2" s="5">
        <v>9695</v>
      </c>
      <c r="C2" s="5"/>
      <c r="D2" s="5"/>
      <c r="E2" s="5"/>
      <c r="F2" s="5"/>
      <c r="G2" s="5"/>
      <c r="H2" s="5"/>
      <c r="I2" s="5">
        <f>SUM(B2:H2)</f>
        <v>9695</v>
      </c>
      <c r="J2" s="6"/>
      <c r="L2" s="5">
        <f>B2</f>
        <v>9695</v>
      </c>
      <c r="M2" s="5"/>
      <c r="N2" s="5"/>
      <c r="O2" s="5"/>
      <c r="P2" s="5"/>
      <c r="Q2" s="5"/>
      <c r="R2" s="5"/>
      <c r="S2" s="5">
        <f>SUM(L2:R2)</f>
        <v>9695</v>
      </c>
      <c r="T2" s="6"/>
      <c r="V2" s="5">
        <f>L2</f>
        <v>9695</v>
      </c>
      <c r="W2" s="5"/>
      <c r="X2" s="5"/>
      <c r="Y2" s="5"/>
      <c r="Z2" s="5"/>
      <c r="AA2" s="5"/>
      <c r="AB2" s="5"/>
      <c r="AC2" s="5">
        <f>SUM(V2:AB2)</f>
        <v>9695</v>
      </c>
    </row>
    <row r="3" spans="1:29" x14ac:dyDescent="0.35">
      <c r="A3" s="8" t="s">
        <v>4</v>
      </c>
      <c r="B3" s="9">
        <f t="shared" ref="B3" si="0">B4+B5+B6+B7+B8+B9+B10+B11+B12+B13+B14+B15+B16</f>
        <v>465</v>
      </c>
      <c r="C3" s="9"/>
      <c r="D3" s="9"/>
      <c r="E3" s="9"/>
      <c r="F3" s="9"/>
      <c r="G3" s="9"/>
      <c r="H3" s="9"/>
      <c r="I3" s="9">
        <f t="shared" ref="I3:I16" si="1">SUM(B3:H3)</f>
        <v>465</v>
      </c>
      <c r="J3" s="6"/>
      <c r="L3" s="9">
        <f t="shared" ref="L3" si="2">L4+L5+L6+L7+L8+L9+L10+L11+L12+L13+L14+L15+L16</f>
        <v>943</v>
      </c>
      <c r="M3" s="9"/>
      <c r="N3" s="9"/>
      <c r="O3" s="9"/>
      <c r="P3" s="9"/>
      <c r="Q3" s="9"/>
      <c r="R3" s="9"/>
      <c r="S3" s="9">
        <f t="shared" ref="S3:S16" si="3">SUM(L3:R3)</f>
        <v>943</v>
      </c>
      <c r="T3" s="6"/>
      <c r="V3" s="9">
        <f t="shared" ref="V3" si="4">V4+V5+V6+V7+V8+V9+V10+V11+V12+V13+V14+V15+V16</f>
        <v>1408</v>
      </c>
      <c r="W3" s="9"/>
      <c r="X3" s="9"/>
      <c r="Y3" s="9"/>
      <c r="Z3" s="9"/>
      <c r="AA3" s="9"/>
      <c r="AB3" s="9"/>
      <c r="AC3" s="9">
        <f t="shared" ref="AC3:AC16" si="5">SUM(V3:AB3)</f>
        <v>1408</v>
      </c>
    </row>
    <row r="4" spans="1:29" x14ac:dyDescent="0.35">
      <c r="A4" s="103" t="s">
        <v>5</v>
      </c>
      <c r="B4" s="5">
        <v>75</v>
      </c>
      <c r="C4" s="10"/>
      <c r="D4" s="10"/>
      <c r="E4" s="10"/>
      <c r="F4" s="10"/>
      <c r="G4" s="10"/>
      <c r="H4" s="10"/>
      <c r="I4" s="10">
        <f t="shared" si="1"/>
        <v>75</v>
      </c>
      <c r="J4" s="116">
        <v>3</v>
      </c>
      <c r="L4" s="5">
        <f>25*4</f>
        <v>100</v>
      </c>
      <c r="M4" s="10"/>
      <c r="N4" s="10"/>
      <c r="O4" s="10"/>
      <c r="P4" s="10"/>
      <c r="Q4" s="10"/>
      <c r="R4" s="10"/>
      <c r="S4" s="10">
        <f t="shared" si="3"/>
        <v>100</v>
      </c>
      <c r="T4" s="116">
        <v>4</v>
      </c>
      <c r="V4" s="5">
        <f>B4+L4</f>
        <v>175</v>
      </c>
      <c r="W4" s="10"/>
      <c r="X4" s="10"/>
      <c r="Y4" s="10"/>
      <c r="Z4" s="10"/>
      <c r="AA4" s="10"/>
      <c r="AB4" s="10"/>
      <c r="AC4" s="10">
        <f t="shared" si="5"/>
        <v>175</v>
      </c>
    </row>
    <row r="5" spans="1:29" x14ac:dyDescent="0.35">
      <c r="A5" s="8" t="s">
        <v>6</v>
      </c>
      <c r="B5" s="5">
        <v>78</v>
      </c>
      <c r="C5" s="10"/>
      <c r="D5" s="10"/>
      <c r="E5" s="10"/>
      <c r="F5" s="10"/>
      <c r="G5" s="10"/>
      <c r="H5" s="10"/>
      <c r="I5" s="10">
        <f t="shared" si="1"/>
        <v>78</v>
      </c>
      <c r="J5" s="116">
        <v>3</v>
      </c>
      <c r="L5" s="5">
        <f t="shared" ref="L5:L7" si="6">26*4</f>
        <v>104</v>
      </c>
      <c r="M5" s="10"/>
      <c r="N5" s="10"/>
      <c r="O5" s="10"/>
      <c r="P5" s="10"/>
      <c r="Q5" s="10"/>
      <c r="R5" s="10"/>
      <c r="S5" s="10">
        <f t="shared" si="3"/>
        <v>104</v>
      </c>
      <c r="T5" s="116">
        <v>4</v>
      </c>
      <c r="V5" s="5">
        <f t="shared" ref="V5:V16" si="7">B5+L5</f>
        <v>182</v>
      </c>
      <c r="W5" s="10"/>
      <c r="X5" s="10"/>
      <c r="Y5" s="10"/>
      <c r="Z5" s="10"/>
      <c r="AA5" s="10"/>
      <c r="AB5" s="10"/>
      <c r="AC5" s="10">
        <f t="shared" si="5"/>
        <v>182</v>
      </c>
    </row>
    <row r="6" spans="1:29" x14ac:dyDescent="0.35">
      <c r="A6" s="8" t="s">
        <v>7</v>
      </c>
      <c r="B6" s="5">
        <v>78</v>
      </c>
      <c r="C6" s="10"/>
      <c r="D6" s="10"/>
      <c r="E6" s="10"/>
      <c r="F6" s="10"/>
      <c r="G6" s="10"/>
      <c r="H6" s="10"/>
      <c r="I6" s="10">
        <f t="shared" si="1"/>
        <v>78</v>
      </c>
      <c r="J6" s="116">
        <v>3</v>
      </c>
      <c r="L6" s="5">
        <f t="shared" si="6"/>
        <v>104</v>
      </c>
      <c r="M6" s="10"/>
      <c r="N6" s="10"/>
      <c r="O6" s="10"/>
      <c r="P6" s="10"/>
      <c r="Q6" s="10"/>
      <c r="R6" s="10"/>
      <c r="S6" s="10">
        <f t="shared" si="3"/>
        <v>104</v>
      </c>
      <c r="T6" s="116">
        <v>4</v>
      </c>
      <c r="V6" s="5">
        <f t="shared" si="7"/>
        <v>182</v>
      </c>
      <c r="W6" s="10"/>
      <c r="X6" s="10"/>
      <c r="Y6" s="10"/>
      <c r="Z6" s="10"/>
      <c r="AA6" s="10"/>
      <c r="AB6" s="10"/>
      <c r="AC6" s="10">
        <f t="shared" si="5"/>
        <v>182</v>
      </c>
    </row>
    <row r="7" spans="1:29" x14ac:dyDescent="0.35">
      <c r="A7" s="12" t="s">
        <v>8</v>
      </c>
      <c r="B7" s="5">
        <v>78</v>
      </c>
      <c r="C7" s="10"/>
      <c r="D7" s="10"/>
      <c r="E7" s="10"/>
      <c r="F7" s="10"/>
      <c r="G7" s="10"/>
      <c r="H7" s="10"/>
      <c r="I7" s="10">
        <f t="shared" si="1"/>
        <v>78</v>
      </c>
      <c r="J7" s="116">
        <v>3</v>
      </c>
      <c r="L7" s="5">
        <f t="shared" si="6"/>
        <v>104</v>
      </c>
      <c r="M7" s="10"/>
      <c r="N7" s="10"/>
      <c r="O7" s="10"/>
      <c r="P7" s="10"/>
      <c r="Q7" s="10"/>
      <c r="R7" s="10"/>
      <c r="S7" s="10">
        <f t="shared" si="3"/>
        <v>104</v>
      </c>
      <c r="T7" s="116">
        <v>4</v>
      </c>
      <c r="V7" s="5">
        <f t="shared" si="7"/>
        <v>182</v>
      </c>
      <c r="W7" s="10"/>
      <c r="X7" s="10"/>
      <c r="Y7" s="10"/>
      <c r="Z7" s="10"/>
      <c r="AA7" s="10"/>
      <c r="AB7" s="10"/>
      <c r="AC7" s="10">
        <f t="shared" si="5"/>
        <v>182</v>
      </c>
    </row>
    <row r="8" spans="1:29" x14ac:dyDescent="0.35">
      <c r="A8" s="12" t="s">
        <v>9</v>
      </c>
      <c r="B8" s="5">
        <v>78</v>
      </c>
      <c r="C8" s="10"/>
      <c r="D8" s="10"/>
      <c r="E8" s="10"/>
      <c r="F8" s="10"/>
      <c r="G8" s="10"/>
      <c r="H8" s="10"/>
      <c r="I8" s="10">
        <f t="shared" si="1"/>
        <v>78</v>
      </c>
      <c r="J8" s="116">
        <v>3</v>
      </c>
      <c r="L8" s="5">
        <v>78</v>
      </c>
      <c r="M8" s="10"/>
      <c r="N8" s="10"/>
      <c r="O8" s="10"/>
      <c r="P8" s="10"/>
      <c r="Q8" s="10"/>
      <c r="R8" s="10"/>
      <c r="S8" s="10">
        <f t="shared" si="3"/>
        <v>78</v>
      </c>
      <c r="T8" s="116">
        <v>3</v>
      </c>
      <c r="V8" s="5">
        <f t="shared" si="7"/>
        <v>156</v>
      </c>
      <c r="W8" s="10"/>
      <c r="X8" s="10"/>
      <c r="Y8" s="10"/>
      <c r="Z8" s="10"/>
      <c r="AA8" s="10"/>
      <c r="AB8" s="10"/>
      <c r="AC8" s="10">
        <f t="shared" si="5"/>
        <v>156</v>
      </c>
    </row>
    <row r="9" spans="1:29" x14ac:dyDescent="0.35">
      <c r="A9" s="12" t="s">
        <v>10</v>
      </c>
      <c r="B9" s="5">
        <v>78</v>
      </c>
      <c r="C9" s="10"/>
      <c r="D9" s="10"/>
      <c r="E9" s="10"/>
      <c r="F9" s="10"/>
      <c r="G9" s="10"/>
      <c r="H9" s="10"/>
      <c r="I9" s="10">
        <f t="shared" si="1"/>
        <v>78</v>
      </c>
      <c r="J9" s="116">
        <v>3</v>
      </c>
      <c r="L9" s="5">
        <v>52</v>
      </c>
      <c r="M9" s="10"/>
      <c r="N9" s="10"/>
      <c r="O9" s="10"/>
      <c r="P9" s="10"/>
      <c r="Q9" s="10"/>
      <c r="R9" s="10"/>
      <c r="S9" s="10">
        <f t="shared" si="3"/>
        <v>52</v>
      </c>
      <c r="T9" s="116">
        <v>2</v>
      </c>
      <c r="V9" s="5">
        <f t="shared" si="7"/>
        <v>130</v>
      </c>
      <c r="W9" s="10"/>
      <c r="X9" s="10"/>
      <c r="Y9" s="10"/>
      <c r="Z9" s="10"/>
      <c r="AA9" s="10"/>
      <c r="AB9" s="10"/>
      <c r="AC9" s="10">
        <f t="shared" si="5"/>
        <v>130</v>
      </c>
    </row>
    <row r="10" spans="1:29" x14ac:dyDescent="0.35">
      <c r="A10" s="12" t="s">
        <v>11</v>
      </c>
      <c r="B10" s="5">
        <v>0</v>
      </c>
      <c r="C10" s="5"/>
      <c r="D10" s="5"/>
      <c r="E10" s="5"/>
      <c r="F10" s="5"/>
      <c r="G10" s="5"/>
      <c r="H10" s="5"/>
      <c r="I10" s="10">
        <f t="shared" si="1"/>
        <v>0</v>
      </c>
      <c r="J10" s="116">
        <v>0</v>
      </c>
      <c r="L10" s="5">
        <f>31*4</f>
        <v>124</v>
      </c>
      <c r="M10" s="5"/>
      <c r="N10" s="5"/>
      <c r="O10" s="5"/>
      <c r="P10" s="5"/>
      <c r="Q10" s="5"/>
      <c r="R10" s="5"/>
      <c r="S10" s="10">
        <f t="shared" si="3"/>
        <v>124</v>
      </c>
      <c r="T10" s="116">
        <v>4</v>
      </c>
      <c r="V10" s="5">
        <f t="shared" si="7"/>
        <v>124</v>
      </c>
      <c r="W10" s="5"/>
      <c r="X10" s="5"/>
      <c r="Y10" s="5"/>
      <c r="Z10" s="5"/>
      <c r="AA10" s="5"/>
      <c r="AB10" s="5"/>
      <c r="AC10" s="10">
        <f t="shared" si="5"/>
        <v>124</v>
      </c>
    </row>
    <row r="11" spans="1:29" x14ac:dyDescent="0.35">
      <c r="A11" s="12" t="s">
        <v>12</v>
      </c>
      <c r="B11" s="5">
        <v>0</v>
      </c>
      <c r="C11" s="5"/>
      <c r="D11" s="5"/>
      <c r="E11" s="5"/>
      <c r="F11" s="5"/>
      <c r="G11" s="5"/>
      <c r="H11" s="5"/>
      <c r="I11" s="10">
        <f t="shared" si="1"/>
        <v>0</v>
      </c>
      <c r="J11" s="116">
        <v>0</v>
      </c>
      <c r="L11" s="5">
        <v>124</v>
      </c>
      <c r="M11" s="5"/>
      <c r="N11" s="5"/>
      <c r="O11" s="5"/>
      <c r="P11" s="5"/>
      <c r="Q11" s="5"/>
      <c r="R11" s="5"/>
      <c r="S11" s="10">
        <f t="shared" si="3"/>
        <v>124</v>
      </c>
      <c r="T11" s="116">
        <v>4</v>
      </c>
      <c r="V11" s="5">
        <f t="shared" si="7"/>
        <v>124</v>
      </c>
      <c r="W11" s="5"/>
      <c r="X11" s="5"/>
      <c r="Y11" s="5"/>
      <c r="Z11" s="5"/>
      <c r="AA11" s="5"/>
      <c r="AB11" s="5"/>
      <c r="AC11" s="10">
        <f t="shared" si="5"/>
        <v>124</v>
      </c>
    </row>
    <row r="12" spans="1:29" x14ac:dyDescent="0.35">
      <c r="A12" s="12" t="s">
        <v>13</v>
      </c>
      <c r="B12" s="5">
        <v>0</v>
      </c>
      <c r="C12" s="5"/>
      <c r="D12" s="5"/>
      <c r="E12" s="5"/>
      <c r="F12" s="5"/>
      <c r="G12" s="5"/>
      <c r="H12" s="5"/>
      <c r="I12" s="10">
        <f t="shared" si="1"/>
        <v>0</v>
      </c>
      <c r="J12" s="116">
        <v>0</v>
      </c>
      <c r="L12" s="5">
        <v>93</v>
      </c>
      <c r="M12" s="5"/>
      <c r="N12" s="5"/>
      <c r="O12" s="5"/>
      <c r="P12" s="5"/>
      <c r="Q12" s="5"/>
      <c r="R12" s="5"/>
      <c r="S12" s="10">
        <f t="shared" si="3"/>
        <v>93</v>
      </c>
      <c r="T12" s="116">
        <v>3</v>
      </c>
      <c r="V12" s="5">
        <f t="shared" si="7"/>
        <v>93</v>
      </c>
      <c r="W12" s="5"/>
      <c r="X12" s="5"/>
      <c r="Y12" s="5"/>
      <c r="Z12" s="5"/>
      <c r="AA12" s="5"/>
      <c r="AB12" s="5"/>
      <c r="AC12" s="10">
        <f t="shared" si="5"/>
        <v>93</v>
      </c>
    </row>
    <row r="13" spans="1:29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v>0</v>
      </c>
      <c r="L13" s="5">
        <v>60</v>
      </c>
      <c r="M13" s="5"/>
      <c r="N13" s="5"/>
      <c r="O13" s="5"/>
      <c r="P13" s="5"/>
      <c r="Q13" s="5"/>
      <c r="R13" s="5"/>
      <c r="S13" s="10">
        <f t="shared" si="3"/>
        <v>60</v>
      </c>
      <c r="T13" s="116">
        <v>2</v>
      </c>
      <c r="V13" s="5">
        <f t="shared" si="7"/>
        <v>60</v>
      </c>
      <c r="W13" s="5"/>
      <c r="X13" s="5"/>
      <c r="Y13" s="5"/>
      <c r="Z13" s="5"/>
      <c r="AA13" s="5"/>
      <c r="AB13" s="5"/>
      <c r="AC13" s="10">
        <f t="shared" si="5"/>
        <v>60</v>
      </c>
    </row>
    <row r="14" spans="1:29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8">B14/30</f>
        <v>0</v>
      </c>
      <c r="L14" s="5">
        <v>0</v>
      </c>
      <c r="M14" s="5"/>
      <c r="N14" s="5"/>
      <c r="O14" s="5"/>
      <c r="P14" s="5"/>
      <c r="Q14" s="5"/>
      <c r="R14" s="5"/>
      <c r="S14" s="10">
        <f t="shared" si="3"/>
        <v>0</v>
      </c>
      <c r="T14" s="116">
        <v>0</v>
      </c>
      <c r="V14" s="5">
        <f t="shared" si="7"/>
        <v>0</v>
      </c>
      <c r="W14" s="5"/>
      <c r="X14" s="5"/>
      <c r="Y14" s="5"/>
      <c r="Z14" s="5"/>
      <c r="AA14" s="5"/>
      <c r="AB14" s="5"/>
      <c r="AC14" s="10">
        <f t="shared" si="5"/>
        <v>0</v>
      </c>
    </row>
    <row r="15" spans="1:29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8"/>
        <v>0</v>
      </c>
      <c r="L15" s="5">
        <v>0</v>
      </c>
      <c r="M15" s="5"/>
      <c r="N15" s="5"/>
      <c r="O15" s="5"/>
      <c r="P15" s="5"/>
      <c r="Q15" s="5"/>
      <c r="R15" s="5"/>
      <c r="S15" s="10">
        <f t="shared" si="3"/>
        <v>0</v>
      </c>
      <c r="T15" s="116">
        <v>0</v>
      </c>
      <c r="V15" s="5">
        <f t="shared" si="7"/>
        <v>0</v>
      </c>
      <c r="W15" s="5"/>
      <c r="X15" s="5"/>
      <c r="Y15" s="5"/>
      <c r="Z15" s="5"/>
      <c r="AA15" s="5"/>
      <c r="AB15" s="5"/>
      <c r="AC15" s="10">
        <f t="shared" si="5"/>
        <v>0</v>
      </c>
    </row>
    <row r="16" spans="1:29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  <c r="L16" s="5">
        <v>0</v>
      </c>
      <c r="M16" s="5"/>
      <c r="N16" s="5"/>
      <c r="O16" s="5"/>
      <c r="P16" s="5"/>
      <c r="Q16" s="5"/>
      <c r="R16" s="5"/>
      <c r="S16" s="10">
        <f t="shared" si="3"/>
        <v>0</v>
      </c>
      <c r="T16" s="116"/>
      <c r="V16" s="5">
        <f t="shared" si="7"/>
        <v>0</v>
      </c>
      <c r="W16" s="5"/>
      <c r="X16" s="5"/>
      <c r="Y16" s="5"/>
      <c r="Z16" s="5"/>
      <c r="AA16" s="5"/>
      <c r="AB16" s="5"/>
      <c r="AC16" s="10">
        <f t="shared" si="5"/>
        <v>0</v>
      </c>
    </row>
    <row r="17" spans="1:29" x14ac:dyDescent="0.35">
      <c r="A17" s="104" t="s">
        <v>4</v>
      </c>
      <c r="B17" s="9">
        <f t="shared" ref="B17:H17" si="9">SUM(B4:B16)</f>
        <v>465</v>
      </c>
      <c r="C17" s="9">
        <f t="shared" si="9"/>
        <v>0</v>
      </c>
      <c r="D17" s="9">
        <f t="shared" si="9"/>
        <v>0</v>
      </c>
      <c r="E17" s="9"/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>SUM(I4:I16)</f>
        <v>465</v>
      </c>
      <c r="J17" s="117">
        <f>SUM(J4:J16)</f>
        <v>18</v>
      </c>
      <c r="L17" s="9">
        <f t="shared" ref="L17:N17" si="10">SUM(L4:L16)</f>
        <v>943</v>
      </c>
      <c r="M17" s="9">
        <f t="shared" si="10"/>
        <v>0</v>
      </c>
      <c r="N17" s="9">
        <f t="shared" si="10"/>
        <v>0</v>
      </c>
      <c r="O17" s="9"/>
      <c r="P17" s="9">
        <f t="shared" ref="P17:R17" si="11">SUM(P4:P16)</f>
        <v>0</v>
      </c>
      <c r="Q17" s="9">
        <f t="shared" si="11"/>
        <v>0</v>
      </c>
      <c r="R17" s="9">
        <f t="shared" si="11"/>
        <v>0</v>
      </c>
      <c r="S17" s="9">
        <f>SUM(S4:S16)</f>
        <v>943</v>
      </c>
      <c r="T17" s="117">
        <f>SUM(T4:T16)</f>
        <v>34</v>
      </c>
      <c r="V17" s="9">
        <f t="shared" ref="V17:X17" si="12">SUM(V4:V16)</f>
        <v>1408</v>
      </c>
      <c r="W17" s="9">
        <f t="shared" si="12"/>
        <v>0</v>
      </c>
      <c r="X17" s="9">
        <f t="shared" si="12"/>
        <v>0</v>
      </c>
      <c r="Y17" s="9"/>
      <c r="Z17" s="9">
        <f t="shared" ref="Z17:AB17" si="13">SUM(Z4:Z16)</f>
        <v>0</v>
      </c>
      <c r="AA17" s="9">
        <f t="shared" si="13"/>
        <v>0</v>
      </c>
      <c r="AB17" s="9">
        <f t="shared" si="13"/>
        <v>0</v>
      </c>
      <c r="AC17" s="9">
        <f>SUM(AC4:AC16)</f>
        <v>1408</v>
      </c>
    </row>
    <row r="18" spans="1:29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  <c r="L18" s="5"/>
      <c r="M18" s="13"/>
      <c r="N18" s="13"/>
      <c r="O18" s="13"/>
      <c r="P18" s="13"/>
      <c r="Q18" s="13"/>
      <c r="R18" s="13"/>
      <c r="S18" s="13"/>
      <c r="T18" s="7"/>
      <c r="V18" s="5"/>
      <c r="W18" s="13"/>
      <c r="X18" s="13"/>
      <c r="Y18" s="13"/>
      <c r="Z18" s="13"/>
      <c r="AA18" s="13"/>
      <c r="AB18" s="13"/>
      <c r="AC18" s="13"/>
    </row>
    <row r="19" spans="1:29" x14ac:dyDescent="0.35">
      <c r="A19" s="14" t="s">
        <v>18</v>
      </c>
      <c r="B19" s="15" t="str">
        <f t="shared" ref="B19:I19" si="14">B1</f>
        <v>Operating</v>
      </c>
      <c r="C19" s="15" t="str">
        <f t="shared" si="14"/>
        <v>SPED</v>
      </c>
      <c r="D19" s="15" t="str">
        <f t="shared" si="14"/>
        <v>NSLP</v>
      </c>
      <c r="E19" s="15" t="str">
        <f t="shared" si="14"/>
        <v>Other</v>
      </c>
      <c r="F19" s="15" t="str">
        <f t="shared" si="14"/>
        <v>Title I</v>
      </c>
      <c r="G19" s="15" t="str">
        <f t="shared" si="14"/>
        <v>Title II</v>
      </c>
      <c r="H19" s="15" t="str">
        <f t="shared" si="14"/>
        <v>Title III</v>
      </c>
      <c r="I19" s="15" t="str">
        <f t="shared" si="14"/>
        <v>B&amp;G</v>
      </c>
      <c r="J19" s="16"/>
      <c r="L19" s="15" t="str">
        <f t="shared" ref="L19:S19" si="15">L1</f>
        <v>Operating</v>
      </c>
      <c r="M19" s="15" t="str">
        <f t="shared" si="15"/>
        <v>SPED</v>
      </c>
      <c r="N19" s="15" t="str">
        <f t="shared" si="15"/>
        <v>NSLP</v>
      </c>
      <c r="O19" s="15" t="str">
        <f t="shared" si="15"/>
        <v>Other</v>
      </c>
      <c r="P19" s="15" t="str">
        <f t="shared" si="15"/>
        <v>Title I</v>
      </c>
      <c r="Q19" s="15" t="str">
        <f t="shared" si="15"/>
        <v>Title II</v>
      </c>
      <c r="R19" s="15" t="str">
        <f t="shared" si="15"/>
        <v>Title III</v>
      </c>
      <c r="S19" s="15" t="str">
        <f t="shared" si="15"/>
        <v>New</v>
      </c>
      <c r="T19" s="16"/>
      <c r="V19" s="15" t="str">
        <f t="shared" ref="V19:AC19" si="16">V1</f>
        <v>Operating</v>
      </c>
      <c r="W19" s="15" t="str">
        <f t="shared" si="16"/>
        <v>SPED</v>
      </c>
      <c r="X19" s="15" t="str">
        <f t="shared" si="16"/>
        <v>NSLP</v>
      </c>
      <c r="Y19" s="15" t="str">
        <f t="shared" si="16"/>
        <v>Other</v>
      </c>
      <c r="Z19" s="15" t="str">
        <f t="shared" si="16"/>
        <v>Title I</v>
      </c>
      <c r="AA19" s="15" t="str">
        <f t="shared" si="16"/>
        <v>Title II</v>
      </c>
      <c r="AB19" s="15" t="str">
        <f t="shared" si="16"/>
        <v>Title III</v>
      </c>
      <c r="AC19" s="15" t="str">
        <f t="shared" si="16"/>
        <v>MANN</v>
      </c>
    </row>
    <row r="20" spans="1:29" x14ac:dyDescent="0.35">
      <c r="A20" s="12" t="s">
        <v>19</v>
      </c>
      <c r="B20" s="5"/>
      <c r="C20" s="5">
        <v>56</v>
      </c>
      <c r="D20" s="5"/>
      <c r="E20" s="5"/>
      <c r="F20" s="5"/>
      <c r="G20" s="5"/>
      <c r="H20" s="5"/>
      <c r="I20" s="5">
        <f>SUM(B20:H20)</f>
        <v>56</v>
      </c>
      <c r="J20" s="19">
        <v>0.12</v>
      </c>
      <c r="L20" s="5"/>
      <c r="M20" s="5">
        <v>92</v>
      </c>
      <c r="N20" s="5"/>
      <c r="O20" s="5"/>
      <c r="P20" s="5"/>
      <c r="Q20" s="5"/>
      <c r="R20" s="5"/>
      <c r="S20" s="5">
        <f>SUM(L20:R20)</f>
        <v>92</v>
      </c>
      <c r="T20" s="19">
        <v>0.12</v>
      </c>
      <c r="V20" s="5">
        <f>B20+L20</f>
        <v>0</v>
      </c>
      <c r="W20" s="5">
        <f t="shared" ref="W20:Y24" si="17">C20+M20</f>
        <v>148</v>
      </c>
      <c r="X20" s="5">
        <f t="shared" si="17"/>
        <v>0</v>
      </c>
      <c r="Y20" s="5">
        <f t="shared" si="17"/>
        <v>0</v>
      </c>
      <c r="Z20" s="5"/>
      <c r="AA20" s="5"/>
      <c r="AB20" s="5"/>
      <c r="AC20" s="5">
        <f>SUM(V20:AB20)</f>
        <v>148</v>
      </c>
    </row>
    <row r="21" spans="1:29" x14ac:dyDescent="0.35">
      <c r="A21" s="12" t="s">
        <v>21</v>
      </c>
      <c r="B21" s="5">
        <v>144</v>
      </c>
      <c r="C21" s="5"/>
      <c r="D21" s="5"/>
      <c r="E21" s="5"/>
      <c r="F21" s="5"/>
      <c r="G21" s="5"/>
      <c r="H21" s="5"/>
      <c r="I21" s="5">
        <f>SUM(B21:H21)</f>
        <v>144</v>
      </c>
      <c r="J21" s="19">
        <v>0.31</v>
      </c>
      <c r="L21" s="5">
        <v>237</v>
      </c>
      <c r="M21" s="5"/>
      <c r="N21" s="5"/>
      <c r="O21" s="5"/>
      <c r="P21" s="5"/>
      <c r="Q21" s="5"/>
      <c r="R21" s="5"/>
      <c r="S21" s="5">
        <f>SUM(L21:R21)</f>
        <v>237</v>
      </c>
      <c r="T21" s="19">
        <v>0.31</v>
      </c>
      <c r="V21" s="5">
        <f t="shared" ref="V21:V24" si="18">B21+L21</f>
        <v>381</v>
      </c>
      <c r="W21" s="5">
        <f t="shared" si="17"/>
        <v>0</v>
      </c>
      <c r="X21" s="5">
        <f t="shared" si="17"/>
        <v>0</v>
      </c>
      <c r="Y21" s="5">
        <f t="shared" si="17"/>
        <v>0</v>
      </c>
      <c r="Z21" s="5"/>
      <c r="AA21" s="5"/>
      <c r="AB21" s="5"/>
      <c r="AC21" s="5">
        <f>SUM(V21:AB21)</f>
        <v>381</v>
      </c>
    </row>
    <row r="22" spans="1:29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  <c r="L22" s="10"/>
      <c r="M22" s="10"/>
      <c r="N22" s="10"/>
      <c r="O22" s="10"/>
      <c r="P22" s="10"/>
      <c r="Q22" s="10"/>
      <c r="R22" s="10"/>
      <c r="S22" s="5">
        <f>SUM(L22:R22)</f>
        <v>0</v>
      </c>
      <c r="T22" s="11"/>
      <c r="V22" s="5">
        <f t="shared" si="18"/>
        <v>0</v>
      </c>
      <c r="W22" s="5">
        <f t="shared" si="17"/>
        <v>0</v>
      </c>
      <c r="X22" s="5">
        <f t="shared" si="17"/>
        <v>0</v>
      </c>
      <c r="Y22" s="5">
        <f t="shared" si="17"/>
        <v>0</v>
      </c>
      <c r="Z22" s="10"/>
      <c r="AA22" s="10"/>
      <c r="AB22" s="10"/>
      <c r="AC22" s="5">
        <f>SUM(V22:AB22)</f>
        <v>0</v>
      </c>
    </row>
    <row r="23" spans="1:29" x14ac:dyDescent="0.35">
      <c r="A23" s="12" t="s">
        <v>23</v>
      </c>
      <c r="B23" s="18"/>
      <c r="C23" s="18"/>
      <c r="D23" s="118">
        <v>1</v>
      </c>
      <c r="E23" s="118"/>
      <c r="F23" s="118"/>
      <c r="G23" s="118"/>
      <c r="H23" s="118"/>
      <c r="I23" s="18">
        <f>SUM(B23:H23)</f>
        <v>1</v>
      </c>
      <c r="J23" s="19"/>
      <c r="L23" s="18"/>
      <c r="M23" s="18"/>
      <c r="N23" s="118">
        <v>1</v>
      </c>
      <c r="O23" s="118"/>
      <c r="P23" s="118"/>
      <c r="Q23" s="118"/>
      <c r="R23" s="118"/>
      <c r="S23" s="18">
        <f>SUM(L23:R23)</f>
        <v>1</v>
      </c>
      <c r="T23" s="19"/>
      <c r="V23" s="5">
        <f t="shared" si="18"/>
        <v>0</v>
      </c>
      <c r="W23" s="5">
        <f t="shared" si="17"/>
        <v>0</v>
      </c>
      <c r="X23" s="111">
        <v>1</v>
      </c>
      <c r="Y23" s="5">
        <f t="shared" si="17"/>
        <v>0</v>
      </c>
      <c r="Z23" s="118"/>
      <c r="AA23" s="118"/>
      <c r="AB23" s="118"/>
      <c r="AC23" s="18">
        <f>SUM(V23:AB23)</f>
        <v>1</v>
      </c>
    </row>
    <row r="24" spans="1:29" x14ac:dyDescent="0.35">
      <c r="A24" s="12" t="s">
        <v>24</v>
      </c>
      <c r="B24" s="5">
        <v>4</v>
      </c>
      <c r="C24" s="5"/>
      <c r="D24" s="5"/>
      <c r="E24" s="5"/>
      <c r="F24" s="5"/>
      <c r="G24" s="5"/>
      <c r="H24" s="5"/>
      <c r="I24" s="5">
        <f>SUM(B24:H24)</f>
        <v>4</v>
      </c>
      <c r="J24" s="19">
        <v>0.01</v>
      </c>
      <c r="L24" s="5">
        <v>8</v>
      </c>
      <c r="M24" s="5"/>
      <c r="N24" s="5"/>
      <c r="O24" s="5"/>
      <c r="P24" s="5"/>
      <c r="Q24" s="5"/>
      <c r="R24" s="5"/>
      <c r="S24" s="5">
        <f>SUM(L24:R24)</f>
        <v>8</v>
      </c>
      <c r="T24" s="19">
        <v>0.01</v>
      </c>
      <c r="V24" s="5">
        <f t="shared" si="18"/>
        <v>12</v>
      </c>
      <c r="W24" s="5">
        <f t="shared" si="17"/>
        <v>0</v>
      </c>
      <c r="X24" s="5">
        <f t="shared" si="17"/>
        <v>0</v>
      </c>
      <c r="Y24" s="5">
        <f t="shared" si="17"/>
        <v>0</v>
      </c>
      <c r="Z24" s="5"/>
      <c r="AA24" s="5"/>
      <c r="AB24" s="5"/>
      <c r="AC24" s="5">
        <f>SUM(V24:AB24)</f>
        <v>12</v>
      </c>
    </row>
    <row r="25" spans="1:29" x14ac:dyDescent="0.35">
      <c r="A25" s="12"/>
      <c r="B25" s="5"/>
      <c r="C25" s="5"/>
      <c r="D25" s="5"/>
      <c r="E25" s="5"/>
      <c r="F25" s="5"/>
      <c r="G25" s="5"/>
      <c r="H25" s="5"/>
      <c r="I25" s="5"/>
      <c r="J25" s="7"/>
      <c r="L25" s="5"/>
      <c r="M25" s="5"/>
      <c r="N25" s="5"/>
      <c r="O25" s="5"/>
      <c r="P25" s="5"/>
      <c r="Q25" s="5"/>
      <c r="R25" s="5"/>
      <c r="S25" s="5"/>
      <c r="T25" s="7"/>
      <c r="V25" s="5"/>
      <c r="W25" s="5"/>
      <c r="X25" s="5"/>
      <c r="Y25" s="5"/>
      <c r="Z25" s="5"/>
      <c r="AA25" s="5"/>
      <c r="AB25" s="5"/>
      <c r="AC25" s="5"/>
    </row>
    <row r="26" spans="1:29" x14ac:dyDescent="0.35">
      <c r="A26" s="20" t="s">
        <v>25</v>
      </c>
      <c r="B26" s="15" t="str">
        <f t="shared" ref="B26:I26" si="19">B1</f>
        <v>Operating</v>
      </c>
      <c r="C26" s="15" t="str">
        <f t="shared" si="19"/>
        <v>SPED</v>
      </c>
      <c r="D26" s="15" t="str">
        <f t="shared" si="19"/>
        <v>NSLP</v>
      </c>
      <c r="E26" s="15" t="str">
        <f t="shared" si="19"/>
        <v>Other</v>
      </c>
      <c r="F26" s="15" t="str">
        <f t="shared" si="19"/>
        <v>Title I</v>
      </c>
      <c r="G26" s="15" t="str">
        <f t="shared" si="19"/>
        <v>Title II</v>
      </c>
      <c r="H26" s="15" t="str">
        <f t="shared" si="19"/>
        <v>Title III</v>
      </c>
      <c r="I26" s="15" t="str">
        <f t="shared" si="19"/>
        <v>B&amp;G</v>
      </c>
      <c r="J26" s="16"/>
      <c r="L26" s="15" t="str">
        <f t="shared" ref="L26:S26" si="20">L1</f>
        <v>Operating</v>
      </c>
      <c r="M26" s="15" t="str">
        <f t="shared" si="20"/>
        <v>SPED</v>
      </c>
      <c r="N26" s="15" t="str">
        <f t="shared" si="20"/>
        <v>NSLP</v>
      </c>
      <c r="O26" s="15" t="str">
        <f t="shared" si="20"/>
        <v>Other</v>
      </c>
      <c r="P26" s="15" t="str">
        <f t="shared" si="20"/>
        <v>Title I</v>
      </c>
      <c r="Q26" s="15" t="str">
        <f t="shared" si="20"/>
        <v>Title II</v>
      </c>
      <c r="R26" s="15" t="str">
        <f t="shared" si="20"/>
        <v>Title III</v>
      </c>
      <c r="S26" s="15" t="str">
        <f t="shared" si="20"/>
        <v>New</v>
      </c>
      <c r="T26" s="16"/>
      <c r="V26" s="15" t="str">
        <f t="shared" ref="V26:AC26" si="21">V1</f>
        <v>Operating</v>
      </c>
      <c r="W26" s="15" t="str">
        <f t="shared" si="21"/>
        <v>SPED</v>
      </c>
      <c r="X26" s="15" t="str">
        <f t="shared" si="21"/>
        <v>NSLP</v>
      </c>
      <c r="Y26" s="15" t="str">
        <f t="shared" si="21"/>
        <v>Other</v>
      </c>
      <c r="Z26" s="15" t="str">
        <f t="shared" si="21"/>
        <v>Title I</v>
      </c>
      <c r="AA26" s="15" t="str">
        <f t="shared" si="21"/>
        <v>Title II</v>
      </c>
      <c r="AB26" s="15" t="str">
        <f t="shared" si="21"/>
        <v>Title III</v>
      </c>
      <c r="AC26" s="15" t="str">
        <f t="shared" si="21"/>
        <v>MANN</v>
      </c>
    </row>
    <row r="27" spans="1:29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22">SUM(B27:H27)</f>
        <v>18</v>
      </c>
      <c r="J27" s="17">
        <f>I27/6</f>
        <v>3</v>
      </c>
      <c r="L27" s="21">
        <v>34</v>
      </c>
      <c r="M27" s="21"/>
      <c r="N27" s="21"/>
      <c r="O27" s="21"/>
      <c r="P27" s="21"/>
      <c r="Q27" s="21"/>
      <c r="R27" s="21"/>
      <c r="S27" s="21">
        <f t="shared" ref="S27:S28" si="23">SUM(L27:R27)</f>
        <v>34</v>
      </c>
      <c r="T27" s="17">
        <f>S27/6</f>
        <v>5.666666666666667</v>
      </c>
      <c r="V27" s="21">
        <f>B27+L27</f>
        <v>52</v>
      </c>
      <c r="W27" s="21">
        <f t="shared" ref="W27:Y35" si="24">C27+M27</f>
        <v>0</v>
      </c>
      <c r="X27" s="21">
        <f t="shared" si="24"/>
        <v>0</v>
      </c>
      <c r="Y27" s="21">
        <f t="shared" si="24"/>
        <v>0</v>
      </c>
      <c r="Z27" s="21"/>
      <c r="AA27" s="21"/>
      <c r="AB27" s="21"/>
      <c r="AC27" s="21">
        <f t="shared" ref="AC27:AC28" si="25">SUM(V27:AB27)</f>
        <v>52</v>
      </c>
    </row>
    <row r="28" spans="1:29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22"/>
        <v>3</v>
      </c>
      <c r="J28" s="17">
        <f>I20/21</f>
        <v>2.6666666666666665</v>
      </c>
      <c r="L28" s="22">
        <v>0</v>
      </c>
      <c r="M28" s="22">
        <v>3.5</v>
      </c>
      <c r="N28" s="22"/>
      <c r="O28" s="22"/>
      <c r="P28" s="22"/>
      <c r="Q28" s="22"/>
      <c r="R28" s="22"/>
      <c r="S28" s="21">
        <f t="shared" si="23"/>
        <v>3.5</v>
      </c>
      <c r="T28" s="17">
        <f>S20/21</f>
        <v>4.3809523809523814</v>
      </c>
      <c r="V28" s="21">
        <f t="shared" ref="V28:V35" si="26">B28+L28</f>
        <v>0</v>
      </c>
      <c r="W28" s="21">
        <f t="shared" si="24"/>
        <v>6.5</v>
      </c>
      <c r="X28" s="21">
        <f t="shared" si="24"/>
        <v>0</v>
      </c>
      <c r="Y28" s="21">
        <f t="shared" si="24"/>
        <v>0</v>
      </c>
      <c r="Z28" s="22"/>
      <c r="AA28" s="22"/>
      <c r="AB28" s="22"/>
      <c r="AC28" s="21">
        <f t="shared" si="25"/>
        <v>6.5</v>
      </c>
    </row>
    <row r="29" spans="1:29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  <c r="L29" s="21">
        <v>2</v>
      </c>
      <c r="M29" s="21"/>
      <c r="N29" s="21"/>
      <c r="O29" s="21"/>
      <c r="P29" s="21"/>
      <c r="Q29" s="21"/>
      <c r="R29" s="21"/>
      <c r="S29" s="21">
        <f>SUM(L29:R29)</f>
        <v>2</v>
      </c>
      <c r="T29" s="11"/>
      <c r="V29" s="21">
        <f t="shared" si="26"/>
        <v>3</v>
      </c>
      <c r="W29" s="21">
        <f t="shared" si="24"/>
        <v>0</v>
      </c>
      <c r="X29" s="21">
        <f t="shared" si="24"/>
        <v>0</v>
      </c>
      <c r="Y29" s="21">
        <f t="shared" si="24"/>
        <v>0</v>
      </c>
      <c r="Z29" s="21"/>
      <c r="AA29" s="21"/>
      <c r="AB29" s="21"/>
      <c r="AC29" s="21">
        <f>SUM(V29:AB29)</f>
        <v>3</v>
      </c>
    </row>
    <row r="30" spans="1:29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22"/>
        <v>1</v>
      </c>
      <c r="J30" s="11"/>
      <c r="L30" s="21">
        <v>2</v>
      </c>
      <c r="M30" s="21"/>
      <c r="N30" s="21"/>
      <c r="O30" s="21"/>
      <c r="P30" s="21"/>
      <c r="Q30" s="21"/>
      <c r="R30" s="21"/>
      <c r="S30" s="21">
        <f t="shared" ref="S30:S32" si="27">SUM(L30:R30)</f>
        <v>2</v>
      </c>
      <c r="T30" s="11"/>
      <c r="V30" s="21">
        <f t="shared" si="26"/>
        <v>3</v>
      </c>
      <c r="W30" s="21">
        <f t="shared" si="24"/>
        <v>0</v>
      </c>
      <c r="X30" s="21">
        <f t="shared" si="24"/>
        <v>0</v>
      </c>
      <c r="Y30" s="21">
        <f t="shared" si="24"/>
        <v>0</v>
      </c>
      <c r="Z30" s="21"/>
      <c r="AA30" s="21"/>
      <c r="AB30" s="21"/>
      <c r="AC30" s="21">
        <f t="shared" ref="AC30:AC32" si="28">SUM(V30:AB30)</f>
        <v>3</v>
      </c>
    </row>
    <row r="31" spans="1:29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22"/>
        <v>1</v>
      </c>
      <c r="J31" s="11"/>
      <c r="L31" s="21">
        <v>2</v>
      </c>
      <c r="M31" s="21"/>
      <c r="N31" s="21"/>
      <c r="O31" s="21"/>
      <c r="P31" s="21"/>
      <c r="Q31" s="21"/>
      <c r="R31" s="21"/>
      <c r="S31" s="21">
        <f t="shared" si="27"/>
        <v>2</v>
      </c>
      <c r="T31" s="11"/>
      <c r="V31" s="21">
        <f t="shared" si="26"/>
        <v>3</v>
      </c>
      <c r="W31" s="21">
        <f t="shared" si="24"/>
        <v>0</v>
      </c>
      <c r="X31" s="21">
        <f t="shared" si="24"/>
        <v>0</v>
      </c>
      <c r="Y31" s="21">
        <f t="shared" si="24"/>
        <v>0</v>
      </c>
      <c r="Z31" s="21"/>
      <c r="AA31" s="21"/>
      <c r="AB31" s="21"/>
      <c r="AC31" s="21">
        <f t="shared" si="28"/>
        <v>3</v>
      </c>
    </row>
    <row r="32" spans="1:29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22"/>
        <v>0</v>
      </c>
      <c r="J32" s="11"/>
      <c r="L32" s="21">
        <v>0</v>
      </c>
      <c r="M32" s="21"/>
      <c r="N32" s="21"/>
      <c r="O32" s="21"/>
      <c r="P32" s="21"/>
      <c r="Q32" s="21"/>
      <c r="R32" s="21"/>
      <c r="S32" s="21">
        <f t="shared" si="27"/>
        <v>0</v>
      </c>
      <c r="T32" s="11"/>
      <c r="V32" s="21">
        <f t="shared" si="26"/>
        <v>0</v>
      </c>
      <c r="W32" s="21">
        <f t="shared" si="24"/>
        <v>0</v>
      </c>
      <c r="X32" s="21">
        <f t="shared" si="24"/>
        <v>0</v>
      </c>
      <c r="Y32" s="21">
        <f t="shared" si="24"/>
        <v>0</v>
      </c>
      <c r="Z32" s="21"/>
      <c r="AA32" s="21"/>
      <c r="AB32" s="21"/>
      <c r="AC32" s="21">
        <f t="shared" si="28"/>
        <v>0</v>
      </c>
    </row>
    <row r="33" spans="1:29" x14ac:dyDescent="0.35">
      <c r="A33" s="100" t="s">
        <v>32</v>
      </c>
      <c r="B33" s="21">
        <v>0</v>
      </c>
      <c r="C33" s="21"/>
      <c r="D33" s="21"/>
      <c r="E33" s="21"/>
      <c r="F33" s="21"/>
      <c r="G33" s="21"/>
      <c r="H33" s="21"/>
      <c r="I33" s="21">
        <f>SUM(B33:H33)</f>
        <v>0</v>
      </c>
      <c r="J33" s="11"/>
      <c r="L33" s="21">
        <v>0</v>
      </c>
      <c r="M33" s="21"/>
      <c r="N33" s="21"/>
      <c r="O33" s="21"/>
      <c r="P33" s="21"/>
      <c r="Q33" s="21"/>
      <c r="R33" s="21"/>
      <c r="S33" s="21">
        <f>SUM(L33:R33)</f>
        <v>0</v>
      </c>
      <c r="T33" s="11"/>
      <c r="V33" s="21">
        <f t="shared" si="26"/>
        <v>0</v>
      </c>
      <c r="W33" s="21">
        <f t="shared" si="24"/>
        <v>0</v>
      </c>
      <c r="X33" s="21">
        <f t="shared" si="24"/>
        <v>0</v>
      </c>
      <c r="Y33" s="21">
        <f t="shared" si="24"/>
        <v>0</v>
      </c>
      <c r="Z33" s="21"/>
      <c r="AA33" s="21"/>
      <c r="AB33" s="21"/>
      <c r="AC33" s="21">
        <f>SUM(V33:AB33)</f>
        <v>0</v>
      </c>
    </row>
    <row r="34" spans="1:29" x14ac:dyDescent="0.35">
      <c r="A34" s="100" t="s">
        <v>33</v>
      </c>
      <c r="B34" s="21">
        <v>0</v>
      </c>
      <c r="C34" s="21"/>
      <c r="D34" s="21"/>
      <c r="E34" s="21"/>
      <c r="F34" s="21"/>
      <c r="G34" s="21"/>
      <c r="H34" s="21"/>
      <c r="I34" s="21">
        <f>SUM(B34:H34)</f>
        <v>0</v>
      </c>
      <c r="J34" s="11"/>
      <c r="L34" s="21">
        <v>0</v>
      </c>
      <c r="M34" s="21"/>
      <c r="N34" s="21"/>
      <c r="O34" s="21"/>
      <c r="P34" s="21"/>
      <c r="Q34" s="21"/>
      <c r="R34" s="21"/>
      <c r="S34" s="21">
        <f>SUM(L34:R34)</f>
        <v>0</v>
      </c>
      <c r="T34" s="11"/>
      <c r="V34" s="21">
        <f t="shared" si="26"/>
        <v>0</v>
      </c>
      <c r="W34" s="21">
        <f t="shared" si="24"/>
        <v>0</v>
      </c>
      <c r="X34" s="21">
        <f t="shared" si="24"/>
        <v>0</v>
      </c>
      <c r="Y34" s="21">
        <f t="shared" si="24"/>
        <v>0</v>
      </c>
      <c r="Z34" s="21"/>
      <c r="AA34" s="21"/>
      <c r="AB34" s="21"/>
      <c r="AC34" s="21">
        <f>SUM(V34:AB34)</f>
        <v>0</v>
      </c>
    </row>
    <row r="35" spans="1:29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  <c r="L35" s="21">
        <v>0</v>
      </c>
      <c r="M35" s="21"/>
      <c r="N35" s="21"/>
      <c r="O35" s="21"/>
      <c r="P35" s="21"/>
      <c r="Q35" s="21"/>
      <c r="R35" s="21"/>
      <c r="S35" s="21">
        <f>SUM(L35:R35)</f>
        <v>0</v>
      </c>
      <c r="T35" s="11"/>
      <c r="V35" s="21">
        <f t="shared" si="26"/>
        <v>0</v>
      </c>
      <c r="W35" s="21">
        <f t="shared" si="24"/>
        <v>0</v>
      </c>
      <c r="X35" s="21">
        <f t="shared" si="24"/>
        <v>0</v>
      </c>
      <c r="Y35" s="21">
        <f t="shared" si="24"/>
        <v>0</v>
      </c>
      <c r="Z35" s="21"/>
      <c r="AA35" s="21"/>
      <c r="AB35" s="21"/>
      <c r="AC35" s="21">
        <f>SUM(V35:AB35)</f>
        <v>0</v>
      </c>
    </row>
    <row r="36" spans="1:29" x14ac:dyDescent="0.35">
      <c r="A36" s="20" t="s">
        <v>37</v>
      </c>
      <c r="B36" s="24">
        <f>SUM(B27:B35)</f>
        <v>21</v>
      </c>
      <c r="C36" s="24">
        <f t="shared" ref="C36:H36" si="29">SUM(C27:C35)</f>
        <v>3</v>
      </c>
      <c r="D36" s="24">
        <f t="shared" si="29"/>
        <v>0</v>
      </c>
      <c r="E36" s="24"/>
      <c r="F36" s="24">
        <f t="shared" si="29"/>
        <v>0</v>
      </c>
      <c r="G36" s="24">
        <f t="shared" si="29"/>
        <v>0</v>
      </c>
      <c r="H36" s="24">
        <f t="shared" si="29"/>
        <v>0</v>
      </c>
      <c r="I36" s="24">
        <f>SUM(I27:I35)</f>
        <v>24</v>
      </c>
      <c r="J36" s="7"/>
      <c r="L36" s="24">
        <f>SUM(L27:L35)</f>
        <v>40</v>
      </c>
      <c r="M36" s="24">
        <f t="shared" ref="M36:N36" si="30">SUM(M27:M35)</f>
        <v>3.5</v>
      </c>
      <c r="N36" s="24">
        <f t="shared" si="30"/>
        <v>0</v>
      </c>
      <c r="O36" s="24"/>
      <c r="P36" s="24">
        <f t="shared" ref="P36:R36" si="31">SUM(P27:P35)</f>
        <v>0</v>
      </c>
      <c r="Q36" s="24">
        <f t="shared" si="31"/>
        <v>0</v>
      </c>
      <c r="R36" s="24">
        <f t="shared" si="31"/>
        <v>0</v>
      </c>
      <c r="S36" s="24">
        <f>SUM(S27:S35)</f>
        <v>43.5</v>
      </c>
      <c r="T36" s="7"/>
      <c r="V36" s="24">
        <f>SUM(V27:V35)</f>
        <v>61</v>
      </c>
      <c r="W36" s="24">
        <f t="shared" ref="W36:X36" si="32">SUM(W27:W35)</f>
        <v>6.5</v>
      </c>
      <c r="X36" s="24">
        <f t="shared" si="32"/>
        <v>0</v>
      </c>
      <c r="Y36" s="24"/>
      <c r="Z36" s="24">
        <f t="shared" ref="Z36:AB36" si="33">SUM(Z27:Z35)</f>
        <v>0</v>
      </c>
      <c r="AA36" s="24">
        <f t="shared" si="33"/>
        <v>0</v>
      </c>
      <c r="AB36" s="24">
        <f t="shared" si="33"/>
        <v>0</v>
      </c>
      <c r="AC36" s="24">
        <f>SUM(AC27:AC35)</f>
        <v>67.5</v>
      </c>
    </row>
    <row r="37" spans="1:29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  <c r="L37" s="5"/>
      <c r="M37" s="5"/>
      <c r="N37" s="5"/>
      <c r="O37" s="5"/>
      <c r="P37" s="5"/>
      <c r="Q37" s="5"/>
      <c r="R37" s="5"/>
      <c r="S37" s="5"/>
      <c r="T37" s="7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20" t="s">
        <v>39</v>
      </c>
      <c r="B38" s="15" t="str">
        <f t="shared" ref="B38:I38" si="34">B1</f>
        <v>Operating</v>
      </c>
      <c r="C38" s="15" t="str">
        <f t="shared" si="34"/>
        <v>SPED</v>
      </c>
      <c r="D38" s="15" t="str">
        <f t="shared" si="34"/>
        <v>NSLP</v>
      </c>
      <c r="E38" s="15" t="str">
        <f t="shared" si="34"/>
        <v>Other</v>
      </c>
      <c r="F38" s="15" t="str">
        <f t="shared" si="34"/>
        <v>Title I</v>
      </c>
      <c r="G38" s="15" t="str">
        <f t="shared" si="34"/>
        <v>Title II</v>
      </c>
      <c r="H38" s="15" t="str">
        <f t="shared" si="34"/>
        <v>Title III</v>
      </c>
      <c r="I38" s="15" t="str">
        <f t="shared" si="34"/>
        <v>B&amp;G</v>
      </c>
      <c r="J38" s="16"/>
      <c r="L38" s="15" t="str">
        <f t="shared" ref="L38:S38" si="35">L1</f>
        <v>Operating</v>
      </c>
      <c r="M38" s="15" t="str">
        <f t="shared" si="35"/>
        <v>SPED</v>
      </c>
      <c r="N38" s="15" t="str">
        <f t="shared" si="35"/>
        <v>NSLP</v>
      </c>
      <c r="O38" s="15" t="str">
        <f t="shared" si="35"/>
        <v>Other</v>
      </c>
      <c r="P38" s="15" t="str">
        <f t="shared" si="35"/>
        <v>Title I</v>
      </c>
      <c r="Q38" s="15" t="str">
        <f t="shared" si="35"/>
        <v>Title II</v>
      </c>
      <c r="R38" s="15" t="str">
        <f t="shared" si="35"/>
        <v>Title III</v>
      </c>
      <c r="S38" s="15" t="str">
        <f t="shared" si="35"/>
        <v>New</v>
      </c>
      <c r="T38" s="16"/>
      <c r="V38" s="15" t="str">
        <f t="shared" ref="V38:AC38" si="36">V1</f>
        <v>Operating</v>
      </c>
      <c r="W38" s="15" t="str">
        <f t="shared" si="36"/>
        <v>SPED</v>
      </c>
      <c r="X38" s="15" t="str">
        <f t="shared" si="36"/>
        <v>NSLP</v>
      </c>
      <c r="Y38" s="15" t="str">
        <f t="shared" si="36"/>
        <v>Other</v>
      </c>
      <c r="Z38" s="15" t="str">
        <f t="shared" si="36"/>
        <v>Title I</v>
      </c>
      <c r="AA38" s="15" t="str">
        <f t="shared" si="36"/>
        <v>Title II</v>
      </c>
      <c r="AB38" s="15" t="str">
        <f t="shared" si="36"/>
        <v>Title III</v>
      </c>
      <c r="AC38" s="15" t="str">
        <f t="shared" si="36"/>
        <v>MANN</v>
      </c>
    </row>
    <row r="39" spans="1:29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37">SUM(B39:H39)</f>
        <v>1</v>
      </c>
      <c r="J39" s="11"/>
      <c r="L39" s="22">
        <v>1</v>
      </c>
      <c r="M39" s="22"/>
      <c r="N39" s="22"/>
      <c r="O39" s="22"/>
      <c r="P39" s="22"/>
      <c r="Q39" s="22"/>
      <c r="R39" s="22"/>
      <c r="S39" s="21">
        <f t="shared" ref="S39" si="38">SUM(L39:R39)</f>
        <v>1</v>
      </c>
      <c r="T39" s="11"/>
      <c r="V39" s="22">
        <f>B39+L39</f>
        <v>2</v>
      </c>
      <c r="W39" s="22">
        <f t="shared" ref="W39:Y54" si="39">C39+M39</f>
        <v>0</v>
      </c>
      <c r="X39" s="22">
        <f t="shared" si="39"/>
        <v>0</v>
      </c>
      <c r="Y39" s="22">
        <f t="shared" si="39"/>
        <v>0</v>
      </c>
      <c r="Z39" s="22"/>
      <c r="AA39" s="22"/>
      <c r="AB39" s="22"/>
      <c r="AC39" s="21">
        <f t="shared" ref="AC39" si="40">SUM(V39:AB39)</f>
        <v>2</v>
      </c>
    </row>
    <row r="40" spans="1:29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  <c r="L40" s="22">
        <v>2</v>
      </c>
      <c r="M40" s="22"/>
      <c r="N40" s="22"/>
      <c r="O40" s="22"/>
      <c r="P40" s="22"/>
      <c r="Q40" s="22"/>
      <c r="R40" s="22"/>
      <c r="S40" s="21">
        <f>SUM(L40:R40)</f>
        <v>2</v>
      </c>
      <c r="T40" s="11"/>
      <c r="V40" s="22">
        <f t="shared" ref="V40:Y60" si="41">B40+L40</f>
        <v>3</v>
      </c>
      <c r="W40" s="22">
        <f t="shared" si="39"/>
        <v>0</v>
      </c>
      <c r="X40" s="22">
        <f t="shared" si="39"/>
        <v>0</v>
      </c>
      <c r="Y40" s="22">
        <f t="shared" si="39"/>
        <v>0</v>
      </c>
      <c r="Z40" s="22"/>
      <c r="AA40" s="22"/>
      <c r="AB40" s="22"/>
      <c r="AC40" s="21">
        <f>SUM(V40:AB40)</f>
        <v>3</v>
      </c>
    </row>
    <row r="41" spans="1:29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  <c r="L41" s="22">
        <v>1</v>
      </c>
      <c r="M41" s="22"/>
      <c r="N41" s="22"/>
      <c r="O41" s="22"/>
      <c r="P41" s="22"/>
      <c r="Q41" s="22"/>
      <c r="R41" s="22"/>
      <c r="S41" s="21">
        <f>SUM(L41:R41)</f>
        <v>1</v>
      </c>
      <c r="T41" s="11"/>
      <c r="V41" s="22">
        <f t="shared" si="41"/>
        <v>1</v>
      </c>
      <c r="W41" s="22">
        <f t="shared" si="39"/>
        <v>0</v>
      </c>
      <c r="X41" s="22">
        <f t="shared" si="39"/>
        <v>0</v>
      </c>
      <c r="Y41" s="22">
        <f t="shared" si="39"/>
        <v>0</v>
      </c>
      <c r="Z41" s="22"/>
      <c r="AA41" s="22"/>
      <c r="AB41" s="22"/>
      <c r="AC41" s="21">
        <f>SUM(V41:AB41)</f>
        <v>1</v>
      </c>
    </row>
    <row r="42" spans="1:29" x14ac:dyDescent="0.35">
      <c r="A42" s="27" t="s">
        <v>36</v>
      </c>
      <c r="B42" s="22">
        <v>0</v>
      </c>
      <c r="C42" s="22"/>
      <c r="D42" s="22"/>
      <c r="E42" s="22"/>
      <c r="F42" s="22"/>
      <c r="G42" s="22"/>
      <c r="H42" s="22"/>
      <c r="I42" s="21">
        <f>SUM(B42:H42)</f>
        <v>0</v>
      </c>
      <c r="J42" s="11"/>
      <c r="L42" s="22">
        <v>0</v>
      </c>
      <c r="M42" s="22"/>
      <c r="N42" s="22"/>
      <c r="O42" s="22"/>
      <c r="P42" s="22"/>
      <c r="Q42" s="22"/>
      <c r="R42" s="22"/>
      <c r="S42" s="21">
        <f>SUM(L42:R42)</f>
        <v>0</v>
      </c>
      <c r="T42" s="11"/>
      <c r="V42" s="22">
        <f t="shared" si="41"/>
        <v>0</v>
      </c>
      <c r="W42" s="22">
        <f t="shared" si="39"/>
        <v>0</v>
      </c>
      <c r="X42" s="22">
        <f t="shared" si="39"/>
        <v>0</v>
      </c>
      <c r="Y42" s="22">
        <f t="shared" si="39"/>
        <v>0</v>
      </c>
      <c r="Z42" s="22"/>
      <c r="AA42" s="22"/>
      <c r="AB42" s="22"/>
      <c r="AC42" s="21">
        <f>SUM(V42:AB42)</f>
        <v>0</v>
      </c>
    </row>
    <row r="43" spans="1:29" x14ac:dyDescent="0.35">
      <c r="A43" s="27" t="s">
        <v>38</v>
      </c>
      <c r="B43" s="22">
        <v>1</v>
      </c>
      <c r="C43" s="22"/>
      <c r="D43" s="22"/>
      <c r="E43" s="22"/>
      <c r="F43" s="22"/>
      <c r="G43" s="22"/>
      <c r="H43" s="22"/>
      <c r="I43" s="21">
        <f>SUM(B43:H43)</f>
        <v>1</v>
      </c>
      <c r="J43" s="11"/>
      <c r="L43" s="22">
        <v>1</v>
      </c>
      <c r="M43" s="22"/>
      <c r="N43" s="22"/>
      <c r="O43" s="22"/>
      <c r="P43" s="22"/>
      <c r="Q43" s="22"/>
      <c r="R43" s="22"/>
      <c r="S43" s="21">
        <f>SUM(L43:R43)</f>
        <v>1</v>
      </c>
      <c r="T43" s="11"/>
      <c r="V43" s="22">
        <f t="shared" si="41"/>
        <v>2</v>
      </c>
      <c r="W43" s="22">
        <f t="shared" si="39"/>
        <v>0</v>
      </c>
      <c r="X43" s="22">
        <f t="shared" si="39"/>
        <v>0</v>
      </c>
      <c r="Y43" s="22">
        <f t="shared" si="39"/>
        <v>0</v>
      </c>
      <c r="Z43" s="22"/>
      <c r="AA43" s="22"/>
      <c r="AB43" s="22"/>
      <c r="AC43" s="21">
        <f>SUM(V43:AB43)</f>
        <v>2</v>
      </c>
    </row>
    <row r="44" spans="1:29" x14ac:dyDescent="0.35">
      <c r="A44" s="27" t="s">
        <v>46</v>
      </c>
      <c r="B44" s="22">
        <v>1</v>
      </c>
      <c r="C44" s="22"/>
      <c r="D44" s="22"/>
      <c r="E44" s="22"/>
      <c r="F44" s="22"/>
      <c r="G44" s="22"/>
      <c r="H44" s="22"/>
      <c r="I44" s="21">
        <f>SUM(B44:H44)</f>
        <v>1</v>
      </c>
      <c r="J44" s="11"/>
      <c r="L44" s="22">
        <v>1</v>
      </c>
      <c r="M44" s="22"/>
      <c r="N44" s="22"/>
      <c r="O44" s="22"/>
      <c r="P44" s="22"/>
      <c r="Q44" s="22"/>
      <c r="R44" s="22"/>
      <c r="S44" s="21">
        <f>SUM(L44:R44)</f>
        <v>1</v>
      </c>
      <c r="T44" s="11"/>
      <c r="V44" s="22">
        <f t="shared" si="41"/>
        <v>2</v>
      </c>
      <c r="W44" s="22">
        <f t="shared" si="39"/>
        <v>0</v>
      </c>
      <c r="X44" s="22">
        <f t="shared" si="39"/>
        <v>0</v>
      </c>
      <c r="Y44" s="22">
        <f t="shared" si="39"/>
        <v>0</v>
      </c>
      <c r="Z44" s="22"/>
      <c r="AA44" s="22"/>
      <c r="AB44" s="22"/>
      <c r="AC44" s="21">
        <f>SUM(V44:AB44)</f>
        <v>2</v>
      </c>
    </row>
    <row r="45" spans="1:29" x14ac:dyDescent="0.35">
      <c r="A45" s="27" t="s">
        <v>48</v>
      </c>
      <c r="B45" s="22">
        <v>0</v>
      </c>
      <c r="C45" s="22"/>
      <c r="D45" s="22"/>
      <c r="E45" s="22"/>
      <c r="F45" s="22"/>
      <c r="G45" s="22"/>
      <c r="H45" s="22"/>
      <c r="I45" s="21">
        <f t="shared" si="37"/>
        <v>0</v>
      </c>
      <c r="J45" s="11"/>
      <c r="L45" s="22">
        <v>0</v>
      </c>
      <c r="M45" s="22"/>
      <c r="N45" s="22"/>
      <c r="O45" s="22"/>
      <c r="P45" s="22"/>
      <c r="Q45" s="22"/>
      <c r="R45" s="22"/>
      <c r="S45" s="21">
        <f t="shared" ref="S45:S46" si="42">SUM(L45:R45)</f>
        <v>0</v>
      </c>
      <c r="T45" s="11"/>
      <c r="V45" s="22">
        <f t="shared" si="41"/>
        <v>0</v>
      </c>
      <c r="W45" s="22">
        <f t="shared" si="39"/>
        <v>0</v>
      </c>
      <c r="X45" s="22">
        <f t="shared" si="39"/>
        <v>0</v>
      </c>
      <c r="Y45" s="22">
        <f t="shared" si="39"/>
        <v>0</v>
      </c>
      <c r="Z45" s="22"/>
      <c r="AA45" s="22"/>
      <c r="AB45" s="22"/>
      <c r="AC45" s="21">
        <f t="shared" ref="AC45:AC46" si="43">SUM(V45:AB45)</f>
        <v>0</v>
      </c>
    </row>
    <row r="46" spans="1:29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37"/>
        <v>1</v>
      </c>
      <c r="J46" s="11"/>
      <c r="L46" s="22">
        <v>1</v>
      </c>
      <c r="M46" s="22"/>
      <c r="N46" s="22"/>
      <c r="O46" s="22"/>
      <c r="P46" s="22"/>
      <c r="Q46" s="22"/>
      <c r="R46" s="22"/>
      <c r="S46" s="21">
        <f t="shared" si="42"/>
        <v>1</v>
      </c>
      <c r="T46" s="11"/>
      <c r="V46" s="22">
        <f t="shared" si="41"/>
        <v>2</v>
      </c>
      <c r="W46" s="22">
        <f t="shared" si="39"/>
        <v>0</v>
      </c>
      <c r="X46" s="22">
        <f t="shared" si="39"/>
        <v>0</v>
      </c>
      <c r="Y46" s="22">
        <f t="shared" si="39"/>
        <v>0</v>
      </c>
      <c r="Z46" s="22"/>
      <c r="AA46" s="22"/>
      <c r="AB46" s="22"/>
      <c r="AC46" s="21">
        <f t="shared" si="43"/>
        <v>2</v>
      </c>
    </row>
    <row r="47" spans="1:29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  <c r="L47" s="22">
        <v>1</v>
      </c>
      <c r="M47" s="22"/>
      <c r="N47" s="22"/>
      <c r="O47" s="22"/>
      <c r="P47" s="22"/>
      <c r="Q47" s="22"/>
      <c r="R47" s="22"/>
      <c r="S47" s="21">
        <f>SUM(L47:R47)</f>
        <v>1</v>
      </c>
      <c r="T47" s="11"/>
      <c r="V47" s="22">
        <f t="shared" si="41"/>
        <v>2</v>
      </c>
      <c r="W47" s="22">
        <f t="shared" si="39"/>
        <v>0</v>
      </c>
      <c r="X47" s="22">
        <f t="shared" si="39"/>
        <v>0</v>
      </c>
      <c r="Y47" s="22">
        <f t="shared" si="39"/>
        <v>0</v>
      </c>
      <c r="Z47" s="22"/>
      <c r="AA47" s="22"/>
      <c r="AB47" s="22"/>
      <c r="AC47" s="21">
        <f>SUM(V47:AB47)</f>
        <v>2</v>
      </c>
    </row>
    <row r="48" spans="1:29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37"/>
        <v>1</v>
      </c>
      <c r="J48" s="11"/>
      <c r="L48" s="22">
        <v>1</v>
      </c>
      <c r="M48" s="22"/>
      <c r="N48" s="22"/>
      <c r="O48" s="22"/>
      <c r="P48" s="22"/>
      <c r="Q48" s="22"/>
      <c r="R48" s="22"/>
      <c r="S48" s="21">
        <f t="shared" ref="S48" si="44">SUM(L48:R48)</f>
        <v>1</v>
      </c>
      <c r="T48" s="11"/>
      <c r="V48" s="22">
        <f t="shared" si="41"/>
        <v>2</v>
      </c>
      <c r="W48" s="22">
        <f t="shared" si="39"/>
        <v>0</v>
      </c>
      <c r="X48" s="22">
        <f t="shared" si="39"/>
        <v>0</v>
      </c>
      <c r="Y48" s="22">
        <f t="shared" si="39"/>
        <v>0</v>
      </c>
      <c r="Z48" s="22"/>
      <c r="AA48" s="22"/>
      <c r="AB48" s="22"/>
      <c r="AC48" s="21">
        <f t="shared" ref="AC48" si="45">SUM(V48:AB48)</f>
        <v>2</v>
      </c>
    </row>
    <row r="49" spans="1:29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  <c r="L49" s="22">
        <v>1</v>
      </c>
      <c r="M49" s="22"/>
      <c r="N49" s="22"/>
      <c r="O49" s="22"/>
      <c r="P49" s="22"/>
      <c r="Q49" s="22"/>
      <c r="R49" s="22"/>
      <c r="S49" s="21">
        <f>SUM(L49:R49)</f>
        <v>1</v>
      </c>
      <c r="T49" s="11"/>
      <c r="V49" s="22">
        <f t="shared" si="41"/>
        <v>1</v>
      </c>
      <c r="W49" s="22">
        <f t="shared" si="39"/>
        <v>0</v>
      </c>
      <c r="X49" s="22">
        <f t="shared" si="39"/>
        <v>0</v>
      </c>
      <c r="Y49" s="22">
        <f t="shared" si="39"/>
        <v>0</v>
      </c>
      <c r="Z49" s="22"/>
      <c r="AA49" s="22"/>
      <c r="AB49" s="22"/>
      <c r="AC49" s="21">
        <f>SUM(V49:AB49)</f>
        <v>1</v>
      </c>
    </row>
    <row r="50" spans="1:29" x14ac:dyDescent="0.35">
      <c r="A50" s="25" t="s">
        <v>51</v>
      </c>
      <c r="B50" s="22">
        <v>5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10</v>
      </c>
      <c r="J50" s="11"/>
      <c r="L50" s="22">
        <v>3</v>
      </c>
      <c r="M50" s="22">
        <v>4</v>
      </c>
      <c r="N50" s="22">
        <v>3</v>
      </c>
      <c r="O50" s="22"/>
      <c r="P50" s="22"/>
      <c r="Q50" s="22"/>
      <c r="R50" s="22"/>
      <c r="S50" s="21">
        <f>SUM(L50:R50)</f>
        <v>10</v>
      </c>
      <c r="T50" s="11"/>
      <c r="V50" s="22">
        <f t="shared" si="41"/>
        <v>8</v>
      </c>
      <c r="W50" s="22">
        <f t="shared" si="39"/>
        <v>7</v>
      </c>
      <c r="X50" s="22">
        <f t="shared" si="39"/>
        <v>5</v>
      </c>
      <c r="Y50" s="22">
        <f t="shared" si="39"/>
        <v>0</v>
      </c>
      <c r="Z50" s="22"/>
      <c r="AA50" s="22"/>
      <c r="AB50" s="22"/>
      <c r="AC50" s="21">
        <f>SUM(V50:AB50)</f>
        <v>20</v>
      </c>
    </row>
    <row r="51" spans="1:29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37"/>
        <v>0</v>
      </c>
      <c r="J51" s="11"/>
      <c r="L51" s="22">
        <v>2.5</v>
      </c>
      <c r="M51" s="22"/>
      <c r="N51" s="22"/>
      <c r="O51" s="22"/>
      <c r="P51" s="22"/>
      <c r="Q51" s="22"/>
      <c r="R51" s="22"/>
      <c r="S51" s="21">
        <f t="shared" ref="S51" si="46">SUM(L51:R51)</f>
        <v>2.5</v>
      </c>
      <c r="T51" s="11"/>
      <c r="V51" s="22">
        <f t="shared" si="41"/>
        <v>2.5</v>
      </c>
      <c r="W51" s="22">
        <f t="shared" si="39"/>
        <v>0</v>
      </c>
      <c r="X51" s="22">
        <f t="shared" si="39"/>
        <v>0</v>
      </c>
      <c r="Y51" s="22">
        <f t="shared" si="39"/>
        <v>0</v>
      </c>
      <c r="Z51" s="22"/>
      <c r="AA51" s="22"/>
      <c r="AB51" s="22"/>
      <c r="AC51" s="21">
        <f t="shared" ref="AC51" si="47">SUM(V51:AB51)</f>
        <v>2.5</v>
      </c>
    </row>
    <row r="52" spans="1:29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  <c r="L52" s="22"/>
      <c r="M52" s="22"/>
      <c r="N52" s="22">
        <v>1</v>
      </c>
      <c r="O52" s="22"/>
      <c r="P52" s="22"/>
      <c r="Q52" s="22"/>
      <c r="R52" s="22"/>
      <c r="S52" s="21">
        <f>SUM(L52:R52)</f>
        <v>1</v>
      </c>
      <c r="T52" s="11"/>
      <c r="V52" s="22">
        <f t="shared" si="41"/>
        <v>0</v>
      </c>
      <c r="W52" s="22">
        <f t="shared" si="39"/>
        <v>0</v>
      </c>
      <c r="X52" s="22">
        <f t="shared" si="39"/>
        <v>1</v>
      </c>
      <c r="Y52" s="22">
        <f t="shared" si="39"/>
        <v>0</v>
      </c>
      <c r="Z52" s="22"/>
      <c r="AA52" s="22"/>
      <c r="AB52" s="22"/>
      <c r="AC52" s="21">
        <f>SUM(V52:AB52)</f>
        <v>1</v>
      </c>
    </row>
    <row r="53" spans="1:29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37"/>
        <v>0</v>
      </c>
      <c r="J53" s="6"/>
      <c r="L53" s="22">
        <v>0</v>
      </c>
      <c r="M53" s="22"/>
      <c r="N53" s="22"/>
      <c r="O53" s="22"/>
      <c r="P53" s="22"/>
      <c r="Q53" s="22"/>
      <c r="R53" s="22"/>
      <c r="S53" s="21">
        <f t="shared" ref="S53:S55" si="48">SUM(L53:R53)</f>
        <v>0</v>
      </c>
      <c r="T53" s="6"/>
      <c r="V53" s="22">
        <f t="shared" si="41"/>
        <v>0</v>
      </c>
      <c r="W53" s="22">
        <f t="shared" si="39"/>
        <v>0</v>
      </c>
      <c r="X53" s="22">
        <f t="shared" si="39"/>
        <v>0</v>
      </c>
      <c r="Y53" s="22">
        <f t="shared" si="39"/>
        <v>0</v>
      </c>
      <c r="Z53" s="22"/>
      <c r="AA53" s="22"/>
      <c r="AB53" s="22"/>
      <c r="AC53" s="21">
        <f t="shared" ref="AC53:AC55" si="49">SUM(V53:AB53)</f>
        <v>0</v>
      </c>
    </row>
    <row r="54" spans="1:29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37"/>
        <v>0</v>
      </c>
      <c r="J54" s="6"/>
      <c r="L54" s="22"/>
      <c r="M54" s="22">
        <v>0</v>
      </c>
      <c r="N54" s="22"/>
      <c r="O54" s="22"/>
      <c r="P54" s="22"/>
      <c r="Q54" s="22"/>
      <c r="R54" s="22"/>
      <c r="S54" s="21">
        <f t="shared" si="48"/>
        <v>0</v>
      </c>
      <c r="T54" s="6"/>
      <c r="V54" s="22">
        <f t="shared" si="41"/>
        <v>0</v>
      </c>
      <c r="W54" s="22">
        <f t="shared" si="39"/>
        <v>0</v>
      </c>
      <c r="X54" s="22">
        <f t="shared" si="39"/>
        <v>0</v>
      </c>
      <c r="Y54" s="22">
        <f t="shared" si="39"/>
        <v>0</v>
      </c>
      <c r="Z54" s="22"/>
      <c r="AA54" s="22"/>
      <c r="AB54" s="22"/>
      <c r="AC54" s="21">
        <f t="shared" si="49"/>
        <v>0</v>
      </c>
    </row>
    <row r="55" spans="1:29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37"/>
        <v>1</v>
      </c>
      <c r="J55" s="6"/>
      <c r="L55" s="22"/>
      <c r="M55" s="22">
        <v>0</v>
      </c>
      <c r="N55" s="22"/>
      <c r="O55" s="22"/>
      <c r="P55" s="22"/>
      <c r="Q55" s="22"/>
      <c r="R55" s="22"/>
      <c r="S55" s="21">
        <f t="shared" si="48"/>
        <v>0</v>
      </c>
      <c r="T55" s="6"/>
      <c r="V55" s="22">
        <f t="shared" si="41"/>
        <v>0</v>
      </c>
      <c r="W55" s="22">
        <f t="shared" si="41"/>
        <v>1</v>
      </c>
      <c r="X55" s="22">
        <f t="shared" si="41"/>
        <v>0</v>
      </c>
      <c r="Y55" s="22">
        <f t="shared" si="41"/>
        <v>0</v>
      </c>
      <c r="Z55" s="22"/>
      <c r="AA55" s="22"/>
      <c r="AB55" s="22"/>
      <c r="AC55" s="21">
        <f t="shared" si="49"/>
        <v>1</v>
      </c>
    </row>
    <row r="56" spans="1:29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  <c r="L56" s="22"/>
      <c r="M56" s="22">
        <v>0</v>
      </c>
      <c r="N56" s="22"/>
      <c r="O56" s="22"/>
      <c r="P56" s="22"/>
      <c r="Q56" s="22"/>
      <c r="R56" s="22"/>
      <c r="S56" s="21">
        <f>SUM(L56:R56)</f>
        <v>0</v>
      </c>
      <c r="T56" s="6"/>
      <c r="V56" s="22">
        <f t="shared" si="41"/>
        <v>0</v>
      </c>
      <c r="W56" s="22">
        <f t="shared" si="41"/>
        <v>0</v>
      </c>
      <c r="X56" s="22">
        <f t="shared" si="41"/>
        <v>0</v>
      </c>
      <c r="Y56" s="22">
        <f t="shared" si="41"/>
        <v>0</v>
      </c>
      <c r="Z56" s="22"/>
      <c r="AA56" s="22"/>
      <c r="AB56" s="22"/>
      <c r="AC56" s="21">
        <f>SUM(V56:AB56)</f>
        <v>0</v>
      </c>
    </row>
    <row r="57" spans="1:29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37"/>
        <v>0</v>
      </c>
      <c r="J57" s="6"/>
      <c r="L57" s="22"/>
      <c r="M57" s="22"/>
      <c r="N57" s="22"/>
      <c r="O57" s="22"/>
      <c r="P57" s="22"/>
      <c r="Q57" s="22"/>
      <c r="R57" s="22"/>
      <c r="S57" s="21">
        <f t="shared" ref="S57" si="50">SUM(L57:R57)</f>
        <v>0</v>
      </c>
      <c r="T57" s="6"/>
      <c r="V57" s="22">
        <f t="shared" si="41"/>
        <v>0</v>
      </c>
      <c r="W57" s="22">
        <f t="shared" si="41"/>
        <v>0</v>
      </c>
      <c r="X57" s="22">
        <f t="shared" si="41"/>
        <v>0</v>
      </c>
      <c r="Y57" s="22">
        <f t="shared" si="41"/>
        <v>0</v>
      </c>
      <c r="Z57" s="22"/>
      <c r="AA57" s="22"/>
      <c r="AB57" s="22"/>
      <c r="AC57" s="21">
        <f t="shared" ref="AC57" si="51">SUM(V57:AB57)</f>
        <v>0</v>
      </c>
    </row>
    <row r="58" spans="1:29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  <c r="L58" s="22">
        <v>0</v>
      </c>
      <c r="M58" s="22"/>
      <c r="N58" s="22"/>
      <c r="O58" s="22"/>
      <c r="P58" s="22"/>
      <c r="Q58" s="22"/>
      <c r="R58" s="22"/>
      <c r="S58" s="21">
        <f>SUM(L58:R58)</f>
        <v>0</v>
      </c>
      <c r="T58" s="6"/>
      <c r="V58" s="22">
        <f t="shared" si="41"/>
        <v>0</v>
      </c>
      <c r="W58" s="22">
        <f t="shared" si="41"/>
        <v>0</v>
      </c>
      <c r="X58" s="22">
        <f t="shared" si="41"/>
        <v>0</v>
      </c>
      <c r="Y58" s="22">
        <f t="shared" si="41"/>
        <v>0</v>
      </c>
      <c r="Z58" s="22"/>
      <c r="AA58" s="22"/>
      <c r="AB58" s="22"/>
      <c r="AC58" s="21">
        <f>SUM(V58:AB58)</f>
        <v>0</v>
      </c>
    </row>
    <row r="59" spans="1:29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37"/>
        <v>0</v>
      </c>
      <c r="J59" s="6"/>
      <c r="L59" s="22">
        <v>0</v>
      </c>
      <c r="M59" s="22"/>
      <c r="N59" s="22"/>
      <c r="O59" s="22"/>
      <c r="P59" s="22"/>
      <c r="Q59" s="22"/>
      <c r="R59" s="22"/>
      <c r="S59" s="21">
        <f t="shared" ref="S59:S60" si="52">SUM(L59:R59)</f>
        <v>0</v>
      </c>
      <c r="T59" s="6"/>
      <c r="V59" s="22">
        <f t="shared" si="41"/>
        <v>0</v>
      </c>
      <c r="W59" s="22">
        <f t="shared" si="41"/>
        <v>0</v>
      </c>
      <c r="X59" s="22">
        <f t="shared" si="41"/>
        <v>0</v>
      </c>
      <c r="Y59" s="22">
        <f t="shared" si="41"/>
        <v>0</v>
      </c>
      <c r="Z59" s="22"/>
      <c r="AA59" s="22"/>
      <c r="AB59" s="22"/>
      <c r="AC59" s="21">
        <f t="shared" ref="AC59:AC60" si="53">SUM(V59:AB59)</f>
        <v>0</v>
      </c>
    </row>
    <row r="60" spans="1:29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37"/>
        <v>0</v>
      </c>
      <c r="J60" s="6"/>
      <c r="L60" s="21"/>
      <c r="M60" s="21"/>
      <c r="N60" s="21"/>
      <c r="O60" s="21"/>
      <c r="P60" s="21"/>
      <c r="Q60" s="21"/>
      <c r="R60" s="21"/>
      <c r="S60" s="21">
        <f t="shared" si="52"/>
        <v>0</v>
      </c>
      <c r="T60" s="6"/>
      <c r="V60" s="22">
        <f t="shared" si="41"/>
        <v>0</v>
      </c>
      <c r="W60" s="22">
        <f t="shared" si="41"/>
        <v>0</v>
      </c>
      <c r="X60" s="22">
        <f t="shared" si="41"/>
        <v>0</v>
      </c>
      <c r="Y60" s="22">
        <f t="shared" si="41"/>
        <v>0</v>
      </c>
      <c r="Z60" s="21"/>
      <c r="AA60" s="21"/>
      <c r="AB60" s="21"/>
      <c r="AC60" s="21">
        <f t="shared" si="53"/>
        <v>0</v>
      </c>
    </row>
    <row r="61" spans="1:29" x14ac:dyDescent="0.35">
      <c r="A61" s="20" t="s">
        <v>58</v>
      </c>
      <c r="B61" s="28">
        <f t="shared" ref="B61:I61" si="54">SUM(B39:B60)</f>
        <v>12</v>
      </c>
      <c r="C61" s="28">
        <f t="shared" si="54"/>
        <v>4</v>
      </c>
      <c r="D61" s="28">
        <f t="shared" si="54"/>
        <v>2</v>
      </c>
      <c r="E61" s="28">
        <f t="shared" si="54"/>
        <v>0</v>
      </c>
      <c r="F61" s="28">
        <f t="shared" si="54"/>
        <v>0</v>
      </c>
      <c r="G61" s="28">
        <f t="shared" si="54"/>
        <v>0</v>
      </c>
      <c r="H61" s="28">
        <f t="shared" si="54"/>
        <v>0</v>
      </c>
      <c r="I61" s="28">
        <f t="shared" si="54"/>
        <v>18</v>
      </c>
      <c r="J61" s="7"/>
      <c r="L61" s="28">
        <f t="shared" ref="L61:S61" si="55">SUM(L39:L60)</f>
        <v>15.5</v>
      </c>
      <c r="M61" s="28">
        <f t="shared" si="55"/>
        <v>4</v>
      </c>
      <c r="N61" s="28">
        <f t="shared" si="55"/>
        <v>4</v>
      </c>
      <c r="O61" s="28">
        <f t="shared" si="55"/>
        <v>0</v>
      </c>
      <c r="P61" s="28">
        <f t="shared" si="55"/>
        <v>0</v>
      </c>
      <c r="Q61" s="28">
        <f t="shared" si="55"/>
        <v>0</v>
      </c>
      <c r="R61" s="28">
        <f t="shared" si="55"/>
        <v>0</v>
      </c>
      <c r="S61" s="28">
        <f t="shared" si="55"/>
        <v>23.5</v>
      </c>
      <c r="T61" s="7"/>
      <c r="V61" s="28">
        <f t="shared" ref="V61:AC61" si="56">SUM(V39:V60)</f>
        <v>27.5</v>
      </c>
      <c r="W61" s="28">
        <f t="shared" si="56"/>
        <v>8</v>
      </c>
      <c r="X61" s="28">
        <f t="shared" si="56"/>
        <v>6</v>
      </c>
      <c r="Y61" s="28">
        <f t="shared" si="56"/>
        <v>0</v>
      </c>
      <c r="Z61" s="28">
        <f t="shared" si="56"/>
        <v>0</v>
      </c>
      <c r="AA61" s="28">
        <f t="shared" si="56"/>
        <v>0</v>
      </c>
      <c r="AB61" s="28">
        <f t="shared" si="56"/>
        <v>0</v>
      </c>
      <c r="AC61" s="28">
        <f t="shared" si="56"/>
        <v>41.5</v>
      </c>
    </row>
    <row r="62" spans="1:29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  <c r="L62" s="30"/>
      <c r="M62" s="30"/>
      <c r="N62" s="30"/>
      <c r="O62" s="30"/>
      <c r="P62" s="30"/>
      <c r="Q62" s="30"/>
      <c r="R62" s="30"/>
      <c r="S62" s="30"/>
      <c r="T62" s="7"/>
      <c r="V62" s="30"/>
      <c r="W62" s="30"/>
      <c r="X62" s="30"/>
      <c r="Y62" s="30"/>
      <c r="Z62" s="30"/>
      <c r="AA62" s="30"/>
      <c r="AB62" s="30"/>
      <c r="AC62" s="30"/>
    </row>
    <row r="63" spans="1:29" x14ac:dyDescent="0.35">
      <c r="A63" s="31" t="s">
        <v>59</v>
      </c>
      <c r="B63" s="32">
        <f t="shared" ref="B63:I63" si="57">B36</f>
        <v>21</v>
      </c>
      <c r="C63" s="32">
        <f t="shared" si="57"/>
        <v>3</v>
      </c>
      <c r="D63" s="32">
        <f t="shared" si="57"/>
        <v>0</v>
      </c>
      <c r="E63" s="32">
        <f t="shared" si="57"/>
        <v>0</v>
      </c>
      <c r="F63" s="32">
        <f t="shared" si="57"/>
        <v>0</v>
      </c>
      <c r="G63" s="32">
        <f t="shared" si="57"/>
        <v>0</v>
      </c>
      <c r="H63" s="32">
        <f t="shared" si="57"/>
        <v>0</v>
      </c>
      <c r="I63" s="32">
        <f t="shared" si="57"/>
        <v>24</v>
      </c>
      <c r="J63" s="7"/>
      <c r="L63" s="32">
        <f t="shared" ref="L63:S63" si="58">L36</f>
        <v>40</v>
      </c>
      <c r="M63" s="32">
        <f t="shared" si="58"/>
        <v>3.5</v>
      </c>
      <c r="N63" s="32">
        <f t="shared" si="58"/>
        <v>0</v>
      </c>
      <c r="O63" s="32">
        <f t="shared" si="58"/>
        <v>0</v>
      </c>
      <c r="P63" s="32">
        <f t="shared" si="58"/>
        <v>0</v>
      </c>
      <c r="Q63" s="32">
        <f t="shared" si="58"/>
        <v>0</v>
      </c>
      <c r="R63" s="32">
        <f t="shared" si="58"/>
        <v>0</v>
      </c>
      <c r="S63" s="32">
        <f t="shared" si="58"/>
        <v>43.5</v>
      </c>
      <c r="T63" s="7"/>
      <c r="V63" s="32">
        <f t="shared" ref="V63:AC63" si="59">V36</f>
        <v>61</v>
      </c>
      <c r="W63" s="32">
        <f t="shared" si="59"/>
        <v>6.5</v>
      </c>
      <c r="X63" s="32">
        <f t="shared" si="59"/>
        <v>0</v>
      </c>
      <c r="Y63" s="32">
        <f t="shared" si="59"/>
        <v>0</v>
      </c>
      <c r="Z63" s="32">
        <f t="shared" si="59"/>
        <v>0</v>
      </c>
      <c r="AA63" s="32">
        <f t="shared" si="59"/>
        <v>0</v>
      </c>
      <c r="AB63" s="32">
        <f t="shared" si="59"/>
        <v>0</v>
      </c>
      <c r="AC63" s="32">
        <f t="shared" si="59"/>
        <v>67.5</v>
      </c>
    </row>
    <row r="64" spans="1:29" x14ac:dyDescent="0.35">
      <c r="A64" s="33" t="s">
        <v>60</v>
      </c>
      <c r="B64" s="34">
        <f>B61</f>
        <v>12</v>
      </c>
      <c r="C64" s="34">
        <f t="shared" ref="C64:I64" si="60">C61</f>
        <v>4</v>
      </c>
      <c r="D64" s="34">
        <f t="shared" si="60"/>
        <v>2</v>
      </c>
      <c r="E64" s="34">
        <f t="shared" si="60"/>
        <v>0</v>
      </c>
      <c r="F64" s="34">
        <f t="shared" si="60"/>
        <v>0</v>
      </c>
      <c r="G64" s="34">
        <f t="shared" si="60"/>
        <v>0</v>
      </c>
      <c r="H64" s="34">
        <f t="shared" si="60"/>
        <v>0</v>
      </c>
      <c r="I64" s="34">
        <f t="shared" si="60"/>
        <v>18</v>
      </c>
      <c r="J64" s="7"/>
      <c r="L64" s="34">
        <f>L61</f>
        <v>15.5</v>
      </c>
      <c r="M64" s="34">
        <f t="shared" ref="M64:S64" si="61">M61</f>
        <v>4</v>
      </c>
      <c r="N64" s="34">
        <f t="shared" si="61"/>
        <v>4</v>
      </c>
      <c r="O64" s="34">
        <f t="shared" si="61"/>
        <v>0</v>
      </c>
      <c r="P64" s="34">
        <f t="shared" si="61"/>
        <v>0</v>
      </c>
      <c r="Q64" s="34">
        <f t="shared" si="61"/>
        <v>0</v>
      </c>
      <c r="R64" s="34">
        <f t="shared" si="61"/>
        <v>0</v>
      </c>
      <c r="S64" s="34">
        <f t="shared" si="61"/>
        <v>23.5</v>
      </c>
      <c r="T64" s="7"/>
      <c r="V64" s="34">
        <f>V61</f>
        <v>27.5</v>
      </c>
      <c r="W64" s="34">
        <f t="shared" ref="W64:AC64" si="62">W61</f>
        <v>8</v>
      </c>
      <c r="X64" s="34">
        <f t="shared" si="62"/>
        <v>6</v>
      </c>
      <c r="Y64" s="34">
        <f t="shared" si="62"/>
        <v>0</v>
      </c>
      <c r="Z64" s="34">
        <f t="shared" si="62"/>
        <v>0</v>
      </c>
      <c r="AA64" s="34">
        <f t="shared" si="62"/>
        <v>0</v>
      </c>
      <c r="AB64" s="34">
        <f t="shared" si="62"/>
        <v>0</v>
      </c>
      <c r="AC64" s="34">
        <f t="shared" si="62"/>
        <v>41.5</v>
      </c>
    </row>
    <row r="65" spans="1:29" ht="15" thickBot="1" x14ac:dyDescent="0.4">
      <c r="A65" s="35" t="s">
        <v>61</v>
      </c>
      <c r="B65" s="36">
        <f>SUM(B63:B64)</f>
        <v>33</v>
      </c>
      <c r="C65" s="36">
        <f t="shared" ref="C65:H65" si="63">SUM(C63:C64)</f>
        <v>7</v>
      </c>
      <c r="D65" s="36">
        <f t="shared" si="63"/>
        <v>2</v>
      </c>
      <c r="E65" s="36">
        <f t="shared" si="63"/>
        <v>0</v>
      </c>
      <c r="F65" s="36">
        <f t="shared" si="63"/>
        <v>0</v>
      </c>
      <c r="G65" s="36">
        <f t="shared" si="63"/>
        <v>0</v>
      </c>
      <c r="H65" s="36">
        <f t="shared" si="63"/>
        <v>0</v>
      </c>
      <c r="I65" s="36">
        <f>SUM(I63:I64)</f>
        <v>42</v>
      </c>
      <c r="J65" s="7"/>
      <c r="L65" s="36">
        <f>SUM(L63:L64)</f>
        <v>55.5</v>
      </c>
      <c r="M65" s="36">
        <f t="shared" ref="M65:R65" si="64">SUM(M63:M64)</f>
        <v>7.5</v>
      </c>
      <c r="N65" s="36">
        <f t="shared" si="64"/>
        <v>4</v>
      </c>
      <c r="O65" s="36">
        <f t="shared" si="64"/>
        <v>0</v>
      </c>
      <c r="P65" s="36">
        <f t="shared" si="64"/>
        <v>0</v>
      </c>
      <c r="Q65" s="36">
        <f t="shared" si="64"/>
        <v>0</v>
      </c>
      <c r="R65" s="36">
        <f t="shared" si="64"/>
        <v>0</v>
      </c>
      <c r="S65" s="36">
        <f>SUM(S63:S64)</f>
        <v>67</v>
      </c>
      <c r="T65" s="7"/>
      <c r="V65" s="36">
        <f>SUM(V63:V64)</f>
        <v>88.5</v>
      </c>
      <c r="W65" s="36">
        <f t="shared" ref="W65:AB65" si="65">SUM(W63:W64)</f>
        <v>14.5</v>
      </c>
      <c r="X65" s="36">
        <f t="shared" si="65"/>
        <v>6</v>
      </c>
      <c r="Y65" s="36">
        <f t="shared" si="65"/>
        <v>0</v>
      </c>
      <c r="Z65" s="36">
        <f t="shared" si="65"/>
        <v>0</v>
      </c>
      <c r="AA65" s="36">
        <f t="shared" si="65"/>
        <v>0</v>
      </c>
      <c r="AB65" s="36">
        <f t="shared" si="65"/>
        <v>0</v>
      </c>
      <c r="AC65" s="36">
        <f>SUM(AC63:AC64)</f>
        <v>109</v>
      </c>
    </row>
    <row r="66" spans="1:29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  <c r="L66" s="37"/>
      <c r="M66" s="37"/>
      <c r="N66" s="37"/>
      <c r="O66" s="37"/>
      <c r="P66" s="37"/>
      <c r="Q66" s="37"/>
      <c r="R66" s="37"/>
      <c r="S66" s="37"/>
      <c r="T66" s="7"/>
      <c r="V66" s="37"/>
      <c r="W66" s="37"/>
      <c r="X66" s="37"/>
      <c r="Y66" s="37"/>
      <c r="Z66" s="37"/>
      <c r="AA66" s="37"/>
      <c r="AB66" s="37"/>
      <c r="AC66" s="37"/>
    </row>
    <row r="67" spans="1:29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0.64148474588941229</v>
      </c>
      <c r="J67" s="7"/>
      <c r="L67" s="39"/>
      <c r="M67" s="39"/>
      <c r="N67" s="39"/>
      <c r="O67" s="39"/>
      <c r="P67" s="39"/>
      <c r="Q67" s="39"/>
      <c r="R67" s="39"/>
      <c r="S67" s="40">
        <f>S142/(S210+S212+S213+S214+S215+S216)</f>
        <v>0.52118624092165444</v>
      </c>
      <c r="T67" s="7"/>
      <c r="V67" s="39"/>
      <c r="W67" s="39"/>
      <c r="X67" s="39"/>
      <c r="Y67" s="39"/>
      <c r="Z67" s="39"/>
      <c r="AA67" s="39"/>
      <c r="AB67" s="39"/>
      <c r="AC67" s="40">
        <f>AC142/(AC210+AC212+AC213+AC214+AC215+AC216)</f>
        <v>0.56174217764378642</v>
      </c>
    </row>
    <row r="68" spans="1:29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0.74829883852527745</v>
      </c>
      <c r="J68" s="7"/>
      <c r="L68" s="39"/>
      <c r="M68" s="39"/>
      <c r="N68" s="39"/>
      <c r="O68" s="39"/>
      <c r="P68" s="39"/>
      <c r="Q68" s="39"/>
      <c r="R68" s="39"/>
      <c r="S68" s="40">
        <f>(S114+S115+S118+S128)/S132</f>
        <v>0.76944726155079191</v>
      </c>
      <c r="T68" s="7"/>
      <c r="V68" s="39"/>
      <c r="W68" s="39"/>
      <c r="X68" s="39"/>
      <c r="Y68" s="39"/>
      <c r="Z68" s="39"/>
      <c r="AA68" s="39"/>
      <c r="AB68" s="39"/>
      <c r="AC68" s="40">
        <f>(AC114+AC115+AC118+AC128)/AC132</f>
        <v>0.76138116699554304</v>
      </c>
    </row>
    <row r="69" spans="1:29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0.21594783104835807</v>
      </c>
      <c r="J69" s="7"/>
      <c r="L69" s="39"/>
      <c r="M69" s="39"/>
      <c r="N69" s="39"/>
      <c r="O69" s="39"/>
      <c r="P69" s="39"/>
      <c r="Q69" s="39"/>
      <c r="R69" s="39"/>
      <c r="S69" s="40">
        <f>(S107+S108+S109+S112+S116+S117+S119+S120++S123+S124+S125+S126+S127+S129+S130)/S132</f>
        <v>0.21039802183442111</v>
      </c>
      <c r="T69" s="7"/>
      <c r="V69" s="39"/>
      <c r="W69" s="39"/>
      <c r="X69" s="39"/>
      <c r="Y69" s="39"/>
      <c r="Z69" s="39"/>
      <c r="AA69" s="39"/>
      <c r="AB69" s="39"/>
      <c r="AC69" s="40">
        <f>(AC107+AC108+AC109+AC112+AC116+AC117+AC119+AC120++AC123+AC124+AC125+AC126+AC127+AC129+AC130)/AC132</f>
        <v>0.21251474164039438</v>
      </c>
    </row>
    <row r="70" spans="1:29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(I213+I214+I215+I216+I212)/(I97-I83-I84)</f>
        <v>0.10457391819154679</v>
      </c>
      <c r="J70" s="7"/>
      <c r="L70" s="39"/>
      <c r="M70" s="39"/>
      <c r="N70" s="39"/>
      <c r="O70" s="39"/>
      <c r="P70" s="39"/>
      <c r="Q70" s="39"/>
      <c r="R70" s="39"/>
      <c r="S70" s="40">
        <f>(S213+S214+S215+S216+S212)/(S97-S83-S84)</f>
        <v>0.18612676526945804</v>
      </c>
      <c r="T70" s="7"/>
      <c r="V70" s="39"/>
      <c r="W70" s="39"/>
      <c r="X70" s="39"/>
      <c r="Y70" s="39"/>
      <c r="Z70" s="39"/>
      <c r="AA70" s="39"/>
      <c r="AB70" s="39"/>
      <c r="AC70" s="40">
        <f>(AC213+AC214+AC215+AC216+AC212)/(AC97-AC83-AC84)</f>
        <v>0.15843765480611291</v>
      </c>
    </row>
    <row r="71" spans="1:29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  <c r="L71" s="37"/>
      <c r="M71" s="37"/>
      <c r="N71" s="37"/>
      <c r="O71" s="37"/>
      <c r="P71" s="37"/>
      <c r="Q71" s="37"/>
      <c r="R71" s="37"/>
      <c r="S71" s="37"/>
      <c r="T71" s="7"/>
      <c r="V71" s="37"/>
      <c r="W71" s="37"/>
      <c r="X71" s="37"/>
      <c r="Y71" s="37"/>
      <c r="Z71" s="37"/>
      <c r="AA71" s="37"/>
      <c r="AB71" s="37"/>
      <c r="AC71" s="37"/>
    </row>
    <row r="72" spans="1:29" ht="15" thickBot="1" x14ac:dyDescent="0.4">
      <c r="A72" s="41" t="s">
        <v>66</v>
      </c>
      <c r="B72" s="42" t="str">
        <f t="shared" ref="B72:I72" si="66">B1</f>
        <v>Operating</v>
      </c>
      <c r="C72" s="42" t="str">
        <f t="shared" si="66"/>
        <v>SPED</v>
      </c>
      <c r="D72" s="42" t="str">
        <f t="shared" si="66"/>
        <v>NSLP</v>
      </c>
      <c r="E72" s="42" t="str">
        <f t="shared" si="66"/>
        <v>Other</v>
      </c>
      <c r="F72" s="42" t="str">
        <f t="shared" si="66"/>
        <v>Title I</v>
      </c>
      <c r="G72" s="42" t="str">
        <f t="shared" si="66"/>
        <v>Title II</v>
      </c>
      <c r="H72" s="42" t="str">
        <f t="shared" si="66"/>
        <v>Title III</v>
      </c>
      <c r="I72" s="42" t="str">
        <f t="shared" si="66"/>
        <v>B&amp;G</v>
      </c>
      <c r="J72" s="7"/>
      <c r="L72" s="42" t="str">
        <f t="shared" ref="L72:S72" si="67">L1</f>
        <v>Operating</v>
      </c>
      <c r="M72" s="42" t="str">
        <f t="shared" si="67"/>
        <v>SPED</v>
      </c>
      <c r="N72" s="42" t="str">
        <f t="shared" si="67"/>
        <v>NSLP</v>
      </c>
      <c r="O72" s="42" t="str">
        <f t="shared" si="67"/>
        <v>Other</v>
      </c>
      <c r="P72" s="42" t="str">
        <f t="shared" si="67"/>
        <v>Title I</v>
      </c>
      <c r="Q72" s="42" t="str">
        <f t="shared" si="67"/>
        <v>Title II</v>
      </c>
      <c r="R72" s="42" t="str">
        <f t="shared" si="67"/>
        <v>Title III</v>
      </c>
      <c r="S72" s="42" t="str">
        <f t="shared" si="67"/>
        <v>New</v>
      </c>
      <c r="T72" s="7"/>
      <c r="V72" s="42" t="str">
        <f t="shared" ref="V72:AC72" si="68">V1</f>
        <v>Operating</v>
      </c>
      <c r="W72" s="42" t="str">
        <f t="shared" si="68"/>
        <v>SPED</v>
      </c>
      <c r="X72" s="42" t="str">
        <f t="shared" si="68"/>
        <v>NSLP</v>
      </c>
      <c r="Y72" s="42" t="str">
        <f t="shared" si="68"/>
        <v>Other</v>
      </c>
      <c r="Z72" s="42" t="str">
        <f t="shared" si="68"/>
        <v>Title I</v>
      </c>
      <c r="AA72" s="42" t="str">
        <f t="shared" si="68"/>
        <v>Title II</v>
      </c>
      <c r="AB72" s="42" t="str">
        <f t="shared" si="68"/>
        <v>Title III</v>
      </c>
      <c r="AC72" s="42" t="str">
        <f t="shared" si="68"/>
        <v>MANN</v>
      </c>
    </row>
    <row r="73" spans="1:29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  <c r="L73" s="44"/>
      <c r="M73" s="44"/>
      <c r="N73" s="44"/>
      <c r="O73" s="44"/>
      <c r="P73" s="44"/>
      <c r="Q73" s="44"/>
      <c r="R73" s="44"/>
      <c r="S73" s="45"/>
      <c r="T73" s="7"/>
      <c r="V73" s="44"/>
      <c r="W73" s="44"/>
      <c r="X73" s="44"/>
      <c r="Y73" s="44"/>
      <c r="Z73" s="44"/>
      <c r="AA73" s="44"/>
      <c r="AB73" s="44"/>
      <c r="AC73" s="45"/>
    </row>
    <row r="74" spans="1:29" x14ac:dyDescent="0.35">
      <c r="A74" s="26" t="s">
        <v>68</v>
      </c>
      <c r="B74" s="46">
        <f>(B2*B3)</f>
        <v>4508175</v>
      </c>
      <c r="C74" s="46"/>
      <c r="D74" s="46"/>
      <c r="E74" s="46"/>
      <c r="F74" s="46"/>
      <c r="G74" s="46"/>
      <c r="H74" s="46"/>
      <c r="I74" s="47">
        <f t="shared" ref="I74:I79" si="69">SUM(B74:H74)</f>
        <v>4508175</v>
      </c>
      <c r="J74" s="11"/>
      <c r="L74" s="46">
        <f>(L2*L3)</f>
        <v>9142385</v>
      </c>
      <c r="M74" s="46"/>
      <c r="N74" s="46"/>
      <c r="O74" s="46"/>
      <c r="P74" s="46"/>
      <c r="Q74" s="46"/>
      <c r="R74" s="46"/>
      <c r="S74" s="47">
        <f t="shared" ref="S74:S79" si="70">SUM(L74:R74)</f>
        <v>9142385</v>
      </c>
      <c r="T74" s="11"/>
      <c r="V74" s="46">
        <f>B74+L74</f>
        <v>13650560</v>
      </c>
      <c r="W74" s="46">
        <f t="shared" ref="W74:Y79" si="71">C74+M74</f>
        <v>0</v>
      </c>
      <c r="X74" s="46">
        <f t="shared" si="71"/>
        <v>0</v>
      </c>
      <c r="Y74" s="46">
        <f t="shared" si="71"/>
        <v>0</v>
      </c>
      <c r="Z74" s="46"/>
      <c r="AA74" s="46"/>
      <c r="AB74" s="46"/>
      <c r="AC74" s="47">
        <f t="shared" ref="AC74:AC79" si="72">SUM(V74:AB74)</f>
        <v>13650560</v>
      </c>
    </row>
    <row r="75" spans="1:29" x14ac:dyDescent="0.35">
      <c r="A75" s="26" t="s">
        <v>69</v>
      </c>
      <c r="B75" s="30">
        <f>4362*B21</f>
        <v>628128</v>
      </c>
      <c r="C75" s="30"/>
      <c r="D75" s="30"/>
      <c r="E75" s="30"/>
      <c r="F75" s="30"/>
      <c r="G75" s="30"/>
      <c r="H75" s="30"/>
      <c r="I75" s="5">
        <f t="shared" si="69"/>
        <v>628128</v>
      </c>
      <c r="J75" s="6">
        <v>4362</v>
      </c>
      <c r="L75" s="30">
        <f>4362*L21</f>
        <v>1033794</v>
      </c>
      <c r="M75" s="30"/>
      <c r="N75" s="30"/>
      <c r="O75" s="30"/>
      <c r="P75" s="30"/>
      <c r="Q75" s="30"/>
      <c r="R75" s="30"/>
      <c r="S75" s="5">
        <f t="shared" si="70"/>
        <v>1033794</v>
      </c>
      <c r="T75" s="6">
        <v>4362</v>
      </c>
      <c r="V75" s="46">
        <f t="shared" ref="V75:V79" si="73">B75+L75</f>
        <v>1661922</v>
      </c>
      <c r="W75" s="46">
        <f t="shared" si="71"/>
        <v>0</v>
      </c>
      <c r="X75" s="46">
        <f t="shared" si="71"/>
        <v>0</v>
      </c>
      <c r="Y75" s="46">
        <f t="shared" si="71"/>
        <v>0</v>
      </c>
      <c r="Z75" s="30"/>
      <c r="AA75" s="30"/>
      <c r="AB75" s="30"/>
      <c r="AC75" s="5">
        <f t="shared" si="72"/>
        <v>1661922</v>
      </c>
    </row>
    <row r="76" spans="1:29" x14ac:dyDescent="0.35">
      <c r="A76" s="26" t="s">
        <v>70</v>
      </c>
      <c r="B76" s="5">
        <f>1163*B22</f>
        <v>0</v>
      </c>
      <c r="C76" s="5"/>
      <c r="D76" s="5"/>
      <c r="E76" s="5"/>
      <c r="F76" s="5"/>
      <c r="G76" s="5"/>
      <c r="H76" s="5"/>
      <c r="I76" s="5">
        <f t="shared" si="69"/>
        <v>0</v>
      </c>
      <c r="J76" s="6">
        <v>1163</v>
      </c>
      <c r="L76" s="5">
        <f>1163*L22</f>
        <v>0</v>
      </c>
      <c r="M76" s="5"/>
      <c r="N76" s="5"/>
      <c r="O76" s="5"/>
      <c r="P76" s="5"/>
      <c r="Q76" s="5"/>
      <c r="R76" s="5"/>
      <c r="S76" s="5">
        <f t="shared" si="70"/>
        <v>0</v>
      </c>
      <c r="T76" s="6">
        <v>1163</v>
      </c>
      <c r="V76" s="46">
        <f t="shared" si="73"/>
        <v>0</v>
      </c>
      <c r="W76" s="46">
        <f t="shared" si="71"/>
        <v>0</v>
      </c>
      <c r="X76" s="46">
        <f t="shared" si="71"/>
        <v>0</v>
      </c>
      <c r="Y76" s="46">
        <f t="shared" si="71"/>
        <v>0</v>
      </c>
      <c r="Z76" s="5"/>
      <c r="AA76" s="5"/>
      <c r="AB76" s="5"/>
      <c r="AC76" s="5">
        <f t="shared" si="72"/>
        <v>0</v>
      </c>
    </row>
    <row r="77" spans="1:29" x14ac:dyDescent="0.35">
      <c r="A77" s="26" t="s">
        <v>71</v>
      </c>
      <c r="B77" s="5">
        <f>3293*B24</f>
        <v>13172</v>
      </c>
      <c r="C77" s="5"/>
      <c r="D77" s="5"/>
      <c r="E77" s="5"/>
      <c r="F77" s="5"/>
      <c r="G77" s="5"/>
      <c r="H77" s="5"/>
      <c r="I77" s="5">
        <f t="shared" si="69"/>
        <v>13172</v>
      </c>
      <c r="J77" s="6">
        <v>3393</v>
      </c>
      <c r="L77" s="5">
        <f>3293*L24</f>
        <v>26344</v>
      </c>
      <c r="M77" s="5"/>
      <c r="N77" s="5"/>
      <c r="O77" s="5"/>
      <c r="P77" s="5"/>
      <c r="Q77" s="5"/>
      <c r="R77" s="5"/>
      <c r="S77" s="5">
        <f t="shared" si="70"/>
        <v>26344</v>
      </c>
      <c r="T77" s="6">
        <v>3393</v>
      </c>
      <c r="V77" s="46">
        <f t="shared" si="73"/>
        <v>39516</v>
      </c>
      <c r="W77" s="46">
        <f t="shared" si="71"/>
        <v>0</v>
      </c>
      <c r="X77" s="46">
        <f t="shared" si="71"/>
        <v>0</v>
      </c>
      <c r="Y77" s="46">
        <f t="shared" si="71"/>
        <v>0</v>
      </c>
      <c r="Z77" s="5"/>
      <c r="AA77" s="5"/>
      <c r="AB77" s="5"/>
      <c r="AC77" s="5">
        <f t="shared" si="72"/>
        <v>39516</v>
      </c>
    </row>
    <row r="78" spans="1:29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69"/>
        <v>53862</v>
      </c>
      <c r="J78" s="48"/>
      <c r="L78" s="30">
        <v>0</v>
      </c>
      <c r="M78" s="30">
        <v>0</v>
      </c>
      <c r="N78" s="30"/>
      <c r="O78" s="30"/>
      <c r="P78" s="30"/>
      <c r="Q78" s="30"/>
      <c r="R78" s="30"/>
      <c r="S78" s="30">
        <f t="shared" si="70"/>
        <v>0</v>
      </c>
      <c r="T78" s="48"/>
      <c r="V78" s="46">
        <f t="shared" si="73"/>
        <v>0</v>
      </c>
      <c r="W78" s="46">
        <f t="shared" si="71"/>
        <v>53862</v>
      </c>
      <c r="X78" s="46">
        <f t="shared" si="71"/>
        <v>0</v>
      </c>
      <c r="Y78" s="46">
        <f t="shared" si="71"/>
        <v>0</v>
      </c>
      <c r="Z78" s="30"/>
      <c r="AA78" s="30"/>
      <c r="AB78" s="30"/>
      <c r="AC78" s="30">
        <f t="shared" si="72"/>
        <v>53862</v>
      </c>
    </row>
    <row r="79" spans="1:29" x14ac:dyDescent="0.35">
      <c r="A79" s="26" t="s">
        <v>72</v>
      </c>
      <c r="B79" s="30">
        <v>0</v>
      </c>
      <c r="C79" s="30">
        <f>3800*C20</f>
        <v>212800</v>
      </c>
      <c r="D79" s="30"/>
      <c r="E79" s="30"/>
      <c r="F79" s="30"/>
      <c r="G79" s="30"/>
      <c r="H79" s="30"/>
      <c r="I79" s="30">
        <f t="shared" si="69"/>
        <v>212800</v>
      </c>
      <c r="J79" s="6">
        <v>3800</v>
      </c>
      <c r="L79" s="30">
        <v>0</v>
      </c>
      <c r="M79" s="30">
        <f>3800*M20</f>
        <v>349600</v>
      </c>
      <c r="N79" s="30"/>
      <c r="O79" s="30"/>
      <c r="P79" s="30"/>
      <c r="Q79" s="30"/>
      <c r="R79" s="30"/>
      <c r="S79" s="30">
        <f t="shared" si="70"/>
        <v>349600</v>
      </c>
      <c r="T79" s="6">
        <v>3800</v>
      </c>
      <c r="V79" s="46">
        <f t="shared" si="73"/>
        <v>0</v>
      </c>
      <c r="W79" s="46">
        <f t="shared" si="71"/>
        <v>562400</v>
      </c>
      <c r="X79" s="46">
        <f t="shared" si="71"/>
        <v>0</v>
      </c>
      <c r="Y79" s="46">
        <f t="shared" si="71"/>
        <v>0</v>
      </c>
      <c r="Z79" s="30"/>
      <c r="AA79" s="30"/>
      <c r="AB79" s="30"/>
      <c r="AC79" s="30">
        <f t="shared" si="72"/>
        <v>562400</v>
      </c>
    </row>
    <row r="80" spans="1:29" x14ac:dyDescent="0.35">
      <c r="A80" s="49" t="s">
        <v>74</v>
      </c>
      <c r="B80" s="50">
        <f t="shared" ref="B80:I80" si="74">SUM(B74:B79)</f>
        <v>5149475</v>
      </c>
      <c r="C80" s="50">
        <f t="shared" si="74"/>
        <v>266662</v>
      </c>
      <c r="D80" s="50">
        <f t="shared" si="74"/>
        <v>0</v>
      </c>
      <c r="E80" s="50"/>
      <c r="F80" s="50">
        <f t="shared" si="74"/>
        <v>0</v>
      </c>
      <c r="G80" s="50">
        <f t="shared" si="74"/>
        <v>0</v>
      </c>
      <c r="H80" s="50">
        <f t="shared" si="74"/>
        <v>0</v>
      </c>
      <c r="I80" s="50">
        <f t="shared" si="74"/>
        <v>5416137</v>
      </c>
      <c r="J80" s="7"/>
      <c r="L80" s="50">
        <f t="shared" ref="L80:N80" si="75">SUM(L74:L79)</f>
        <v>10202523</v>
      </c>
      <c r="M80" s="50">
        <f t="shared" si="75"/>
        <v>349600</v>
      </c>
      <c r="N80" s="50">
        <f t="shared" si="75"/>
        <v>0</v>
      </c>
      <c r="O80" s="50"/>
      <c r="P80" s="50">
        <f t="shared" ref="P80:S80" si="76">SUM(P74:P79)</f>
        <v>0</v>
      </c>
      <c r="Q80" s="50">
        <f t="shared" si="76"/>
        <v>0</v>
      </c>
      <c r="R80" s="50">
        <f t="shared" si="76"/>
        <v>0</v>
      </c>
      <c r="S80" s="50">
        <f t="shared" si="76"/>
        <v>10552123</v>
      </c>
      <c r="T80" s="7"/>
      <c r="V80" s="50">
        <f t="shared" ref="V80:X80" si="77">SUM(V74:V79)</f>
        <v>15351998</v>
      </c>
      <c r="W80" s="50">
        <f t="shared" si="77"/>
        <v>616262</v>
      </c>
      <c r="X80" s="50">
        <f t="shared" si="77"/>
        <v>0</v>
      </c>
      <c r="Y80" s="50"/>
      <c r="Z80" s="50">
        <f t="shared" ref="Z80:AC80" si="78">SUM(Z74:Z79)</f>
        <v>0</v>
      </c>
      <c r="AA80" s="50">
        <f t="shared" si="78"/>
        <v>0</v>
      </c>
      <c r="AB80" s="50">
        <f t="shared" si="78"/>
        <v>0</v>
      </c>
      <c r="AC80" s="50">
        <f t="shared" si="78"/>
        <v>15968260</v>
      </c>
    </row>
    <row r="81" spans="1:29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  <c r="L81" s="44"/>
      <c r="M81" s="44"/>
      <c r="N81" s="44"/>
      <c r="O81" s="44"/>
      <c r="P81" s="44"/>
      <c r="Q81" s="44"/>
      <c r="R81" s="44"/>
      <c r="S81" s="45"/>
      <c r="T81" s="7"/>
      <c r="V81" s="44"/>
      <c r="W81" s="44"/>
      <c r="X81" s="44"/>
      <c r="Y81" s="44"/>
      <c r="Z81" s="44"/>
      <c r="AA81" s="44"/>
      <c r="AB81" s="44"/>
      <c r="AC81" s="45"/>
    </row>
    <row r="82" spans="1:29" x14ac:dyDescent="0.35">
      <c r="A82" s="26" t="s">
        <v>76</v>
      </c>
      <c r="B82" s="5"/>
      <c r="C82" s="5">
        <f>950*C20</f>
        <v>53200</v>
      </c>
      <c r="D82" s="5"/>
      <c r="E82" s="5"/>
      <c r="F82" s="5"/>
      <c r="G82" s="5"/>
      <c r="H82" s="5"/>
      <c r="I82" s="5">
        <f>SUM(B82:H82)</f>
        <v>53200</v>
      </c>
      <c r="J82" s="6"/>
      <c r="L82" s="5"/>
      <c r="M82" s="5">
        <f>950*M20</f>
        <v>87400</v>
      </c>
      <c r="N82" s="5"/>
      <c r="O82" s="5"/>
      <c r="P82" s="5"/>
      <c r="Q82" s="5"/>
      <c r="R82" s="5"/>
      <c r="S82" s="5">
        <f>SUM(L82:R82)</f>
        <v>87400</v>
      </c>
      <c r="T82" s="6"/>
      <c r="V82" s="5">
        <f>B82+L82</f>
        <v>0</v>
      </c>
      <c r="W82" s="5">
        <f t="shared" ref="W82:Y89" si="79">C82+M82</f>
        <v>140600</v>
      </c>
      <c r="X82" s="5">
        <f t="shared" si="79"/>
        <v>0</v>
      </c>
      <c r="Y82" s="5">
        <f t="shared" si="79"/>
        <v>0</v>
      </c>
      <c r="Z82" s="5"/>
      <c r="AA82" s="5"/>
      <c r="AB82" s="5"/>
      <c r="AC82" s="5">
        <f>SUM(V82:AB82)</f>
        <v>140600</v>
      </c>
    </row>
    <row r="83" spans="1:29" x14ac:dyDescent="0.35">
      <c r="A83" s="26" t="s">
        <v>77</v>
      </c>
      <c r="B83" s="5"/>
      <c r="C83" s="5"/>
      <c r="D83" s="10">
        <f>((B17*0.95)*2.77*180)</f>
        <v>220256.55000000002</v>
      </c>
      <c r="E83" s="10"/>
      <c r="F83" s="10"/>
      <c r="G83" s="10"/>
      <c r="H83" s="10"/>
      <c r="I83" s="5">
        <f t="shared" ref="I83:I95" si="80">SUM(B83:H83)</f>
        <v>220256.55000000002</v>
      </c>
      <c r="J83" s="52">
        <v>2.77</v>
      </c>
      <c r="L83" s="5"/>
      <c r="M83" s="5"/>
      <c r="N83" s="10">
        <f>((L17*0.95)*2.35*180)</f>
        <v>378944.55</v>
      </c>
      <c r="O83" s="10"/>
      <c r="P83" s="10"/>
      <c r="Q83" s="10"/>
      <c r="R83" s="10"/>
      <c r="S83" s="5">
        <f t="shared" ref="S83:S88" si="81">SUM(L83:R83)</f>
        <v>378944.55</v>
      </c>
      <c r="T83" s="52">
        <v>2.35</v>
      </c>
      <c r="V83" s="5">
        <f t="shared" ref="V83:V89" si="82">B83+L83</f>
        <v>0</v>
      </c>
      <c r="W83" s="5">
        <f t="shared" si="79"/>
        <v>0</v>
      </c>
      <c r="X83" s="5">
        <f t="shared" si="79"/>
        <v>599201.1</v>
      </c>
      <c r="Y83" s="5">
        <f t="shared" si="79"/>
        <v>0</v>
      </c>
      <c r="Z83" s="10"/>
      <c r="AA83" s="10"/>
      <c r="AB83" s="10"/>
      <c r="AC83" s="5">
        <f t="shared" ref="AC83:AC88" si="83">SUM(V83:AB83)</f>
        <v>599201.1</v>
      </c>
    </row>
    <row r="84" spans="1:29" x14ac:dyDescent="0.35">
      <c r="A84" s="26" t="s">
        <v>78</v>
      </c>
      <c r="B84" s="30"/>
      <c r="C84" s="30"/>
      <c r="D84" s="10">
        <f>((B17*0.95)*4.4*180)</f>
        <v>349866</v>
      </c>
      <c r="E84" s="10"/>
      <c r="F84" s="10"/>
      <c r="G84" s="10"/>
      <c r="H84" s="10"/>
      <c r="I84" s="5">
        <f t="shared" si="80"/>
        <v>349866</v>
      </c>
      <c r="J84" s="52">
        <v>4.4000000000000004</v>
      </c>
      <c r="L84" s="30"/>
      <c r="M84" s="30"/>
      <c r="N84" s="10">
        <f>((L17*0.95)*5*180)</f>
        <v>806265</v>
      </c>
      <c r="O84" s="10"/>
      <c r="P84" s="10"/>
      <c r="Q84" s="10"/>
      <c r="R84" s="10"/>
      <c r="S84" s="5">
        <f t="shared" si="81"/>
        <v>806265</v>
      </c>
      <c r="T84" s="52">
        <v>5</v>
      </c>
      <c r="V84" s="5">
        <f t="shared" si="82"/>
        <v>0</v>
      </c>
      <c r="W84" s="5">
        <f t="shared" si="79"/>
        <v>0</v>
      </c>
      <c r="X84" s="5">
        <f t="shared" si="79"/>
        <v>1156131</v>
      </c>
      <c r="Y84" s="5">
        <f t="shared" si="79"/>
        <v>0</v>
      </c>
      <c r="Z84" s="10"/>
      <c r="AA84" s="10"/>
      <c r="AB84" s="10"/>
      <c r="AC84" s="5">
        <f t="shared" si="83"/>
        <v>1156131</v>
      </c>
    </row>
    <row r="85" spans="1:29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80"/>
        <v>0</v>
      </c>
      <c r="J85" s="6"/>
      <c r="L85" s="30"/>
      <c r="M85" s="30"/>
      <c r="N85" s="30"/>
      <c r="O85" s="30"/>
      <c r="P85" s="30"/>
      <c r="Q85" s="30"/>
      <c r="R85" s="30"/>
      <c r="S85" s="5">
        <f t="shared" si="81"/>
        <v>0</v>
      </c>
      <c r="T85" s="6"/>
      <c r="V85" s="5">
        <f t="shared" si="82"/>
        <v>0</v>
      </c>
      <c r="W85" s="5">
        <f t="shared" si="79"/>
        <v>0</v>
      </c>
      <c r="X85" s="5">
        <f t="shared" si="79"/>
        <v>0</v>
      </c>
      <c r="Y85" s="5">
        <f t="shared" si="79"/>
        <v>0</v>
      </c>
      <c r="Z85" s="30"/>
      <c r="AA85" s="30"/>
      <c r="AB85" s="30"/>
      <c r="AC85" s="5">
        <f t="shared" si="83"/>
        <v>0</v>
      </c>
    </row>
    <row r="86" spans="1:29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80"/>
        <v>0</v>
      </c>
      <c r="J86" s="6"/>
      <c r="L86" s="30"/>
      <c r="M86" s="30"/>
      <c r="N86" s="30"/>
      <c r="O86" s="30"/>
      <c r="P86" s="30"/>
      <c r="Q86" s="30"/>
      <c r="R86" s="30"/>
      <c r="S86" s="5">
        <f t="shared" si="81"/>
        <v>0</v>
      </c>
      <c r="T86" s="6"/>
      <c r="V86" s="5">
        <f t="shared" si="82"/>
        <v>0</v>
      </c>
      <c r="W86" s="5">
        <f t="shared" si="79"/>
        <v>0</v>
      </c>
      <c r="X86" s="5">
        <f t="shared" si="79"/>
        <v>0</v>
      </c>
      <c r="Y86" s="5">
        <f t="shared" si="79"/>
        <v>0</v>
      </c>
      <c r="Z86" s="30"/>
      <c r="AA86" s="30"/>
      <c r="AB86" s="30"/>
      <c r="AC86" s="5">
        <f t="shared" si="83"/>
        <v>0</v>
      </c>
    </row>
    <row r="87" spans="1:29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80"/>
        <v>0</v>
      </c>
      <c r="J87" s="6"/>
      <c r="L87" s="30"/>
      <c r="M87" s="30"/>
      <c r="N87" s="30"/>
      <c r="O87" s="30"/>
      <c r="P87" s="30"/>
      <c r="Q87" s="30"/>
      <c r="R87" s="30"/>
      <c r="S87" s="5">
        <f t="shared" si="81"/>
        <v>0</v>
      </c>
      <c r="T87" s="6"/>
      <c r="V87" s="5">
        <f t="shared" si="82"/>
        <v>0</v>
      </c>
      <c r="W87" s="5">
        <f t="shared" si="79"/>
        <v>0</v>
      </c>
      <c r="X87" s="5">
        <f t="shared" si="79"/>
        <v>0</v>
      </c>
      <c r="Y87" s="5">
        <f t="shared" si="79"/>
        <v>0</v>
      </c>
      <c r="Z87" s="30"/>
      <c r="AA87" s="30"/>
      <c r="AB87" s="30"/>
      <c r="AC87" s="5">
        <f t="shared" si="83"/>
        <v>0</v>
      </c>
    </row>
    <row r="88" spans="1:29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80"/>
        <v>0</v>
      </c>
      <c r="J88" s="6"/>
      <c r="L88" s="30"/>
      <c r="M88" s="30"/>
      <c r="N88" s="30"/>
      <c r="O88" s="30"/>
      <c r="P88" s="30"/>
      <c r="Q88" s="30"/>
      <c r="R88" s="30"/>
      <c r="S88" s="5">
        <f t="shared" si="81"/>
        <v>0</v>
      </c>
      <c r="T88" s="6"/>
      <c r="V88" s="5">
        <f t="shared" si="82"/>
        <v>0</v>
      </c>
      <c r="W88" s="5">
        <f t="shared" si="79"/>
        <v>0</v>
      </c>
      <c r="X88" s="5">
        <f t="shared" si="79"/>
        <v>0</v>
      </c>
      <c r="Y88" s="5">
        <f t="shared" si="79"/>
        <v>0</v>
      </c>
      <c r="Z88" s="30"/>
      <c r="AA88" s="30"/>
      <c r="AB88" s="30"/>
      <c r="AC88" s="5">
        <f t="shared" si="83"/>
        <v>0</v>
      </c>
    </row>
    <row r="89" spans="1:29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  <c r="L89" s="30"/>
      <c r="M89" s="30"/>
      <c r="N89" s="30"/>
      <c r="O89" s="30"/>
      <c r="P89" s="30"/>
      <c r="Q89" s="30"/>
      <c r="R89" s="30"/>
      <c r="S89" s="5"/>
      <c r="T89" s="53"/>
      <c r="V89" s="5">
        <f t="shared" si="82"/>
        <v>0</v>
      </c>
      <c r="W89" s="5">
        <f t="shared" si="79"/>
        <v>0</v>
      </c>
      <c r="X89" s="5">
        <f t="shared" si="79"/>
        <v>0</v>
      </c>
      <c r="Y89" s="5">
        <f t="shared" si="79"/>
        <v>0</v>
      </c>
      <c r="Z89" s="30"/>
      <c r="AA89" s="30"/>
      <c r="AB89" s="30"/>
      <c r="AC89" s="5"/>
    </row>
    <row r="90" spans="1:29" x14ac:dyDescent="0.35">
      <c r="A90" s="49" t="s">
        <v>84</v>
      </c>
      <c r="B90" s="50">
        <f>SUM(B82:B88)</f>
        <v>0</v>
      </c>
      <c r="C90" s="50">
        <f t="shared" ref="C90:I90" si="84">SUM(C82:C88)</f>
        <v>53200</v>
      </c>
      <c r="D90" s="50">
        <f t="shared" si="84"/>
        <v>570122.55000000005</v>
      </c>
      <c r="E90" s="50"/>
      <c r="F90" s="50">
        <f t="shared" si="84"/>
        <v>0</v>
      </c>
      <c r="G90" s="50">
        <f t="shared" si="84"/>
        <v>0</v>
      </c>
      <c r="H90" s="50">
        <f t="shared" si="84"/>
        <v>0</v>
      </c>
      <c r="I90" s="50">
        <f t="shared" si="84"/>
        <v>623322.55000000005</v>
      </c>
      <c r="J90" s="7"/>
      <c r="L90" s="50">
        <f>SUM(L82:L88)</f>
        <v>0</v>
      </c>
      <c r="M90" s="50">
        <f t="shared" ref="M90:N90" si="85">SUM(M82:M88)</f>
        <v>87400</v>
      </c>
      <c r="N90" s="50">
        <f t="shared" si="85"/>
        <v>1185209.55</v>
      </c>
      <c r="O90" s="50"/>
      <c r="P90" s="50">
        <f t="shared" ref="P90:S90" si="86">SUM(P82:P88)</f>
        <v>0</v>
      </c>
      <c r="Q90" s="50">
        <f t="shared" si="86"/>
        <v>0</v>
      </c>
      <c r="R90" s="50">
        <f t="shared" si="86"/>
        <v>0</v>
      </c>
      <c r="S90" s="50">
        <f t="shared" si="86"/>
        <v>1272609.55</v>
      </c>
      <c r="T90" s="7"/>
      <c r="V90" s="50">
        <f>SUM(V82:V88)</f>
        <v>0</v>
      </c>
      <c r="W90" s="50">
        <f t="shared" ref="W90:X90" si="87">SUM(W82:W88)</f>
        <v>140600</v>
      </c>
      <c r="X90" s="50">
        <f t="shared" si="87"/>
        <v>1755332.1</v>
      </c>
      <c r="Y90" s="50"/>
      <c r="Z90" s="50">
        <f t="shared" ref="Z90:AC90" si="88">SUM(Z82:Z88)</f>
        <v>0</v>
      </c>
      <c r="AA90" s="50">
        <f t="shared" si="88"/>
        <v>0</v>
      </c>
      <c r="AB90" s="50">
        <f t="shared" si="88"/>
        <v>0</v>
      </c>
      <c r="AC90" s="50">
        <f t="shared" si="88"/>
        <v>1895932.1</v>
      </c>
    </row>
    <row r="91" spans="1:29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  <c r="L91" s="44"/>
      <c r="M91" s="44"/>
      <c r="N91" s="44"/>
      <c r="O91" s="44"/>
      <c r="P91" s="44"/>
      <c r="Q91" s="44"/>
      <c r="R91" s="44"/>
      <c r="S91" s="45"/>
      <c r="T91" s="7"/>
      <c r="V91" s="44"/>
      <c r="W91" s="44"/>
      <c r="X91" s="44"/>
      <c r="Y91" s="44"/>
      <c r="Z91" s="44"/>
      <c r="AA91" s="44"/>
      <c r="AB91" s="44"/>
      <c r="AC91" s="45"/>
    </row>
    <row r="92" spans="1:29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80"/>
        <v>0</v>
      </c>
      <c r="J92" s="11"/>
      <c r="L92" s="5">
        <v>0</v>
      </c>
      <c r="M92" s="5"/>
      <c r="N92" s="5"/>
      <c r="O92" s="5"/>
      <c r="P92" s="5"/>
      <c r="Q92" s="5"/>
      <c r="R92" s="5"/>
      <c r="S92" s="5">
        <f t="shared" ref="S92:S95" si="89">SUM(L92:R92)</f>
        <v>0</v>
      </c>
      <c r="T92" s="11"/>
      <c r="V92" s="5">
        <f>B92+L92</f>
        <v>0</v>
      </c>
      <c r="W92" s="5">
        <f t="shared" ref="W92:Y95" si="90">C92+M92</f>
        <v>0</v>
      </c>
      <c r="X92" s="5">
        <f t="shared" si="90"/>
        <v>0</v>
      </c>
      <c r="Y92" s="5">
        <f t="shared" si="90"/>
        <v>0</v>
      </c>
      <c r="Z92" s="5"/>
      <c r="AA92" s="5"/>
      <c r="AB92" s="5"/>
      <c r="AC92" s="5">
        <f t="shared" ref="AC92:AC95" si="91">SUM(V92:AB92)</f>
        <v>0</v>
      </c>
    </row>
    <row r="93" spans="1:29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92">F161</f>
        <v>0</v>
      </c>
      <c r="G93" s="10">
        <f t="shared" si="92"/>
        <v>0</v>
      </c>
      <c r="H93" s="10">
        <f t="shared" si="92"/>
        <v>0</v>
      </c>
      <c r="I93" s="5">
        <f t="shared" si="80"/>
        <v>0</v>
      </c>
      <c r="J93" s="11"/>
      <c r="L93" s="10">
        <v>0</v>
      </c>
      <c r="M93" s="10">
        <v>0</v>
      </c>
      <c r="N93" s="10">
        <v>0</v>
      </c>
      <c r="O93" s="10"/>
      <c r="P93" s="10">
        <f t="shared" ref="P93:R93" si="93">P161</f>
        <v>0</v>
      </c>
      <c r="Q93" s="10">
        <f t="shared" si="93"/>
        <v>0</v>
      </c>
      <c r="R93" s="10">
        <f t="shared" si="93"/>
        <v>0</v>
      </c>
      <c r="S93" s="5">
        <f t="shared" si="89"/>
        <v>0</v>
      </c>
      <c r="T93" s="11"/>
      <c r="V93" s="5">
        <f t="shared" ref="V93:V95" si="94">B93+L93</f>
        <v>0</v>
      </c>
      <c r="W93" s="5">
        <f t="shared" si="90"/>
        <v>0</v>
      </c>
      <c r="X93" s="5">
        <f t="shared" si="90"/>
        <v>0</v>
      </c>
      <c r="Y93" s="5">
        <f t="shared" si="90"/>
        <v>0</v>
      </c>
      <c r="Z93" s="10">
        <f t="shared" ref="Z93:AB93" si="95">Z161</f>
        <v>0</v>
      </c>
      <c r="AA93" s="10">
        <f t="shared" si="95"/>
        <v>0</v>
      </c>
      <c r="AB93" s="10">
        <f t="shared" si="95"/>
        <v>0</v>
      </c>
      <c r="AC93" s="5">
        <f t="shared" si="91"/>
        <v>0</v>
      </c>
    </row>
    <row r="94" spans="1:29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80"/>
        <v>0</v>
      </c>
      <c r="J94" s="11"/>
      <c r="L94" s="30"/>
      <c r="M94" s="30"/>
      <c r="N94" s="30"/>
      <c r="O94" s="30"/>
      <c r="P94" s="30"/>
      <c r="Q94" s="30"/>
      <c r="R94" s="30"/>
      <c r="S94" s="30">
        <f t="shared" si="89"/>
        <v>0</v>
      </c>
      <c r="T94" s="11"/>
      <c r="V94" s="5">
        <f t="shared" si="94"/>
        <v>0</v>
      </c>
      <c r="W94" s="5">
        <f t="shared" si="90"/>
        <v>0</v>
      </c>
      <c r="X94" s="5">
        <f t="shared" si="90"/>
        <v>0</v>
      </c>
      <c r="Y94" s="5">
        <f t="shared" si="90"/>
        <v>0</v>
      </c>
      <c r="Z94" s="30"/>
      <c r="AA94" s="30"/>
      <c r="AB94" s="30"/>
      <c r="AC94" s="30">
        <f t="shared" si="91"/>
        <v>0</v>
      </c>
    </row>
    <row r="95" spans="1:29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80"/>
        <v>0</v>
      </c>
      <c r="J95" s="11"/>
      <c r="L95" s="30">
        <v>0</v>
      </c>
      <c r="M95" s="30"/>
      <c r="N95" s="30"/>
      <c r="O95" s="30"/>
      <c r="P95" s="30"/>
      <c r="Q95" s="30"/>
      <c r="R95" s="30"/>
      <c r="S95" s="30">
        <f t="shared" si="89"/>
        <v>0</v>
      </c>
      <c r="T95" s="11"/>
      <c r="V95" s="5">
        <f t="shared" si="94"/>
        <v>0</v>
      </c>
      <c r="W95" s="5">
        <f t="shared" si="90"/>
        <v>0</v>
      </c>
      <c r="X95" s="5">
        <f t="shared" si="90"/>
        <v>0</v>
      </c>
      <c r="Y95" s="5">
        <f t="shared" si="90"/>
        <v>0</v>
      </c>
      <c r="Z95" s="30"/>
      <c r="AA95" s="30"/>
      <c r="AB95" s="30"/>
      <c r="AC95" s="30">
        <f t="shared" si="91"/>
        <v>0</v>
      </c>
    </row>
    <row r="96" spans="1:29" x14ac:dyDescent="0.35">
      <c r="A96" s="49" t="s">
        <v>87</v>
      </c>
      <c r="B96" s="50">
        <f>SUM(B92:B95)</f>
        <v>0</v>
      </c>
      <c r="C96" s="50">
        <f t="shared" ref="C96:H96" si="96">SUM(C92:C95)</f>
        <v>0</v>
      </c>
      <c r="D96" s="50">
        <f t="shared" si="96"/>
        <v>0</v>
      </c>
      <c r="E96" s="50"/>
      <c r="F96" s="50">
        <f t="shared" si="96"/>
        <v>0</v>
      </c>
      <c r="G96" s="50">
        <f t="shared" si="96"/>
        <v>0</v>
      </c>
      <c r="H96" s="50">
        <f t="shared" si="96"/>
        <v>0</v>
      </c>
      <c r="I96" s="50">
        <f>SUM(I92:I95)</f>
        <v>0</v>
      </c>
      <c r="J96" s="7"/>
      <c r="L96" s="50">
        <f>SUM(L92:L95)</f>
        <v>0</v>
      </c>
      <c r="M96" s="50">
        <f t="shared" ref="M96:N96" si="97">SUM(M92:M95)</f>
        <v>0</v>
      </c>
      <c r="N96" s="50">
        <f t="shared" si="97"/>
        <v>0</v>
      </c>
      <c r="O96" s="50"/>
      <c r="P96" s="50">
        <f t="shared" ref="P96:R96" si="98">SUM(P92:P95)</f>
        <v>0</v>
      </c>
      <c r="Q96" s="50">
        <f t="shared" si="98"/>
        <v>0</v>
      </c>
      <c r="R96" s="50">
        <f t="shared" si="98"/>
        <v>0</v>
      </c>
      <c r="S96" s="50">
        <f>SUM(S92:S95)</f>
        <v>0</v>
      </c>
      <c r="T96" s="7"/>
      <c r="V96" s="50">
        <f>SUM(V92:V95)</f>
        <v>0</v>
      </c>
      <c r="W96" s="50">
        <f t="shared" ref="W96:X96" si="99">SUM(W92:W95)</f>
        <v>0</v>
      </c>
      <c r="X96" s="50">
        <f t="shared" si="99"/>
        <v>0</v>
      </c>
      <c r="Y96" s="50"/>
      <c r="Z96" s="50">
        <f t="shared" ref="Z96:AB96" si="100">SUM(Z92:Z95)</f>
        <v>0</v>
      </c>
      <c r="AA96" s="50">
        <f t="shared" si="100"/>
        <v>0</v>
      </c>
      <c r="AB96" s="50">
        <f t="shared" si="100"/>
        <v>0</v>
      </c>
      <c r="AC96" s="50">
        <f>SUM(AC92:AC95)</f>
        <v>0</v>
      </c>
    </row>
    <row r="97" spans="1:29" x14ac:dyDescent="0.35">
      <c r="A97" s="150" t="s">
        <v>88</v>
      </c>
      <c r="B97" s="151">
        <f t="shared" ref="B97:H97" si="101">B80+B90+B96</f>
        <v>5149475</v>
      </c>
      <c r="C97" s="151">
        <f t="shared" si="101"/>
        <v>319862</v>
      </c>
      <c r="D97" s="151">
        <f t="shared" si="101"/>
        <v>570122.55000000005</v>
      </c>
      <c r="E97" s="151"/>
      <c r="F97" s="151">
        <f t="shared" si="101"/>
        <v>0</v>
      </c>
      <c r="G97" s="151">
        <f t="shared" si="101"/>
        <v>0</v>
      </c>
      <c r="H97" s="151">
        <f t="shared" si="101"/>
        <v>0</v>
      </c>
      <c r="I97" s="151">
        <f>I80+I90+I96</f>
        <v>6039459.5499999998</v>
      </c>
      <c r="J97" s="7"/>
      <c r="L97" s="151">
        <f>L80+L90+L96</f>
        <v>10202523</v>
      </c>
      <c r="M97" s="151">
        <f t="shared" ref="M97:N97" si="102">M80+M90+M96</f>
        <v>437000</v>
      </c>
      <c r="N97" s="151">
        <f t="shared" si="102"/>
        <v>1185209.55</v>
      </c>
      <c r="O97" s="151"/>
      <c r="P97" s="151">
        <f t="shared" ref="P97:R97" si="103">P80+P90+P96</f>
        <v>0</v>
      </c>
      <c r="Q97" s="151">
        <f t="shared" si="103"/>
        <v>0</v>
      </c>
      <c r="R97" s="151">
        <f t="shared" si="103"/>
        <v>0</v>
      </c>
      <c r="S97" s="151">
        <f>S80+S90+S96</f>
        <v>11824732.550000001</v>
      </c>
      <c r="T97" s="7"/>
      <c r="V97" s="151">
        <f>V80+V90+V96</f>
        <v>15351998</v>
      </c>
      <c r="W97" s="151">
        <f t="shared" ref="W97:X97" si="104">W80+W90+W96</f>
        <v>756862</v>
      </c>
      <c r="X97" s="151">
        <f t="shared" si="104"/>
        <v>1755332.1</v>
      </c>
      <c r="Y97" s="151"/>
      <c r="Z97" s="151">
        <f t="shared" ref="Z97:AB97" si="105">Z80+Z90+Z96</f>
        <v>0</v>
      </c>
      <c r="AA97" s="151">
        <f t="shared" si="105"/>
        <v>0</v>
      </c>
      <c r="AB97" s="151">
        <f t="shared" si="105"/>
        <v>0</v>
      </c>
      <c r="AC97" s="151">
        <f>AC80+AC90+AC96</f>
        <v>17864192.100000001</v>
      </c>
    </row>
    <row r="98" spans="1:29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  <c r="L98" s="44"/>
      <c r="M98" s="44"/>
      <c r="N98" s="44"/>
      <c r="O98" s="44"/>
      <c r="P98" s="44"/>
      <c r="Q98" s="44"/>
      <c r="R98" s="44"/>
      <c r="S98" s="45"/>
      <c r="T98" s="7"/>
      <c r="V98" s="44"/>
      <c r="W98" s="44"/>
      <c r="X98" s="44"/>
      <c r="Y98" s="44"/>
      <c r="Z98" s="44"/>
      <c r="AA98" s="44"/>
      <c r="AB98" s="44"/>
      <c r="AC98" s="45"/>
    </row>
    <row r="99" spans="1:29" x14ac:dyDescent="0.35">
      <c r="A99" s="26" t="s">
        <v>281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11"/>
      <c r="L99" s="5">
        <v>0</v>
      </c>
      <c r="M99" s="5"/>
      <c r="N99" s="5"/>
      <c r="O99" s="5"/>
      <c r="P99" s="5"/>
      <c r="Q99" s="5"/>
      <c r="R99" s="5"/>
      <c r="S99" s="5">
        <f>SUM(L99:R99)</f>
        <v>0</v>
      </c>
      <c r="T99" s="11"/>
      <c r="V99" s="5">
        <f>B99+L99</f>
        <v>0</v>
      </c>
      <c r="W99" s="5">
        <f t="shared" ref="W99:Y102" si="106">C99+M99</f>
        <v>0</v>
      </c>
      <c r="X99" s="5">
        <f t="shared" si="106"/>
        <v>0</v>
      </c>
      <c r="Y99" s="5">
        <f t="shared" si="106"/>
        <v>0</v>
      </c>
      <c r="Z99" s="5"/>
      <c r="AA99" s="5"/>
      <c r="AB99" s="5"/>
      <c r="AC99" s="5">
        <f>SUM(V99:AB99)</f>
        <v>0</v>
      </c>
    </row>
    <row r="100" spans="1:29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107">F168</f>
        <v>0</v>
      </c>
      <c r="G100" s="10">
        <f t="shared" si="107"/>
        <v>0</v>
      </c>
      <c r="H100" s="10">
        <f t="shared" si="107"/>
        <v>0</v>
      </c>
      <c r="I100" s="5">
        <f t="shared" ref="I100:I102" si="108">SUM(B100:H100)</f>
        <v>0</v>
      </c>
      <c r="J100" s="11"/>
      <c r="L100" s="10">
        <v>0</v>
      </c>
      <c r="M100" s="10">
        <v>0</v>
      </c>
      <c r="N100" s="10">
        <v>0</v>
      </c>
      <c r="O100" s="10"/>
      <c r="P100" s="10">
        <f t="shared" ref="P100:R100" si="109">P168</f>
        <v>0</v>
      </c>
      <c r="Q100" s="10">
        <f t="shared" si="109"/>
        <v>0</v>
      </c>
      <c r="R100" s="10">
        <f t="shared" si="109"/>
        <v>0</v>
      </c>
      <c r="S100" s="5">
        <f t="shared" ref="S100:S102" si="110">SUM(L100:R100)</f>
        <v>0</v>
      </c>
      <c r="T100" s="11"/>
      <c r="V100" s="5">
        <f t="shared" ref="V100:V102" si="111">B100+L100</f>
        <v>0</v>
      </c>
      <c r="W100" s="5">
        <f t="shared" si="106"/>
        <v>0</v>
      </c>
      <c r="X100" s="5">
        <f t="shared" si="106"/>
        <v>0</v>
      </c>
      <c r="Y100" s="5">
        <f t="shared" si="106"/>
        <v>0</v>
      </c>
      <c r="Z100" s="10">
        <f t="shared" ref="Z100:AB100" si="112">Z168</f>
        <v>0</v>
      </c>
      <c r="AA100" s="10">
        <f t="shared" si="112"/>
        <v>0</v>
      </c>
      <c r="AB100" s="10">
        <f t="shared" si="112"/>
        <v>0</v>
      </c>
      <c r="AC100" s="5">
        <f t="shared" ref="AC100:AC102" si="113">SUM(V100:AB100)</f>
        <v>0</v>
      </c>
    </row>
    <row r="101" spans="1:29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108"/>
        <v>0</v>
      </c>
      <c r="J101" s="11"/>
      <c r="L101" s="30"/>
      <c r="M101" s="30"/>
      <c r="N101" s="30"/>
      <c r="O101" s="30"/>
      <c r="P101" s="30"/>
      <c r="Q101" s="30"/>
      <c r="R101" s="30"/>
      <c r="S101" s="5">
        <f t="shared" si="110"/>
        <v>0</v>
      </c>
      <c r="T101" s="11"/>
      <c r="V101" s="5">
        <f t="shared" si="111"/>
        <v>0</v>
      </c>
      <c r="W101" s="5">
        <f t="shared" si="106"/>
        <v>0</v>
      </c>
      <c r="X101" s="5">
        <f t="shared" si="106"/>
        <v>0</v>
      </c>
      <c r="Y101" s="5">
        <f t="shared" si="106"/>
        <v>0</v>
      </c>
      <c r="Z101" s="30"/>
      <c r="AA101" s="30"/>
      <c r="AB101" s="30"/>
      <c r="AC101" s="5">
        <f t="shared" si="113"/>
        <v>0</v>
      </c>
    </row>
    <row r="102" spans="1:29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108"/>
        <v>0</v>
      </c>
      <c r="J102" s="11"/>
      <c r="L102" s="30"/>
      <c r="M102" s="30"/>
      <c r="N102" s="30"/>
      <c r="O102" s="30"/>
      <c r="P102" s="30"/>
      <c r="Q102" s="30"/>
      <c r="R102" s="30"/>
      <c r="S102" s="5">
        <f t="shared" si="110"/>
        <v>0</v>
      </c>
      <c r="T102" s="11"/>
      <c r="V102" s="5">
        <f t="shared" si="111"/>
        <v>0</v>
      </c>
      <c r="W102" s="5">
        <f t="shared" si="106"/>
        <v>0</v>
      </c>
      <c r="X102" s="5">
        <f t="shared" si="106"/>
        <v>0</v>
      </c>
      <c r="Y102" s="5">
        <f t="shared" si="106"/>
        <v>0</v>
      </c>
      <c r="Z102" s="30"/>
      <c r="AA102" s="30"/>
      <c r="AB102" s="30"/>
      <c r="AC102" s="5">
        <f t="shared" si="113"/>
        <v>0</v>
      </c>
    </row>
    <row r="103" spans="1:29" x14ac:dyDescent="0.35">
      <c r="A103" s="49" t="s">
        <v>280</v>
      </c>
      <c r="B103" s="50">
        <f>SUM(B99:B102)</f>
        <v>0</v>
      </c>
      <c r="C103" s="50">
        <f t="shared" ref="C103:I103" si="114">SUM(C99:C102)</f>
        <v>0</v>
      </c>
      <c r="D103" s="50">
        <f t="shared" si="114"/>
        <v>0</v>
      </c>
      <c r="E103" s="50">
        <f t="shared" si="114"/>
        <v>0</v>
      </c>
      <c r="F103" s="50">
        <f t="shared" si="114"/>
        <v>0</v>
      </c>
      <c r="G103" s="50">
        <f t="shared" si="114"/>
        <v>0</v>
      </c>
      <c r="H103" s="50">
        <f t="shared" si="114"/>
        <v>0</v>
      </c>
      <c r="I103" s="50">
        <f t="shared" si="114"/>
        <v>0</v>
      </c>
      <c r="J103" s="7"/>
      <c r="L103" s="50">
        <f>SUM(L99:L102)</f>
        <v>0</v>
      </c>
      <c r="M103" s="50">
        <f t="shared" ref="M103:S103" si="115">SUM(M99:M102)</f>
        <v>0</v>
      </c>
      <c r="N103" s="50">
        <f t="shared" si="115"/>
        <v>0</v>
      </c>
      <c r="O103" s="50">
        <f t="shared" si="115"/>
        <v>0</v>
      </c>
      <c r="P103" s="50">
        <f t="shared" si="115"/>
        <v>0</v>
      </c>
      <c r="Q103" s="50">
        <f t="shared" si="115"/>
        <v>0</v>
      </c>
      <c r="R103" s="50">
        <f t="shared" si="115"/>
        <v>0</v>
      </c>
      <c r="S103" s="50">
        <f t="shared" si="115"/>
        <v>0</v>
      </c>
      <c r="T103" s="7"/>
      <c r="V103" s="50">
        <f>SUM(V99:V102)</f>
        <v>0</v>
      </c>
      <c r="W103" s="50">
        <f t="shared" ref="W103:AC103" si="116">SUM(W99:W102)</f>
        <v>0</v>
      </c>
      <c r="X103" s="50">
        <f t="shared" si="116"/>
        <v>0</v>
      </c>
      <c r="Y103" s="50">
        <f t="shared" si="116"/>
        <v>0</v>
      </c>
      <c r="Z103" s="50">
        <f t="shared" si="116"/>
        <v>0</v>
      </c>
      <c r="AA103" s="50">
        <f t="shared" si="116"/>
        <v>0</v>
      </c>
      <c r="AB103" s="50">
        <f t="shared" si="116"/>
        <v>0</v>
      </c>
      <c r="AC103" s="50">
        <f t="shared" si="116"/>
        <v>0</v>
      </c>
    </row>
    <row r="104" spans="1:29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  <c r="L104" s="37"/>
      <c r="M104" s="37"/>
      <c r="N104" s="37"/>
      <c r="O104" s="37"/>
      <c r="P104" s="37"/>
      <c r="Q104" s="37"/>
      <c r="R104" s="37"/>
      <c r="S104" s="37"/>
      <c r="T104" s="7"/>
      <c r="V104" s="37"/>
      <c r="W104" s="37"/>
      <c r="X104" s="37"/>
      <c r="Y104" s="37"/>
      <c r="Z104" s="37"/>
      <c r="AA104" s="37"/>
      <c r="AB104" s="37"/>
      <c r="AC104" s="37"/>
    </row>
    <row r="105" spans="1:29" ht="15" thickBot="1" x14ac:dyDescent="0.4">
      <c r="A105" s="55" t="s">
        <v>89</v>
      </c>
      <c r="B105" s="56" t="str">
        <f t="shared" ref="B105:I105" si="117">B1</f>
        <v>Operating</v>
      </c>
      <c r="C105" s="56" t="str">
        <f t="shared" si="117"/>
        <v>SPED</v>
      </c>
      <c r="D105" s="56" t="str">
        <f t="shared" si="117"/>
        <v>NSLP</v>
      </c>
      <c r="E105" s="56" t="str">
        <f t="shared" si="117"/>
        <v>Other</v>
      </c>
      <c r="F105" s="56" t="str">
        <f t="shared" si="117"/>
        <v>Title I</v>
      </c>
      <c r="G105" s="56" t="str">
        <f t="shared" si="117"/>
        <v>Title II</v>
      </c>
      <c r="H105" s="56" t="str">
        <f t="shared" si="117"/>
        <v>Title III</v>
      </c>
      <c r="I105" s="56" t="str">
        <f t="shared" si="117"/>
        <v>B&amp;G</v>
      </c>
      <c r="J105" s="7"/>
      <c r="L105" s="56" t="str">
        <f t="shared" ref="L105:S105" si="118">L1</f>
        <v>Operating</v>
      </c>
      <c r="M105" s="56" t="str">
        <f t="shared" si="118"/>
        <v>SPED</v>
      </c>
      <c r="N105" s="56" t="str">
        <f t="shared" si="118"/>
        <v>NSLP</v>
      </c>
      <c r="O105" s="56" t="str">
        <f t="shared" si="118"/>
        <v>Other</v>
      </c>
      <c r="P105" s="56" t="str">
        <f t="shared" si="118"/>
        <v>Title I</v>
      </c>
      <c r="Q105" s="56" t="str">
        <f t="shared" si="118"/>
        <v>Title II</v>
      </c>
      <c r="R105" s="56" t="str">
        <f t="shared" si="118"/>
        <v>Title III</v>
      </c>
      <c r="S105" s="56" t="str">
        <f t="shared" si="118"/>
        <v>New</v>
      </c>
      <c r="T105" s="7"/>
      <c r="V105" s="56" t="str">
        <f t="shared" ref="V105:AC105" si="119">V1</f>
        <v>Operating</v>
      </c>
      <c r="W105" s="56" t="str">
        <f t="shared" si="119"/>
        <v>SPED</v>
      </c>
      <c r="X105" s="56" t="str">
        <f t="shared" si="119"/>
        <v>NSLP</v>
      </c>
      <c r="Y105" s="56" t="str">
        <f t="shared" si="119"/>
        <v>Other</v>
      </c>
      <c r="Z105" s="56" t="str">
        <f t="shared" si="119"/>
        <v>Title I</v>
      </c>
      <c r="AA105" s="56" t="str">
        <f t="shared" si="119"/>
        <v>Title II</v>
      </c>
      <c r="AB105" s="56" t="str">
        <f t="shared" si="119"/>
        <v>Title III</v>
      </c>
      <c r="AC105" s="56" t="str">
        <f t="shared" si="119"/>
        <v>MANN</v>
      </c>
    </row>
    <row r="106" spans="1:29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  <c r="L106" s="44"/>
      <c r="M106" s="44"/>
      <c r="N106" s="44"/>
      <c r="O106" s="44"/>
      <c r="P106" s="44"/>
      <c r="Q106" s="44"/>
      <c r="R106" s="44"/>
      <c r="S106" s="45"/>
      <c r="T106" s="7"/>
      <c r="V106" s="44"/>
      <c r="W106" s="44"/>
      <c r="X106" s="44"/>
      <c r="Y106" s="44"/>
      <c r="Z106" s="44"/>
      <c r="AA106" s="44"/>
      <c r="AB106" s="44"/>
      <c r="AC106" s="45"/>
    </row>
    <row r="107" spans="1:29" x14ac:dyDescent="0.35">
      <c r="A107" s="26" t="s">
        <v>40</v>
      </c>
      <c r="B107" s="72">
        <f>120000*1.03</f>
        <v>123600</v>
      </c>
      <c r="C107" s="10"/>
      <c r="D107" s="5"/>
      <c r="E107" s="5"/>
      <c r="F107" s="5"/>
      <c r="G107" s="5"/>
      <c r="H107" s="5"/>
      <c r="I107" s="5">
        <f t="shared" ref="I107:I120" si="120">SUM(B107:H107)</f>
        <v>123600</v>
      </c>
      <c r="J107" s="11"/>
      <c r="L107" s="72">
        <f>140000*1.015</f>
        <v>142100</v>
      </c>
      <c r="M107" s="10"/>
      <c r="N107" s="5"/>
      <c r="O107" s="5"/>
      <c r="P107" s="5"/>
      <c r="Q107" s="5"/>
      <c r="R107" s="5"/>
      <c r="S107" s="5">
        <f t="shared" ref="S107:S119" si="121">SUM(L107:R107)</f>
        <v>142100</v>
      </c>
      <c r="T107" s="11"/>
      <c r="V107" s="72">
        <f>B107+L107</f>
        <v>265700</v>
      </c>
      <c r="W107" s="72">
        <f t="shared" ref="W107:Y120" si="122">C107+M107</f>
        <v>0</v>
      </c>
      <c r="X107" s="72">
        <f t="shared" si="122"/>
        <v>0</v>
      </c>
      <c r="Y107" s="72">
        <f t="shared" si="122"/>
        <v>0</v>
      </c>
      <c r="Z107" s="5"/>
      <c r="AA107" s="5"/>
      <c r="AB107" s="5"/>
      <c r="AC107" s="5">
        <f t="shared" ref="AC107:AC120" si="123">SUM(V107:AB107)</f>
        <v>265700</v>
      </c>
    </row>
    <row r="108" spans="1:29" x14ac:dyDescent="0.35">
      <c r="A108" s="26" t="s">
        <v>91</v>
      </c>
      <c r="B108" s="72">
        <f>100000*1.015</f>
        <v>101499.99999999999</v>
      </c>
      <c r="C108" s="10"/>
      <c r="D108" s="5"/>
      <c r="E108" s="5"/>
      <c r="F108" s="5"/>
      <c r="G108" s="5"/>
      <c r="H108" s="5"/>
      <c r="I108" s="5">
        <f t="shared" si="120"/>
        <v>101499.99999999999</v>
      </c>
      <c r="J108" s="11"/>
      <c r="L108" s="72">
        <f>(95000+100000)*1.015*1.015</f>
        <v>200893.87499999994</v>
      </c>
      <c r="M108" s="10"/>
      <c r="N108" s="5"/>
      <c r="O108" s="5"/>
      <c r="P108" s="5"/>
      <c r="Q108" s="5"/>
      <c r="R108" s="5"/>
      <c r="S108" s="5">
        <f t="shared" si="121"/>
        <v>200893.87499999994</v>
      </c>
      <c r="T108" s="11"/>
      <c r="V108" s="72">
        <f t="shared" ref="V108:V119" si="124">B108+L108</f>
        <v>302393.87499999994</v>
      </c>
      <c r="W108" s="72">
        <f t="shared" si="122"/>
        <v>0</v>
      </c>
      <c r="X108" s="72">
        <f t="shared" si="122"/>
        <v>0</v>
      </c>
      <c r="Y108" s="72">
        <f t="shared" si="122"/>
        <v>0</v>
      </c>
      <c r="Z108" s="5"/>
      <c r="AA108" s="5"/>
      <c r="AB108" s="5"/>
      <c r="AC108" s="5">
        <f t="shared" si="123"/>
        <v>302393.87499999994</v>
      </c>
    </row>
    <row r="109" spans="1:29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120"/>
        <v>0</v>
      </c>
      <c r="J109" s="11"/>
      <c r="L109" s="72">
        <f>(80000*L41)*1.015</f>
        <v>81199.999999999985</v>
      </c>
      <c r="M109" s="10"/>
      <c r="N109" s="5"/>
      <c r="O109" s="5"/>
      <c r="P109" s="5"/>
      <c r="Q109" s="5"/>
      <c r="R109" s="5"/>
      <c r="S109" s="5">
        <f t="shared" si="121"/>
        <v>81199.999999999985</v>
      </c>
      <c r="T109" s="11"/>
      <c r="V109" s="72">
        <f t="shared" si="124"/>
        <v>81199.999999999985</v>
      </c>
      <c r="W109" s="72">
        <f t="shared" si="122"/>
        <v>0</v>
      </c>
      <c r="X109" s="72">
        <f t="shared" si="122"/>
        <v>0</v>
      </c>
      <c r="Y109" s="72">
        <f t="shared" si="122"/>
        <v>0</v>
      </c>
      <c r="Z109" s="5"/>
      <c r="AA109" s="5"/>
      <c r="AB109" s="5"/>
      <c r="AC109" s="5">
        <f t="shared" si="123"/>
        <v>81199.999999999985</v>
      </c>
    </row>
    <row r="110" spans="1:29" x14ac:dyDescent="0.35">
      <c r="A110" s="27" t="s">
        <v>36</v>
      </c>
      <c r="B110" s="72">
        <v>0</v>
      </c>
      <c r="C110" s="10"/>
      <c r="D110" s="5"/>
      <c r="E110" s="5"/>
      <c r="F110" s="5"/>
      <c r="G110" s="5"/>
      <c r="H110" s="5"/>
      <c r="I110" s="5">
        <f t="shared" si="120"/>
        <v>0</v>
      </c>
      <c r="J110" s="11"/>
      <c r="L110" s="72">
        <v>0</v>
      </c>
      <c r="M110" s="10"/>
      <c r="N110" s="5"/>
      <c r="O110" s="5"/>
      <c r="P110" s="5"/>
      <c r="Q110" s="5"/>
      <c r="R110" s="5"/>
      <c r="S110" s="5">
        <f t="shared" si="121"/>
        <v>0</v>
      </c>
      <c r="T110" s="11"/>
      <c r="V110" s="72">
        <f t="shared" si="124"/>
        <v>0</v>
      </c>
      <c r="W110" s="72">
        <f t="shared" si="122"/>
        <v>0</v>
      </c>
      <c r="X110" s="72">
        <f t="shared" si="122"/>
        <v>0</v>
      </c>
      <c r="Y110" s="72">
        <f t="shared" si="122"/>
        <v>0</v>
      </c>
      <c r="Z110" s="5"/>
      <c r="AA110" s="5"/>
      <c r="AB110" s="5"/>
      <c r="AC110" s="5">
        <f t="shared" si="123"/>
        <v>0</v>
      </c>
    </row>
    <row r="111" spans="1:29" x14ac:dyDescent="0.35">
      <c r="A111" s="27" t="s">
        <v>38</v>
      </c>
      <c r="B111" s="72">
        <f>87500*1.015</f>
        <v>88812.499999999985</v>
      </c>
      <c r="C111" s="10"/>
      <c r="D111" s="5"/>
      <c r="E111" s="5"/>
      <c r="F111" s="5"/>
      <c r="G111" s="5"/>
      <c r="H111" s="5"/>
      <c r="I111" s="5">
        <f t="shared" si="120"/>
        <v>88812.499999999985</v>
      </c>
      <c r="J111" s="11"/>
      <c r="L111" s="72">
        <f>(L43*80000)*1.015</f>
        <v>81199.999999999985</v>
      </c>
      <c r="M111" s="10"/>
      <c r="N111" s="5"/>
      <c r="O111" s="5"/>
      <c r="P111" s="5"/>
      <c r="Q111" s="5"/>
      <c r="R111" s="5"/>
      <c r="S111" s="5">
        <f t="shared" si="121"/>
        <v>81199.999999999985</v>
      </c>
      <c r="T111" s="11"/>
      <c r="V111" s="72">
        <f t="shared" si="124"/>
        <v>170012.49999999997</v>
      </c>
      <c r="W111" s="72">
        <f t="shared" si="122"/>
        <v>0</v>
      </c>
      <c r="X111" s="72">
        <f t="shared" si="122"/>
        <v>0</v>
      </c>
      <c r="Y111" s="72">
        <f t="shared" si="122"/>
        <v>0</v>
      </c>
      <c r="Z111" s="5"/>
      <c r="AA111" s="5"/>
      <c r="AB111" s="5"/>
      <c r="AC111" s="5">
        <f t="shared" si="123"/>
        <v>170012.49999999997</v>
      </c>
    </row>
    <row r="112" spans="1:29" x14ac:dyDescent="0.35">
      <c r="A112" s="26" t="s">
        <v>92</v>
      </c>
      <c r="B112" s="72">
        <f>87500*1.015</f>
        <v>88812.499999999985</v>
      </c>
      <c r="C112" s="10"/>
      <c r="D112" s="5"/>
      <c r="E112" s="5"/>
      <c r="F112" s="5"/>
      <c r="G112" s="5"/>
      <c r="H112" s="5"/>
      <c r="I112" s="5">
        <f t="shared" si="120"/>
        <v>88812.499999999985</v>
      </c>
      <c r="J112" s="11"/>
      <c r="L112" s="72">
        <f>(80000*L44)*1.015</f>
        <v>81199.999999999985</v>
      </c>
      <c r="M112" s="10"/>
      <c r="N112" s="5"/>
      <c r="O112" s="5"/>
      <c r="P112" s="5"/>
      <c r="Q112" s="5"/>
      <c r="R112" s="5"/>
      <c r="S112" s="5">
        <f t="shared" si="121"/>
        <v>81199.999999999985</v>
      </c>
      <c r="T112" s="11"/>
      <c r="V112" s="72">
        <f t="shared" si="124"/>
        <v>170012.49999999997</v>
      </c>
      <c r="W112" s="72">
        <f t="shared" si="122"/>
        <v>0</v>
      </c>
      <c r="X112" s="72">
        <f t="shared" si="122"/>
        <v>0</v>
      </c>
      <c r="Y112" s="72">
        <f t="shared" si="122"/>
        <v>0</v>
      </c>
      <c r="Z112" s="5"/>
      <c r="AA112" s="5"/>
      <c r="AB112" s="5"/>
      <c r="AC112" s="5">
        <f t="shared" si="123"/>
        <v>170012.49999999997</v>
      </c>
    </row>
    <row r="113" spans="1:29" x14ac:dyDescent="0.35">
      <c r="A113" s="26" t="s">
        <v>93</v>
      </c>
      <c r="B113" s="10">
        <v>0</v>
      </c>
      <c r="C113" s="10"/>
      <c r="D113" s="5"/>
      <c r="E113" s="5"/>
      <c r="F113" s="5"/>
      <c r="G113" s="5"/>
      <c r="H113" s="5"/>
      <c r="I113" s="5">
        <f t="shared" si="120"/>
        <v>0</v>
      </c>
      <c r="J113" s="11"/>
      <c r="L113" s="72">
        <v>0</v>
      </c>
      <c r="M113" s="10"/>
      <c r="N113" s="5"/>
      <c r="O113" s="5"/>
      <c r="P113" s="5"/>
      <c r="Q113" s="5"/>
      <c r="R113" s="5"/>
      <c r="S113" s="5">
        <f t="shared" si="121"/>
        <v>0</v>
      </c>
      <c r="T113" s="11"/>
      <c r="V113" s="72">
        <f t="shared" si="124"/>
        <v>0</v>
      </c>
      <c r="W113" s="72">
        <f t="shared" si="122"/>
        <v>0</v>
      </c>
      <c r="X113" s="72">
        <f t="shared" si="122"/>
        <v>0</v>
      </c>
      <c r="Y113" s="72">
        <f t="shared" si="122"/>
        <v>0</v>
      </c>
      <c r="Z113" s="5"/>
      <c r="AA113" s="5"/>
      <c r="AB113" s="5"/>
      <c r="AC113" s="5">
        <f t="shared" si="123"/>
        <v>0</v>
      </c>
    </row>
    <row r="114" spans="1:29" x14ac:dyDescent="0.35">
      <c r="A114" s="26" t="s">
        <v>94</v>
      </c>
      <c r="B114" s="10">
        <f>63650*(B36-B35)</f>
        <v>1336650</v>
      </c>
      <c r="C114" s="10"/>
      <c r="D114" s="5"/>
      <c r="E114" s="5"/>
      <c r="F114" s="5"/>
      <c r="G114" s="5"/>
      <c r="H114" s="5"/>
      <c r="I114" s="5">
        <f t="shared" si="120"/>
        <v>1336650</v>
      </c>
      <c r="J114" s="6">
        <v>63650</v>
      </c>
      <c r="L114" s="10">
        <f>63650*(L36-L35)</f>
        <v>2546000</v>
      </c>
      <c r="M114" s="10"/>
      <c r="N114" s="5"/>
      <c r="O114" s="5"/>
      <c r="P114" s="5"/>
      <c r="Q114" s="5"/>
      <c r="R114" s="5"/>
      <c r="S114" s="5">
        <f t="shared" si="121"/>
        <v>2546000</v>
      </c>
      <c r="T114" s="6">
        <v>63650</v>
      </c>
      <c r="V114" s="72">
        <f t="shared" si="124"/>
        <v>3882650</v>
      </c>
      <c r="W114" s="72">
        <f t="shared" si="122"/>
        <v>0</v>
      </c>
      <c r="X114" s="72">
        <f t="shared" si="122"/>
        <v>0</v>
      </c>
      <c r="Y114" s="72">
        <f t="shared" si="122"/>
        <v>0</v>
      </c>
      <c r="Z114" s="5"/>
      <c r="AA114" s="5"/>
      <c r="AB114" s="5"/>
      <c r="AC114" s="5">
        <f t="shared" si="123"/>
        <v>3882650</v>
      </c>
    </row>
    <row r="115" spans="1:29" x14ac:dyDescent="0.35">
      <c r="A115" s="26" t="s">
        <v>27</v>
      </c>
      <c r="B115" s="10"/>
      <c r="C115" s="10">
        <f>63650*C36</f>
        <v>190950</v>
      </c>
      <c r="D115" s="5"/>
      <c r="E115" s="5"/>
      <c r="F115" s="5"/>
      <c r="G115" s="5"/>
      <c r="H115" s="5"/>
      <c r="I115" s="5">
        <f t="shared" si="120"/>
        <v>190950</v>
      </c>
      <c r="J115" s="11"/>
      <c r="L115" s="10"/>
      <c r="M115" s="10">
        <f>63650*M36</f>
        <v>222775</v>
      </c>
      <c r="N115" s="5"/>
      <c r="O115" s="5"/>
      <c r="P115" s="5"/>
      <c r="Q115" s="5"/>
      <c r="R115" s="5"/>
      <c r="S115" s="5">
        <f t="shared" si="121"/>
        <v>222775</v>
      </c>
      <c r="T115" s="11"/>
      <c r="V115" s="72">
        <f t="shared" si="124"/>
        <v>0</v>
      </c>
      <c r="W115" s="72">
        <f t="shared" si="122"/>
        <v>413725</v>
      </c>
      <c r="X115" s="72">
        <f t="shared" si="122"/>
        <v>0</v>
      </c>
      <c r="Y115" s="72">
        <f t="shared" si="122"/>
        <v>0</v>
      </c>
      <c r="Z115" s="5"/>
      <c r="AA115" s="5"/>
      <c r="AB115" s="5"/>
      <c r="AC115" s="5">
        <f t="shared" si="123"/>
        <v>413725</v>
      </c>
    </row>
    <row r="116" spans="1:29" x14ac:dyDescent="0.35">
      <c r="A116" s="26" t="s">
        <v>95</v>
      </c>
      <c r="B116" s="72">
        <f>(50000+67200)*1.03*1.015*1.015</f>
        <v>124364.64109999998</v>
      </c>
      <c r="C116" s="10"/>
      <c r="D116" s="5"/>
      <c r="E116" s="5"/>
      <c r="F116" s="5"/>
      <c r="G116" s="5"/>
      <c r="H116" s="5"/>
      <c r="I116" s="5">
        <f t="shared" si="120"/>
        <v>124364.64109999998</v>
      </c>
      <c r="J116" s="11"/>
      <c r="L116" s="72">
        <f>(60000+50000)*1.015*1.015</f>
        <v>113324.74999999997</v>
      </c>
      <c r="M116" s="10"/>
      <c r="N116" s="5"/>
      <c r="O116" s="5"/>
      <c r="P116" s="5"/>
      <c r="Q116" s="5"/>
      <c r="R116" s="5"/>
      <c r="S116" s="5">
        <f t="shared" si="121"/>
        <v>113324.74999999997</v>
      </c>
      <c r="T116" s="11"/>
      <c r="V116" s="72">
        <f t="shared" si="124"/>
        <v>237689.39109999995</v>
      </c>
      <c r="W116" s="72">
        <f t="shared" si="122"/>
        <v>0</v>
      </c>
      <c r="X116" s="72">
        <f t="shared" si="122"/>
        <v>0</v>
      </c>
      <c r="Y116" s="72">
        <f t="shared" si="122"/>
        <v>0</v>
      </c>
      <c r="Z116" s="5"/>
      <c r="AA116" s="5"/>
      <c r="AB116" s="5"/>
      <c r="AC116" s="5">
        <f t="shared" si="123"/>
        <v>237689.39109999995</v>
      </c>
    </row>
    <row r="117" spans="1:29" x14ac:dyDescent="0.35">
      <c r="A117" s="26" t="s">
        <v>96</v>
      </c>
      <c r="B117" s="10">
        <f>33120*1.03*1.015*1.015</f>
        <v>35144.68355999999</v>
      </c>
      <c r="C117" s="10"/>
      <c r="D117" s="5"/>
      <c r="E117" s="5"/>
      <c r="F117" s="5"/>
      <c r="G117" s="5"/>
      <c r="H117" s="5"/>
      <c r="I117" s="5">
        <f t="shared" si="120"/>
        <v>35144.68355999999</v>
      </c>
      <c r="J117" s="11"/>
      <c r="L117" s="10">
        <f>(24*8*185)*(L48+L49)</f>
        <v>71040</v>
      </c>
      <c r="M117" s="10"/>
      <c r="N117" s="5"/>
      <c r="O117" s="5"/>
      <c r="P117" s="5"/>
      <c r="Q117" s="5"/>
      <c r="R117" s="5"/>
      <c r="S117" s="5">
        <f t="shared" si="121"/>
        <v>71040</v>
      </c>
      <c r="T117" s="11"/>
      <c r="V117" s="72">
        <f t="shared" si="124"/>
        <v>106184.68355999999</v>
      </c>
      <c r="W117" s="72">
        <f t="shared" si="122"/>
        <v>0</v>
      </c>
      <c r="X117" s="72">
        <f t="shared" si="122"/>
        <v>0</v>
      </c>
      <c r="Y117" s="72">
        <f t="shared" si="122"/>
        <v>0</v>
      </c>
      <c r="Z117" s="5"/>
      <c r="AA117" s="5"/>
      <c r="AB117" s="5"/>
      <c r="AC117" s="5">
        <f t="shared" si="123"/>
        <v>106184.68355999999</v>
      </c>
    </row>
    <row r="118" spans="1:29" x14ac:dyDescent="0.35">
      <c r="A118" s="26" t="s">
        <v>292</v>
      </c>
      <c r="B118" s="10">
        <f>((23*8*180)*B50)</f>
        <v>165600</v>
      </c>
      <c r="C118" s="10">
        <f t="shared" ref="C118:D118" si="125">((23*8*180)*C50)</f>
        <v>99360</v>
      </c>
      <c r="D118" s="10">
        <f t="shared" si="125"/>
        <v>66240</v>
      </c>
      <c r="E118" s="5"/>
      <c r="F118" s="5">
        <f>(14*8*180)*F50</f>
        <v>0</v>
      </c>
      <c r="G118" s="5"/>
      <c r="H118" s="5"/>
      <c r="I118" s="5">
        <f t="shared" si="120"/>
        <v>331200</v>
      </c>
      <c r="J118" s="11"/>
      <c r="L118" s="10">
        <f>((23*8*180)*L50)</f>
        <v>99360</v>
      </c>
      <c r="M118" s="10">
        <f t="shared" ref="M118:N118" si="126">((23*8*180)*M50)</f>
        <v>132480</v>
      </c>
      <c r="N118" s="10">
        <f t="shared" si="126"/>
        <v>99360</v>
      </c>
      <c r="O118" s="5"/>
      <c r="P118" s="5">
        <f>(14*8*180)*P50</f>
        <v>0</v>
      </c>
      <c r="Q118" s="5"/>
      <c r="R118" s="5"/>
      <c r="S118" s="5">
        <f t="shared" si="121"/>
        <v>331200</v>
      </c>
      <c r="T118" s="11"/>
      <c r="V118" s="72">
        <f t="shared" si="124"/>
        <v>264960</v>
      </c>
      <c r="W118" s="72">
        <f t="shared" si="122"/>
        <v>231840</v>
      </c>
      <c r="X118" s="72">
        <f t="shared" si="122"/>
        <v>165600</v>
      </c>
      <c r="Y118" s="72">
        <f t="shared" si="122"/>
        <v>0</v>
      </c>
      <c r="Z118" s="5">
        <f>(14*8*180)*Z50</f>
        <v>0</v>
      </c>
      <c r="AA118" s="5"/>
      <c r="AB118" s="5"/>
      <c r="AC118" s="5">
        <f t="shared" si="123"/>
        <v>662400</v>
      </c>
    </row>
    <row r="119" spans="1:29" x14ac:dyDescent="0.35">
      <c r="A119" s="26" t="s">
        <v>97</v>
      </c>
      <c r="B119" s="10">
        <f>(17.25*8*240)*B51</f>
        <v>0</v>
      </c>
      <c r="C119" s="10"/>
      <c r="D119" s="5"/>
      <c r="E119" s="5"/>
      <c r="F119" s="5"/>
      <c r="G119" s="5"/>
      <c r="H119" s="5"/>
      <c r="I119" s="5">
        <f t="shared" si="120"/>
        <v>0</v>
      </c>
      <c r="J119" s="11"/>
      <c r="L119" s="10">
        <f>(23*8*240)*L51</f>
        <v>110400</v>
      </c>
      <c r="M119" s="10"/>
      <c r="N119" s="5"/>
      <c r="O119" s="5"/>
      <c r="P119" s="5"/>
      <c r="Q119" s="5"/>
      <c r="R119" s="5"/>
      <c r="S119" s="5">
        <f t="shared" si="121"/>
        <v>110400</v>
      </c>
      <c r="T119" s="11"/>
      <c r="V119" s="72">
        <f t="shared" si="124"/>
        <v>110400</v>
      </c>
      <c r="W119" s="72">
        <f t="shared" si="122"/>
        <v>0</v>
      </c>
      <c r="X119" s="72">
        <f t="shared" si="122"/>
        <v>0</v>
      </c>
      <c r="Y119" s="72">
        <f t="shared" si="122"/>
        <v>0</v>
      </c>
      <c r="Z119" s="5"/>
      <c r="AA119" s="5"/>
      <c r="AB119" s="5"/>
      <c r="AC119" s="5">
        <f t="shared" si="123"/>
        <v>110400</v>
      </c>
    </row>
    <row r="120" spans="1:29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120"/>
        <v>0</v>
      </c>
      <c r="J120" s="11"/>
      <c r="L120" s="10"/>
      <c r="M120" s="10"/>
      <c r="N120" s="5">
        <v>47500</v>
      </c>
      <c r="O120" s="5"/>
      <c r="P120" s="5"/>
      <c r="Q120" s="5"/>
      <c r="R120" s="5"/>
      <c r="S120" s="5">
        <f>SUM(L120:R120)</f>
        <v>47500</v>
      </c>
      <c r="T120" s="11"/>
      <c r="V120" s="72">
        <f>B120+L120</f>
        <v>0</v>
      </c>
      <c r="W120" s="72">
        <f t="shared" si="122"/>
        <v>0</v>
      </c>
      <c r="X120" s="72">
        <f t="shared" si="122"/>
        <v>47500</v>
      </c>
      <c r="Y120" s="72">
        <f t="shared" si="122"/>
        <v>0</v>
      </c>
      <c r="Z120" s="5"/>
      <c r="AA120" s="5"/>
      <c r="AB120" s="5"/>
      <c r="AC120" s="5">
        <f t="shared" si="123"/>
        <v>47500</v>
      </c>
    </row>
    <row r="121" spans="1:29" x14ac:dyDescent="0.35">
      <c r="A121" s="57" t="s">
        <v>98</v>
      </c>
      <c r="B121" s="58">
        <f>SUM(B107:B120)</f>
        <v>2064484.3246599999</v>
      </c>
      <c r="C121" s="58">
        <f t="shared" ref="C121:D121" si="127">SUM(C107:C120)</f>
        <v>290310</v>
      </c>
      <c r="D121" s="58">
        <f t="shared" si="127"/>
        <v>66240</v>
      </c>
      <c r="E121" s="58"/>
      <c r="F121" s="58">
        <f t="shared" ref="F121:I121" si="128">SUM(F107:F120)</f>
        <v>0</v>
      </c>
      <c r="G121" s="58">
        <f t="shared" si="128"/>
        <v>0</v>
      </c>
      <c r="H121" s="58">
        <f t="shared" si="128"/>
        <v>0</v>
      </c>
      <c r="I121" s="58">
        <f t="shared" si="128"/>
        <v>2421034.3246599999</v>
      </c>
      <c r="J121" s="7"/>
      <c r="L121" s="58">
        <f>SUM(L107:L120)</f>
        <v>3526718.625</v>
      </c>
      <c r="M121" s="58">
        <f t="shared" ref="M121:N121" si="129">SUM(M107:M120)</f>
        <v>355255</v>
      </c>
      <c r="N121" s="58">
        <f t="shared" si="129"/>
        <v>146860</v>
      </c>
      <c r="O121" s="58"/>
      <c r="P121" s="58">
        <f t="shared" ref="P121:S121" si="130">SUM(P107:P120)</f>
        <v>0</v>
      </c>
      <c r="Q121" s="58">
        <f t="shared" si="130"/>
        <v>0</v>
      </c>
      <c r="R121" s="58">
        <f t="shared" si="130"/>
        <v>0</v>
      </c>
      <c r="S121" s="58">
        <f t="shared" si="130"/>
        <v>4028833.625</v>
      </c>
      <c r="T121" s="7"/>
      <c r="V121" s="58">
        <f>SUM(V107:V120)</f>
        <v>5591202.9496599995</v>
      </c>
      <c r="W121" s="58">
        <f t="shared" ref="W121:X121" si="131">SUM(W107:W120)</f>
        <v>645565</v>
      </c>
      <c r="X121" s="58">
        <f t="shared" si="131"/>
        <v>213100</v>
      </c>
      <c r="Y121" s="58"/>
      <c r="Z121" s="58">
        <f t="shared" ref="Z121:AC121" si="132">SUM(Z107:Z120)</f>
        <v>0</v>
      </c>
      <c r="AA121" s="58">
        <f t="shared" si="132"/>
        <v>0</v>
      </c>
      <c r="AB121" s="58">
        <f t="shared" si="132"/>
        <v>0</v>
      </c>
      <c r="AC121" s="58">
        <f t="shared" si="132"/>
        <v>6449867.9496599995</v>
      </c>
    </row>
    <row r="122" spans="1:29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  <c r="L122" s="44"/>
      <c r="M122" s="44"/>
      <c r="N122" s="44"/>
      <c r="O122" s="44"/>
      <c r="P122" s="44"/>
      <c r="Q122" s="44"/>
      <c r="R122" s="44"/>
      <c r="S122" s="45"/>
      <c r="T122" s="7"/>
      <c r="V122" s="44"/>
      <c r="W122" s="44"/>
      <c r="X122" s="44"/>
      <c r="Y122" s="44"/>
      <c r="Z122" s="44"/>
      <c r="AA122" s="44"/>
      <c r="AB122" s="44"/>
      <c r="AC122" s="45"/>
    </row>
    <row r="123" spans="1:29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133">SUM(B123:H123)</f>
        <v>0</v>
      </c>
      <c r="J123" s="11"/>
      <c r="L123" s="10">
        <v>0</v>
      </c>
      <c r="M123" s="72">
        <v>0</v>
      </c>
      <c r="N123" s="10"/>
      <c r="O123" s="10"/>
      <c r="P123" s="5"/>
      <c r="Q123" s="5"/>
      <c r="R123" s="5"/>
      <c r="S123" s="5">
        <f t="shared" ref="S123:S128" si="134">SUM(L123:R123)</f>
        <v>0</v>
      </c>
      <c r="T123" s="11"/>
      <c r="V123" s="10">
        <f>B123+L123</f>
        <v>0</v>
      </c>
      <c r="W123" s="10">
        <f t="shared" ref="W123:Y130" si="135">C123+M123</f>
        <v>0</v>
      </c>
      <c r="X123" s="10">
        <f t="shared" si="135"/>
        <v>0</v>
      </c>
      <c r="Y123" s="10">
        <f t="shared" si="135"/>
        <v>0</v>
      </c>
      <c r="Z123" s="5"/>
      <c r="AA123" s="5"/>
      <c r="AB123" s="5"/>
      <c r="AC123" s="5">
        <f t="shared" ref="AC123:AC128" si="136">SUM(V123:AB123)</f>
        <v>0</v>
      </c>
    </row>
    <row r="124" spans="1:29" x14ac:dyDescent="0.35">
      <c r="A124" s="26" t="s">
        <v>43</v>
      </c>
      <c r="B124" s="10">
        <v>0</v>
      </c>
      <c r="C124" s="72">
        <v>63000</v>
      </c>
      <c r="D124" s="10"/>
      <c r="E124" s="10"/>
      <c r="F124" s="5"/>
      <c r="G124" s="5"/>
      <c r="H124" s="5"/>
      <c r="I124" s="5">
        <f t="shared" si="133"/>
        <v>63000</v>
      </c>
      <c r="J124" s="11"/>
      <c r="L124" s="10">
        <v>0</v>
      </c>
      <c r="M124" s="72">
        <v>0</v>
      </c>
      <c r="N124" s="10"/>
      <c r="O124" s="10"/>
      <c r="P124" s="5"/>
      <c r="Q124" s="5"/>
      <c r="R124" s="5"/>
      <c r="S124" s="5">
        <f t="shared" si="134"/>
        <v>0</v>
      </c>
      <c r="T124" s="11"/>
      <c r="V124" s="10">
        <f t="shared" ref="V124:V130" si="137">B124+L124</f>
        <v>0</v>
      </c>
      <c r="W124" s="10">
        <f t="shared" si="135"/>
        <v>63000</v>
      </c>
      <c r="X124" s="10">
        <f t="shared" si="135"/>
        <v>0</v>
      </c>
      <c r="Y124" s="10">
        <f t="shared" si="135"/>
        <v>0</v>
      </c>
      <c r="Z124" s="5"/>
      <c r="AA124" s="5"/>
      <c r="AB124" s="5"/>
      <c r="AC124" s="5">
        <f t="shared" si="136"/>
        <v>63000</v>
      </c>
    </row>
    <row r="125" spans="1:29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133"/>
        <v>0</v>
      </c>
      <c r="J125" s="11"/>
      <c r="L125" s="10">
        <v>0</v>
      </c>
      <c r="M125" s="10">
        <v>0</v>
      </c>
      <c r="N125" s="10"/>
      <c r="O125" s="10"/>
      <c r="P125" s="5"/>
      <c r="Q125" s="5"/>
      <c r="R125" s="5"/>
      <c r="S125" s="5">
        <f t="shared" si="134"/>
        <v>0</v>
      </c>
      <c r="T125" s="11"/>
      <c r="V125" s="10">
        <f t="shared" si="137"/>
        <v>0</v>
      </c>
      <c r="W125" s="10">
        <f t="shared" si="135"/>
        <v>0</v>
      </c>
      <c r="X125" s="10">
        <f t="shared" si="135"/>
        <v>0</v>
      </c>
      <c r="Y125" s="10">
        <f t="shared" si="135"/>
        <v>0</v>
      </c>
      <c r="Z125" s="5"/>
      <c r="AA125" s="5"/>
      <c r="AB125" s="5"/>
      <c r="AC125" s="5">
        <f t="shared" si="136"/>
        <v>0</v>
      </c>
    </row>
    <row r="126" spans="1:29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133"/>
        <v>0</v>
      </c>
      <c r="J126" s="11"/>
      <c r="L126" s="10">
        <v>0</v>
      </c>
      <c r="M126" s="10"/>
      <c r="N126" s="10"/>
      <c r="O126" s="10"/>
      <c r="P126" s="5"/>
      <c r="Q126" s="5"/>
      <c r="R126" s="5"/>
      <c r="S126" s="21">
        <f t="shared" si="134"/>
        <v>0</v>
      </c>
      <c r="T126" s="11"/>
      <c r="V126" s="10">
        <f t="shared" si="137"/>
        <v>0</v>
      </c>
      <c r="W126" s="10">
        <f t="shared" si="135"/>
        <v>0</v>
      </c>
      <c r="X126" s="10">
        <f t="shared" si="135"/>
        <v>0</v>
      </c>
      <c r="Y126" s="10">
        <f t="shared" si="135"/>
        <v>0</v>
      </c>
      <c r="Z126" s="5"/>
      <c r="AA126" s="5"/>
      <c r="AB126" s="5"/>
      <c r="AC126" s="21">
        <f t="shared" si="136"/>
        <v>0</v>
      </c>
    </row>
    <row r="127" spans="1:29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133"/>
        <v>0</v>
      </c>
      <c r="J127" s="11"/>
      <c r="L127" s="10">
        <v>0</v>
      </c>
      <c r="M127" s="10"/>
      <c r="N127" s="10"/>
      <c r="O127" s="10"/>
      <c r="P127" s="5"/>
      <c r="Q127" s="5"/>
      <c r="R127" s="5"/>
      <c r="S127" s="5">
        <f t="shared" si="134"/>
        <v>0</v>
      </c>
      <c r="T127" s="11"/>
      <c r="V127" s="10">
        <f t="shared" si="137"/>
        <v>0</v>
      </c>
      <c r="W127" s="10">
        <f t="shared" si="135"/>
        <v>0</v>
      </c>
      <c r="X127" s="10">
        <f t="shared" si="135"/>
        <v>0</v>
      </c>
      <c r="Y127" s="10">
        <f t="shared" si="135"/>
        <v>0</v>
      </c>
      <c r="Z127" s="5"/>
      <c r="AA127" s="5"/>
      <c r="AB127" s="5"/>
      <c r="AC127" s="5">
        <f t="shared" si="136"/>
        <v>0</v>
      </c>
    </row>
    <row r="128" spans="1:29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133"/>
        <v>0</v>
      </c>
      <c r="J128" s="11"/>
      <c r="L128" s="72">
        <v>0</v>
      </c>
      <c r="M128" s="10"/>
      <c r="N128" s="10"/>
      <c r="O128" s="10"/>
      <c r="P128" s="5"/>
      <c r="Q128" s="5"/>
      <c r="R128" s="5"/>
      <c r="S128" s="5">
        <f t="shared" si="134"/>
        <v>0</v>
      </c>
      <c r="T128" s="11"/>
      <c r="V128" s="10">
        <f t="shared" si="137"/>
        <v>0</v>
      </c>
      <c r="W128" s="10">
        <f t="shared" si="135"/>
        <v>0</v>
      </c>
      <c r="X128" s="10">
        <f t="shared" si="135"/>
        <v>0</v>
      </c>
      <c r="Y128" s="10">
        <f t="shared" si="135"/>
        <v>0</v>
      </c>
      <c r="Z128" s="5"/>
      <c r="AA128" s="5"/>
      <c r="AB128" s="5"/>
      <c r="AC128" s="5">
        <f t="shared" si="136"/>
        <v>0</v>
      </c>
    </row>
    <row r="129" spans="1:29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  <c r="L129" s="10"/>
      <c r="M129" s="10">
        <f>(12.5*6*185)*M52</f>
        <v>0</v>
      </c>
      <c r="N129" s="72"/>
      <c r="O129" s="72"/>
      <c r="P129" s="5"/>
      <c r="Q129" s="5"/>
      <c r="R129" s="5"/>
      <c r="S129" s="5">
        <f>SUM(L129:R129)</f>
        <v>0</v>
      </c>
      <c r="T129" s="11"/>
      <c r="V129" s="10">
        <f t="shared" si="137"/>
        <v>0</v>
      </c>
      <c r="W129" s="10">
        <f t="shared" si="135"/>
        <v>0</v>
      </c>
      <c r="X129" s="10">
        <f t="shared" si="135"/>
        <v>0</v>
      </c>
      <c r="Y129" s="10">
        <f t="shared" si="135"/>
        <v>0</v>
      </c>
      <c r="Z129" s="5"/>
      <c r="AA129" s="5"/>
      <c r="AB129" s="5"/>
      <c r="AC129" s="5">
        <f>SUM(V129:AB129)</f>
        <v>0</v>
      </c>
    </row>
    <row r="130" spans="1:29" x14ac:dyDescent="0.35">
      <c r="A130" s="26" t="s">
        <v>55</v>
      </c>
      <c r="B130" s="148">
        <f>150*180*B59</f>
        <v>0</v>
      </c>
      <c r="C130" s="148">
        <f t="shared" ref="C130:H130" si="138">150*180*C59</f>
        <v>0</v>
      </c>
      <c r="D130" s="148">
        <f t="shared" si="138"/>
        <v>0</v>
      </c>
      <c r="E130" s="148">
        <f t="shared" si="138"/>
        <v>0</v>
      </c>
      <c r="F130" s="148">
        <f t="shared" si="138"/>
        <v>0</v>
      </c>
      <c r="G130" s="148">
        <f t="shared" si="138"/>
        <v>0</v>
      </c>
      <c r="H130" s="148">
        <f t="shared" si="138"/>
        <v>0</v>
      </c>
      <c r="I130" s="5">
        <f>SUM(B130:H130)</f>
        <v>0</v>
      </c>
      <c r="J130" s="11"/>
      <c r="L130" s="148">
        <f>150*180*L59</f>
        <v>0</v>
      </c>
      <c r="M130" s="148">
        <f t="shared" ref="M130:R130" si="139">150*180*M59</f>
        <v>0</v>
      </c>
      <c r="N130" s="148">
        <f t="shared" si="139"/>
        <v>0</v>
      </c>
      <c r="O130" s="148">
        <f t="shared" si="139"/>
        <v>0</v>
      </c>
      <c r="P130" s="148">
        <f t="shared" si="139"/>
        <v>0</v>
      </c>
      <c r="Q130" s="148">
        <f t="shared" si="139"/>
        <v>0</v>
      </c>
      <c r="R130" s="148">
        <f t="shared" si="139"/>
        <v>0</v>
      </c>
      <c r="S130" s="5">
        <f>SUM(L130:R130)</f>
        <v>0</v>
      </c>
      <c r="T130" s="11"/>
      <c r="V130" s="10">
        <f t="shared" si="137"/>
        <v>0</v>
      </c>
      <c r="W130" s="10">
        <f t="shared" si="135"/>
        <v>0</v>
      </c>
      <c r="X130" s="10">
        <f t="shared" si="135"/>
        <v>0</v>
      </c>
      <c r="Y130" s="10">
        <f t="shared" si="135"/>
        <v>0</v>
      </c>
      <c r="Z130" s="148">
        <f t="shared" ref="Z130:AB130" si="140">150*180*Z59</f>
        <v>0</v>
      </c>
      <c r="AA130" s="148">
        <f t="shared" si="140"/>
        <v>0</v>
      </c>
      <c r="AB130" s="148">
        <f t="shared" si="140"/>
        <v>0</v>
      </c>
      <c r="AC130" s="5">
        <f>SUM(V130:AB130)</f>
        <v>0</v>
      </c>
    </row>
    <row r="131" spans="1:29" x14ac:dyDescent="0.35">
      <c r="A131" s="60" t="s">
        <v>101</v>
      </c>
      <c r="B131" s="61">
        <f>SUM(B123:B130)</f>
        <v>0</v>
      </c>
      <c r="C131" s="61">
        <f t="shared" ref="C131:I131" si="141">SUM(C123:C130)</f>
        <v>63000</v>
      </c>
      <c r="D131" s="61">
        <f t="shared" si="141"/>
        <v>0</v>
      </c>
      <c r="E131" s="61"/>
      <c r="F131" s="61">
        <f t="shared" si="141"/>
        <v>0</v>
      </c>
      <c r="G131" s="61">
        <f t="shared" si="141"/>
        <v>0</v>
      </c>
      <c r="H131" s="61">
        <f t="shared" si="141"/>
        <v>0</v>
      </c>
      <c r="I131" s="61">
        <f t="shared" si="141"/>
        <v>63000</v>
      </c>
      <c r="J131" s="7"/>
      <c r="L131" s="61">
        <f>SUM(L123:L130)</f>
        <v>0</v>
      </c>
      <c r="M131" s="61">
        <f t="shared" ref="M131:N131" si="142">SUM(M123:M130)</f>
        <v>0</v>
      </c>
      <c r="N131" s="61">
        <f t="shared" si="142"/>
        <v>0</v>
      </c>
      <c r="O131" s="61"/>
      <c r="P131" s="61">
        <f t="shared" ref="P131:S131" si="143">SUM(P123:P130)</f>
        <v>0</v>
      </c>
      <c r="Q131" s="61">
        <f t="shared" si="143"/>
        <v>0</v>
      </c>
      <c r="R131" s="61">
        <f t="shared" si="143"/>
        <v>0</v>
      </c>
      <c r="S131" s="61">
        <f t="shared" si="143"/>
        <v>0</v>
      </c>
      <c r="T131" s="7"/>
      <c r="V131" s="61">
        <f>SUM(V123:V130)</f>
        <v>0</v>
      </c>
      <c r="W131" s="61">
        <f t="shared" ref="W131:X131" si="144">SUM(W123:W130)</f>
        <v>63000</v>
      </c>
      <c r="X131" s="61">
        <f t="shared" si="144"/>
        <v>0</v>
      </c>
      <c r="Y131" s="61"/>
      <c r="Z131" s="61">
        <f t="shared" ref="Z131:AC131" si="145">SUM(Z123:Z130)</f>
        <v>0</v>
      </c>
      <c r="AA131" s="61">
        <f t="shared" si="145"/>
        <v>0</v>
      </c>
      <c r="AB131" s="61">
        <f t="shared" si="145"/>
        <v>0</v>
      </c>
      <c r="AC131" s="61">
        <f t="shared" si="145"/>
        <v>63000</v>
      </c>
    </row>
    <row r="132" spans="1:29" x14ac:dyDescent="0.35">
      <c r="A132" s="62" t="s">
        <v>102</v>
      </c>
      <c r="B132" s="63">
        <f t="shared" ref="B132:H132" si="146">B121+B131</f>
        <v>2064484.3246599999</v>
      </c>
      <c r="C132" s="63">
        <f t="shared" si="146"/>
        <v>353310</v>
      </c>
      <c r="D132" s="63">
        <f t="shared" si="146"/>
        <v>66240</v>
      </c>
      <c r="E132" s="63"/>
      <c r="F132" s="63">
        <f t="shared" si="146"/>
        <v>0</v>
      </c>
      <c r="G132" s="63">
        <f t="shared" si="146"/>
        <v>0</v>
      </c>
      <c r="H132" s="63">
        <f t="shared" si="146"/>
        <v>0</v>
      </c>
      <c r="I132" s="63">
        <f>I121+I131</f>
        <v>2484034.3246599999</v>
      </c>
      <c r="J132" s="7"/>
      <c r="L132" s="63">
        <f>L121+L131</f>
        <v>3526718.625</v>
      </c>
      <c r="M132" s="63">
        <f t="shared" ref="M132:N132" si="147">M121+M131</f>
        <v>355255</v>
      </c>
      <c r="N132" s="63">
        <f t="shared" si="147"/>
        <v>146860</v>
      </c>
      <c r="O132" s="63"/>
      <c r="P132" s="63">
        <f t="shared" ref="P132:R132" si="148">P121+P131</f>
        <v>0</v>
      </c>
      <c r="Q132" s="63">
        <f t="shared" si="148"/>
        <v>0</v>
      </c>
      <c r="R132" s="63">
        <f t="shared" si="148"/>
        <v>0</v>
      </c>
      <c r="S132" s="63">
        <f>S121+S131</f>
        <v>4028833.625</v>
      </c>
      <c r="T132" s="7"/>
      <c r="V132" s="63">
        <f t="shared" ref="V132:X132" si="149">V121+V131</f>
        <v>5591202.9496599995</v>
      </c>
      <c r="W132" s="63">
        <f t="shared" si="149"/>
        <v>708565</v>
      </c>
      <c r="X132" s="63">
        <f t="shared" si="149"/>
        <v>213100</v>
      </c>
      <c r="Y132" s="63"/>
      <c r="Z132" s="63">
        <f t="shared" ref="Z132:AB132" si="150">Z121+Z131</f>
        <v>0</v>
      </c>
      <c r="AA132" s="63">
        <f t="shared" si="150"/>
        <v>0</v>
      </c>
      <c r="AB132" s="63">
        <f t="shared" si="150"/>
        <v>0</v>
      </c>
      <c r="AC132" s="63">
        <f>AC121+AC131</f>
        <v>6512867.9496599995</v>
      </c>
    </row>
    <row r="133" spans="1:29" x14ac:dyDescent="0.35">
      <c r="A133" s="26" t="s">
        <v>258</v>
      </c>
      <c r="B133" s="47">
        <f>B132*0.335</f>
        <v>691602.2487611</v>
      </c>
      <c r="C133" s="47">
        <f t="shared" ref="C133:H133" si="151">C132*0.335</f>
        <v>118358.85</v>
      </c>
      <c r="D133" s="47">
        <f t="shared" si="151"/>
        <v>22190.400000000001</v>
      </c>
      <c r="E133" s="47"/>
      <c r="F133" s="47">
        <f t="shared" si="151"/>
        <v>0</v>
      </c>
      <c r="G133" s="47">
        <f t="shared" si="151"/>
        <v>0</v>
      </c>
      <c r="H133" s="47">
        <f t="shared" si="151"/>
        <v>0</v>
      </c>
      <c r="I133" s="10">
        <f>SUM(B133:H133)</f>
        <v>832151.4987611</v>
      </c>
      <c r="J133" s="105">
        <f>I133/I132</f>
        <v>0.33500000000000002</v>
      </c>
      <c r="L133" s="47">
        <f>L132*0.335</f>
        <v>1181450.7393750001</v>
      </c>
      <c r="M133" s="47">
        <f t="shared" ref="M133:N133" si="152">M132*0.335</f>
        <v>119010.425</v>
      </c>
      <c r="N133" s="47">
        <f t="shared" si="152"/>
        <v>49198.100000000006</v>
      </c>
      <c r="O133" s="47"/>
      <c r="P133" s="47">
        <f t="shared" ref="P133:R133" si="153">P132*0.335</f>
        <v>0</v>
      </c>
      <c r="Q133" s="47">
        <f t="shared" si="153"/>
        <v>0</v>
      </c>
      <c r="R133" s="47">
        <f t="shared" si="153"/>
        <v>0</v>
      </c>
      <c r="S133" s="10">
        <f>SUM(L133:R133)</f>
        <v>1349659.2643750003</v>
      </c>
      <c r="T133" s="105">
        <f>S133/S132</f>
        <v>0.33500000000000008</v>
      </c>
      <c r="V133" s="47">
        <f>B133+L133</f>
        <v>1873052.9881361001</v>
      </c>
      <c r="W133" s="47">
        <f t="shared" ref="W133:Y140" si="154">C133+M133</f>
        <v>237369.27500000002</v>
      </c>
      <c r="X133" s="47">
        <f t="shared" si="154"/>
        <v>71388.5</v>
      </c>
      <c r="Y133" s="47">
        <f t="shared" si="154"/>
        <v>0</v>
      </c>
      <c r="Z133" s="47">
        <f t="shared" ref="Z133:AB133" si="155">Z132*0.335</f>
        <v>0</v>
      </c>
      <c r="AA133" s="47">
        <f t="shared" si="155"/>
        <v>0</v>
      </c>
      <c r="AB133" s="47">
        <f t="shared" si="155"/>
        <v>0</v>
      </c>
      <c r="AC133" s="10">
        <f>SUM(V133:AB133)</f>
        <v>2181810.7631361</v>
      </c>
    </row>
    <row r="134" spans="1:29" x14ac:dyDescent="0.35">
      <c r="A134" s="26" t="s">
        <v>103</v>
      </c>
      <c r="B134" s="10">
        <f>((7100*B65)*0.8)+((180*B65)*0.78)+((85*B65)*0.78)+(B132*0.015)+(B132*0.03)</f>
        <v>287162.89460969996</v>
      </c>
      <c r="C134" s="10">
        <f t="shared" ref="C134:E134" si="156">((7100*C65)*0.8)+((180*C65)*0.78)+((85*C65)*0.78)+(C132*0.015)+(C132*0.03)</f>
        <v>57105.850000000006</v>
      </c>
      <c r="D134" s="10">
        <f t="shared" si="156"/>
        <v>14754.2</v>
      </c>
      <c r="E134" s="10">
        <f t="shared" si="156"/>
        <v>0</v>
      </c>
      <c r="F134" s="10">
        <f t="shared" ref="F134:H134" si="157">((6450*F65)*0.78)+((160*F65)*0.78)+((65*F65)*0.78)+(F132*0.015)+(F132*0.03)</f>
        <v>0</v>
      </c>
      <c r="G134" s="10">
        <f t="shared" si="157"/>
        <v>0</v>
      </c>
      <c r="H134" s="10">
        <f t="shared" si="157"/>
        <v>0</v>
      </c>
      <c r="I134" s="10">
        <f>SUM(B134:H134)</f>
        <v>359022.94460969995</v>
      </c>
      <c r="J134" s="105">
        <f>I134/I132</f>
        <v>0.1445321995133223</v>
      </c>
      <c r="L134" s="10">
        <f>((7100*L65)*0.8)+((180*L65)*0.78)+((85*L65)*0.78)+(L132*0.015)+(L132*0.03)</f>
        <v>485414.18812499999</v>
      </c>
      <c r="M134" s="10">
        <f t="shared" ref="M134:O134" si="158">((7100*M65)*0.8)+((180*M65)*0.78)+((85*M65)*0.78)+(M132*0.015)+(M132*0.03)</f>
        <v>60136.724999999999</v>
      </c>
      <c r="N134" s="10">
        <f t="shared" si="158"/>
        <v>30155.5</v>
      </c>
      <c r="O134" s="10">
        <f t="shared" si="158"/>
        <v>0</v>
      </c>
      <c r="P134" s="10">
        <f t="shared" ref="P134:R134" si="159">((6450*P65)*0.78)+((160*P65)*0.78)+((65*P65)*0.78)+(P132*0.015)+(P132*0.03)</f>
        <v>0</v>
      </c>
      <c r="Q134" s="10">
        <f t="shared" si="159"/>
        <v>0</v>
      </c>
      <c r="R134" s="10">
        <f t="shared" si="159"/>
        <v>0</v>
      </c>
      <c r="S134" s="10">
        <f>SUM(L134:R134)</f>
        <v>575706.41312499996</v>
      </c>
      <c r="T134" s="105">
        <f>S134/S132</f>
        <v>0.14289654691933326</v>
      </c>
      <c r="V134" s="47">
        <f t="shared" ref="V134:V140" si="160">B134+L134</f>
        <v>772577.08273469994</v>
      </c>
      <c r="W134" s="47">
        <f t="shared" si="154"/>
        <v>117242.57500000001</v>
      </c>
      <c r="X134" s="47">
        <f t="shared" si="154"/>
        <v>44909.7</v>
      </c>
      <c r="Y134" s="47">
        <f t="shared" si="154"/>
        <v>0</v>
      </c>
      <c r="Z134" s="10">
        <f t="shared" ref="Z134:AB134" si="161">((6450*Z65)*0.78)+((160*Z65)*0.78)+((65*Z65)*0.78)+(Z132*0.015)+(Z132*0.03)</f>
        <v>0</v>
      </c>
      <c r="AA134" s="10">
        <f t="shared" si="161"/>
        <v>0</v>
      </c>
      <c r="AB134" s="10">
        <f t="shared" si="161"/>
        <v>0</v>
      </c>
      <c r="AC134" s="10">
        <f>SUM(V134:AB134)</f>
        <v>934729.35773469997</v>
      </c>
    </row>
    <row r="135" spans="1:29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</f>
        <v>32422.5</v>
      </c>
      <c r="C135" s="10">
        <f t="shared" ref="C135:H135" si="162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162"/>
        <v>990</v>
      </c>
      <c r="E135" s="10">
        <f t="shared" si="162"/>
        <v>0</v>
      </c>
      <c r="F135" s="10">
        <f t="shared" si="162"/>
        <v>0</v>
      </c>
      <c r="G135" s="10">
        <f t="shared" si="162"/>
        <v>0</v>
      </c>
      <c r="H135" s="10">
        <f t="shared" si="162"/>
        <v>0</v>
      </c>
      <c r="I135" s="10">
        <f t="shared" ref="I135:I140" si="163">SUM(B135:H135)</f>
        <v>38857.5</v>
      </c>
      <c r="J135" s="11"/>
      <c r="L135" s="10">
        <f>((2000*L39)+(1750*L40)+(1500*L41)+(1500*L42)+(1500*L43)+(1500*L44)+(1500*L45)+(1000*L46)+(1000*L47)+(500*L48)+(500*L49)+(500*L50)+(500*L51)+(500*L52)+(500*L53)+(1000*L54)+(1000*L55)+(1000*L56)+(1000*L57)+(1000*L58)+(500*L59)+(500*L60)+(1000*L36))*0.99</f>
        <v>55192.5</v>
      </c>
      <c r="M135" s="10">
        <f t="shared" ref="M135:R135" si="164">((2000*M39)+(1750*M40)+(1500*M41)+(1500*M42)+(1500*M43)+(1500*M44)+(1500*M45)+(1000*M46)+(1000*M47)+(500*M48)+(500*M49)+(500*M50)+(500*M51)+(500*M52)+(500*M53)+(1000*M54)+(1000*M55)+(1000*M56)+(1000*M57)+(1000*M58)+(500*M59)+(500*M60)+(1000*M36))*0.99</f>
        <v>5445</v>
      </c>
      <c r="N135" s="10">
        <f t="shared" si="164"/>
        <v>1980</v>
      </c>
      <c r="O135" s="10">
        <f t="shared" si="164"/>
        <v>0</v>
      </c>
      <c r="P135" s="10">
        <f t="shared" si="164"/>
        <v>0</v>
      </c>
      <c r="Q135" s="10">
        <f t="shared" si="164"/>
        <v>0</v>
      </c>
      <c r="R135" s="10">
        <f t="shared" si="164"/>
        <v>0</v>
      </c>
      <c r="S135" s="10">
        <f t="shared" ref="S135:S140" si="165">SUM(L135:R135)</f>
        <v>62617.5</v>
      </c>
      <c r="T135" s="11"/>
      <c r="V135" s="47">
        <f t="shared" si="160"/>
        <v>87615</v>
      </c>
      <c r="W135" s="47">
        <f t="shared" si="154"/>
        <v>10890</v>
      </c>
      <c r="X135" s="47">
        <f t="shared" si="154"/>
        <v>2970</v>
      </c>
      <c r="Y135" s="47">
        <f t="shared" si="154"/>
        <v>0</v>
      </c>
      <c r="Z135" s="10">
        <f t="shared" ref="Z135:AB135" si="166">((2000*Z39)+(1750*Z40)+(1500*Z41)+(1500*Z42)+(1500*Z43)+(1500*Z44)+(1500*Z45)+(1000*Z46)+(1000*Z47)+(500*Z48)+(500*Z49)+(500*Z50)+(500*Z51)+(500*Z52)+(500*Z53)+(1000*Z54)+(1000*Z55)+(1000*Z56)+(1000*Z57)+(1000*Z58)+(500*Z59)+(500*Z60)+(1000*Z36))*0.99</f>
        <v>0</v>
      </c>
      <c r="AA135" s="10">
        <f t="shared" si="166"/>
        <v>0</v>
      </c>
      <c r="AB135" s="10">
        <f t="shared" si="166"/>
        <v>0</v>
      </c>
      <c r="AC135" s="10">
        <f t="shared" ref="AC135:AC140" si="167">SUM(V135:AB135)</f>
        <v>101475</v>
      </c>
    </row>
    <row r="136" spans="1:29" x14ac:dyDescent="0.35">
      <c r="A136" s="26" t="s">
        <v>105</v>
      </c>
      <c r="B136" s="10">
        <f>125*B65+(125*15)</f>
        <v>6000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163"/>
        <v>7125</v>
      </c>
      <c r="J136" s="11"/>
      <c r="L136" s="10">
        <f>125*L65+(125*15)</f>
        <v>8812.5</v>
      </c>
      <c r="M136" s="10">
        <f>125*M65</f>
        <v>937.5</v>
      </c>
      <c r="N136" s="10">
        <f>125*N65</f>
        <v>500</v>
      </c>
      <c r="O136" s="10"/>
      <c r="P136" s="10">
        <f>125*P65</f>
        <v>0</v>
      </c>
      <c r="Q136" s="10">
        <f>125*Q65</f>
        <v>0</v>
      </c>
      <c r="R136" s="10">
        <f>125*R65</f>
        <v>0</v>
      </c>
      <c r="S136" s="10">
        <f t="shared" si="165"/>
        <v>10250</v>
      </c>
      <c r="T136" s="11"/>
      <c r="V136" s="47">
        <f t="shared" si="160"/>
        <v>14812.5</v>
      </c>
      <c r="W136" s="47">
        <f t="shared" si="154"/>
        <v>1812.5</v>
      </c>
      <c r="X136" s="47">
        <f t="shared" si="154"/>
        <v>750</v>
      </c>
      <c r="Y136" s="47">
        <f t="shared" si="154"/>
        <v>0</v>
      </c>
      <c r="Z136" s="10">
        <f>125*Z65</f>
        <v>0</v>
      </c>
      <c r="AA136" s="10">
        <f>125*AA65</f>
        <v>0</v>
      </c>
      <c r="AB136" s="10">
        <f>125*AB65</f>
        <v>0</v>
      </c>
      <c r="AC136" s="10">
        <f t="shared" si="167"/>
        <v>17375</v>
      </c>
    </row>
    <row r="137" spans="1:29" x14ac:dyDescent="0.35">
      <c r="A137" s="26" t="s">
        <v>106</v>
      </c>
      <c r="B137" s="10">
        <v>0</v>
      </c>
      <c r="C137" s="10">
        <f>50000*1.03*1.015*1.015</f>
        <v>53056.587499999987</v>
      </c>
      <c r="D137" s="10"/>
      <c r="E137" s="10"/>
      <c r="F137" s="10">
        <v>0</v>
      </c>
      <c r="G137" s="10"/>
      <c r="H137" s="10"/>
      <c r="I137" s="10">
        <f t="shared" si="163"/>
        <v>53056.587499999987</v>
      </c>
      <c r="J137" s="11"/>
      <c r="L137" s="10">
        <v>0</v>
      </c>
      <c r="M137" s="10">
        <v>0</v>
      </c>
      <c r="N137" s="10"/>
      <c r="O137" s="10"/>
      <c r="P137" s="10">
        <v>0</v>
      </c>
      <c r="Q137" s="10"/>
      <c r="R137" s="10"/>
      <c r="S137" s="10">
        <f t="shared" si="165"/>
        <v>0</v>
      </c>
      <c r="T137" s="11"/>
      <c r="V137" s="47">
        <f t="shared" si="160"/>
        <v>0</v>
      </c>
      <c r="W137" s="47">
        <f t="shared" si="154"/>
        <v>53056.587499999987</v>
      </c>
      <c r="X137" s="47">
        <f t="shared" si="154"/>
        <v>0</v>
      </c>
      <c r="Y137" s="47">
        <f t="shared" si="154"/>
        <v>0</v>
      </c>
      <c r="Z137" s="10">
        <v>0</v>
      </c>
      <c r="AA137" s="10"/>
      <c r="AB137" s="10"/>
      <c r="AC137" s="10">
        <f t="shared" si="167"/>
        <v>53056.587499999987</v>
      </c>
    </row>
    <row r="138" spans="1:29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163"/>
        <v>0</v>
      </c>
      <c r="J138" s="11"/>
      <c r="L138" s="10">
        <v>0</v>
      </c>
      <c r="M138" s="10">
        <v>0</v>
      </c>
      <c r="N138" s="10">
        <v>0</v>
      </c>
      <c r="O138" s="10"/>
      <c r="P138" s="10"/>
      <c r="Q138" s="10"/>
      <c r="R138" s="10"/>
      <c r="S138" s="10">
        <f t="shared" si="165"/>
        <v>0</v>
      </c>
      <c r="T138" s="11"/>
      <c r="V138" s="47">
        <f t="shared" si="160"/>
        <v>0</v>
      </c>
      <c r="W138" s="47">
        <f t="shared" si="154"/>
        <v>0</v>
      </c>
      <c r="X138" s="47">
        <f t="shared" si="154"/>
        <v>0</v>
      </c>
      <c r="Y138" s="47">
        <f t="shared" si="154"/>
        <v>0</v>
      </c>
      <c r="Z138" s="10"/>
      <c r="AA138" s="10"/>
      <c r="AB138" s="10"/>
      <c r="AC138" s="10">
        <f t="shared" si="167"/>
        <v>0</v>
      </c>
    </row>
    <row r="139" spans="1:29" x14ac:dyDescent="0.35">
      <c r="A139" s="26" t="s">
        <v>108</v>
      </c>
      <c r="B139" s="10">
        <v>12500</v>
      </c>
      <c r="C139" s="10"/>
      <c r="D139" s="10"/>
      <c r="E139" s="10"/>
      <c r="F139" s="10"/>
      <c r="G139" s="10"/>
      <c r="H139" s="10"/>
      <c r="I139" s="5">
        <f t="shared" si="163"/>
        <v>12500</v>
      </c>
      <c r="J139" s="11"/>
      <c r="L139" s="10">
        <v>11500</v>
      </c>
      <c r="M139" s="10"/>
      <c r="N139" s="10"/>
      <c r="O139" s="10"/>
      <c r="P139" s="10"/>
      <c r="Q139" s="10"/>
      <c r="R139" s="10"/>
      <c r="S139" s="5">
        <f t="shared" si="165"/>
        <v>11500</v>
      </c>
      <c r="T139" s="11"/>
      <c r="V139" s="47">
        <f t="shared" si="160"/>
        <v>24000</v>
      </c>
      <c r="W139" s="47">
        <f t="shared" si="154"/>
        <v>0</v>
      </c>
      <c r="X139" s="47">
        <f t="shared" si="154"/>
        <v>0</v>
      </c>
      <c r="Y139" s="47">
        <f t="shared" si="154"/>
        <v>0</v>
      </c>
      <c r="Z139" s="10"/>
      <c r="AA139" s="10"/>
      <c r="AB139" s="10"/>
      <c r="AC139" s="5">
        <f t="shared" si="167"/>
        <v>24000</v>
      </c>
    </row>
    <row r="140" spans="1:29" x14ac:dyDescent="0.35">
      <c r="A140" s="26" t="s">
        <v>322</v>
      </c>
      <c r="B140" s="30">
        <f>(190*11*(B36-B35))-B130</f>
        <v>43890</v>
      </c>
      <c r="C140" s="30">
        <f t="shared" ref="C140:E140" si="168">(190*11*(C36-C35))-C130</f>
        <v>6270</v>
      </c>
      <c r="D140" s="30">
        <f t="shared" si="168"/>
        <v>0</v>
      </c>
      <c r="E140" s="30">
        <f t="shared" si="168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163"/>
        <v>50160</v>
      </c>
      <c r="J140" s="11" t="s">
        <v>327</v>
      </c>
      <c r="L140" s="30">
        <f>(190*11*(L36-L35))-L130</f>
        <v>83600</v>
      </c>
      <c r="M140" s="30">
        <f t="shared" ref="M140:O140" si="169">(190*11*(M36-M35))-M130</f>
        <v>7315</v>
      </c>
      <c r="N140" s="30">
        <f t="shared" si="169"/>
        <v>0</v>
      </c>
      <c r="O140" s="30">
        <f t="shared" si="169"/>
        <v>0</v>
      </c>
      <c r="P140" s="30">
        <f>(175*10*P36)-P130</f>
        <v>0</v>
      </c>
      <c r="Q140" s="30">
        <f>(175*10*Q36)-Q130</f>
        <v>0</v>
      </c>
      <c r="R140" s="30">
        <f>(175*10*R36)-R130</f>
        <v>0</v>
      </c>
      <c r="S140" s="5">
        <f t="shared" si="165"/>
        <v>90915</v>
      </c>
      <c r="T140" s="11" t="s">
        <v>327</v>
      </c>
      <c r="V140" s="47">
        <f t="shared" si="160"/>
        <v>127490</v>
      </c>
      <c r="W140" s="47">
        <f t="shared" si="154"/>
        <v>13585</v>
      </c>
      <c r="X140" s="47">
        <f t="shared" si="154"/>
        <v>0</v>
      </c>
      <c r="Y140" s="47">
        <f t="shared" si="154"/>
        <v>0</v>
      </c>
      <c r="Z140" s="30">
        <f>(175*10*Z36)-Z130</f>
        <v>0</v>
      </c>
      <c r="AA140" s="30">
        <f>(175*10*AA36)-AA130</f>
        <v>0</v>
      </c>
      <c r="AB140" s="30">
        <f>(175*10*AB36)-AB130</f>
        <v>0</v>
      </c>
      <c r="AC140" s="5">
        <f t="shared" si="167"/>
        <v>141075</v>
      </c>
    </row>
    <row r="141" spans="1:29" x14ac:dyDescent="0.35">
      <c r="A141" s="64" t="s">
        <v>109</v>
      </c>
      <c r="B141" s="65">
        <f>SUM(B133:B140)</f>
        <v>1073577.6433708</v>
      </c>
      <c r="C141" s="65">
        <f t="shared" ref="C141:H141" si="170">SUM(C133:C140)</f>
        <v>241111.28750000001</v>
      </c>
      <c r="D141" s="65">
        <f t="shared" si="170"/>
        <v>38184.600000000006</v>
      </c>
      <c r="E141" s="65"/>
      <c r="F141" s="65">
        <f t="shared" si="170"/>
        <v>0</v>
      </c>
      <c r="G141" s="65">
        <f t="shared" si="170"/>
        <v>0</v>
      </c>
      <c r="H141" s="65">
        <f t="shared" si="170"/>
        <v>0</v>
      </c>
      <c r="I141" s="65">
        <f>SUM(I133:I140)</f>
        <v>1352873.5308707999</v>
      </c>
      <c r="J141" s="7"/>
      <c r="L141" s="65">
        <f>SUM(L133:L140)</f>
        <v>1825969.9275000002</v>
      </c>
      <c r="M141" s="65">
        <f t="shared" ref="M141:N141" si="171">SUM(M133:M140)</f>
        <v>192844.65</v>
      </c>
      <c r="N141" s="65">
        <f t="shared" si="171"/>
        <v>81833.600000000006</v>
      </c>
      <c r="O141" s="65"/>
      <c r="P141" s="65">
        <f t="shared" ref="P141:R141" si="172">SUM(P133:P140)</f>
        <v>0</v>
      </c>
      <c r="Q141" s="65">
        <f t="shared" si="172"/>
        <v>0</v>
      </c>
      <c r="R141" s="65">
        <f t="shared" si="172"/>
        <v>0</v>
      </c>
      <c r="S141" s="65">
        <f>SUM(S133:S140)</f>
        <v>2100648.1775000002</v>
      </c>
      <c r="T141" s="7"/>
      <c r="V141" s="65">
        <f>SUM(V133:V140)</f>
        <v>2899547.5708707999</v>
      </c>
      <c r="W141" s="65">
        <f t="shared" ref="W141:X141" si="173">SUM(W133:W140)</f>
        <v>433955.9375</v>
      </c>
      <c r="X141" s="65">
        <f t="shared" si="173"/>
        <v>120018.2</v>
      </c>
      <c r="Y141" s="65"/>
      <c r="Z141" s="65">
        <f t="shared" ref="Z141:AB141" si="174">SUM(Z133:Z140)</f>
        <v>0</v>
      </c>
      <c r="AA141" s="65">
        <f t="shared" si="174"/>
        <v>0</v>
      </c>
      <c r="AB141" s="65">
        <f t="shared" si="174"/>
        <v>0</v>
      </c>
      <c r="AC141" s="65">
        <f>SUM(AC133:AC140)</f>
        <v>3453521.7083707997</v>
      </c>
    </row>
    <row r="142" spans="1:29" x14ac:dyDescent="0.35">
      <c r="A142" s="62" t="s">
        <v>110</v>
      </c>
      <c r="B142" s="63">
        <f t="shared" ref="B142:I142" si="175">B132+B141</f>
        <v>3138061.9680308001</v>
      </c>
      <c r="C142" s="63">
        <f t="shared" si="175"/>
        <v>594421.28749999998</v>
      </c>
      <c r="D142" s="63">
        <f t="shared" si="175"/>
        <v>104424.6</v>
      </c>
      <c r="E142" s="63"/>
      <c r="F142" s="63">
        <f t="shared" si="175"/>
        <v>0</v>
      </c>
      <c r="G142" s="63">
        <f t="shared" si="175"/>
        <v>0</v>
      </c>
      <c r="H142" s="63">
        <f t="shared" si="175"/>
        <v>0</v>
      </c>
      <c r="I142" s="63">
        <f t="shared" si="175"/>
        <v>3836907.8555307998</v>
      </c>
      <c r="J142" s="7"/>
      <c r="L142" s="63">
        <f t="shared" ref="L142:N142" si="176">L132+L141</f>
        <v>5352688.5525000002</v>
      </c>
      <c r="M142" s="63">
        <f t="shared" si="176"/>
        <v>548099.65</v>
      </c>
      <c r="N142" s="63">
        <f t="shared" si="176"/>
        <v>228693.6</v>
      </c>
      <c r="O142" s="63"/>
      <c r="P142" s="63">
        <f t="shared" ref="P142:S142" si="177">P132+P141</f>
        <v>0</v>
      </c>
      <c r="Q142" s="63">
        <f t="shared" si="177"/>
        <v>0</v>
      </c>
      <c r="R142" s="63">
        <f t="shared" si="177"/>
        <v>0</v>
      </c>
      <c r="S142" s="63">
        <f t="shared" si="177"/>
        <v>6129481.8025000002</v>
      </c>
      <c r="T142" s="7"/>
      <c r="V142" s="63">
        <f t="shared" ref="V142:X142" si="178">V132+V141</f>
        <v>8490750.5205307994</v>
      </c>
      <c r="W142" s="63">
        <f t="shared" si="178"/>
        <v>1142520.9375</v>
      </c>
      <c r="X142" s="63">
        <f t="shared" si="178"/>
        <v>333118.2</v>
      </c>
      <c r="Y142" s="63"/>
      <c r="Z142" s="63">
        <f t="shared" ref="Z142:AC142" si="179">Z132+Z141</f>
        <v>0</v>
      </c>
      <c r="AA142" s="63">
        <f t="shared" si="179"/>
        <v>0</v>
      </c>
      <c r="AB142" s="63">
        <f t="shared" si="179"/>
        <v>0</v>
      </c>
      <c r="AC142" s="63">
        <f t="shared" si="179"/>
        <v>9966389.6580307987</v>
      </c>
    </row>
    <row r="143" spans="1:29" x14ac:dyDescent="0.35">
      <c r="A143" s="66" t="s">
        <v>256</v>
      </c>
      <c r="B143" s="15" t="str">
        <f t="shared" ref="B143:I143" si="180">B1</f>
        <v>Operating</v>
      </c>
      <c r="C143" s="15" t="str">
        <f t="shared" si="180"/>
        <v>SPED</v>
      </c>
      <c r="D143" s="15" t="str">
        <f t="shared" si="180"/>
        <v>NSLP</v>
      </c>
      <c r="E143" s="15" t="str">
        <f t="shared" si="180"/>
        <v>Other</v>
      </c>
      <c r="F143" s="15" t="str">
        <f t="shared" si="180"/>
        <v>Title I</v>
      </c>
      <c r="G143" s="15" t="str">
        <f t="shared" si="180"/>
        <v>Title II</v>
      </c>
      <c r="H143" s="15" t="str">
        <f t="shared" si="180"/>
        <v>Title III</v>
      </c>
      <c r="I143" s="15" t="str">
        <f t="shared" si="180"/>
        <v>B&amp;G</v>
      </c>
      <c r="J143" s="7"/>
      <c r="L143" s="15" t="str">
        <f t="shared" ref="L143:S143" si="181">L1</f>
        <v>Operating</v>
      </c>
      <c r="M143" s="15" t="str">
        <f t="shared" si="181"/>
        <v>SPED</v>
      </c>
      <c r="N143" s="15" t="str">
        <f t="shared" si="181"/>
        <v>NSLP</v>
      </c>
      <c r="O143" s="15" t="str">
        <f t="shared" si="181"/>
        <v>Other</v>
      </c>
      <c r="P143" s="15" t="str">
        <f t="shared" si="181"/>
        <v>Title I</v>
      </c>
      <c r="Q143" s="15" t="str">
        <f t="shared" si="181"/>
        <v>Title II</v>
      </c>
      <c r="R143" s="15" t="str">
        <f t="shared" si="181"/>
        <v>Title III</v>
      </c>
      <c r="S143" s="15" t="str">
        <f t="shared" si="181"/>
        <v>New</v>
      </c>
      <c r="T143" s="7"/>
      <c r="V143" s="15" t="str">
        <f t="shared" ref="V143:AC143" si="182">V1</f>
        <v>Operating</v>
      </c>
      <c r="W143" s="15" t="str">
        <f t="shared" si="182"/>
        <v>SPED</v>
      </c>
      <c r="X143" s="15" t="str">
        <f t="shared" si="182"/>
        <v>NSLP</v>
      </c>
      <c r="Y143" s="15" t="str">
        <f t="shared" si="182"/>
        <v>Other</v>
      </c>
      <c r="Z143" s="15" t="str">
        <f t="shared" si="182"/>
        <v>Title I</v>
      </c>
      <c r="AA143" s="15" t="str">
        <f t="shared" si="182"/>
        <v>Title II</v>
      </c>
      <c r="AB143" s="15" t="str">
        <f t="shared" si="182"/>
        <v>Title III</v>
      </c>
      <c r="AC143" s="15" t="str">
        <f t="shared" si="182"/>
        <v>MANN</v>
      </c>
    </row>
    <row r="144" spans="1:29" x14ac:dyDescent="0.35">
      <c r="A144" s="67" t="s">
        <v>111</v>
      </c>
      <c r="B144" s="5">
        <f>(230*B17)</f>
        <v>106950</v>
      </c>
      <c r="C144" s="10"/>
      <c r="D144" s="10"/>
      <c r="E144" s="10"/>
      <c r="F144" s="10"/>
      <c r="G144" s="10"/>
      <c r="H144" s="10"/>
      <c r="I144" s="5">
        <f t="shared" ref="I144:I152" si="183">SUM(B144:H144)</f>
        <v>106950</v>
      </c>
      <c r="J144" s="11" t="s">
        <v>471</v>
      </c>
      <c r="L144" s="5">
        <f>(230*L17)</f>
        <v>216890</v>
      </c>
      <c r="M144" s="10"/>
      <c r="N144" s="10"/>
      <c r="O144" s="10"/>
      <c r="P144" s="10"/>
      <c r="Q144" s="10"/>
      <c r="R144" s="10"/>
      <c r="S144" s="5">
        <f t="shared" ref="S144:S152" si="184">SUM(L144:R144)</f>
        <v>216890</v>
      </c>
      <c r="T144" s="11" t="s">
        <v>471</v>
      </c>
      <c r="V144" s="5">
        <f>B144+L144</f>
        <v>323840</v>
      </c>
      <c r="W144" s="5">
        <f t="shared" ref="W144:Y153" si="185">C144+M144</f>
        <v>0</v>
      </c>
      <c r="X144" s="5">
        <f t="shared" si="185"/>
        <v>0</v>
      </c>
      <c r="Y144" s="5">
        <f t="shared" si="185"/>
        <v>0</v>
      </c>
      <c r="Z144" s="10"/>
      <c r="AA144" s="10"/>
      <c r="AB144" s="10"/>
      <c r="AC144" s="5">
        <f t="shared" ref="AC144:AC152" si="186">SUM(V144:AB144)</f>
        <v>323840</v>
      </c>
    </row>
    <row r="145" spans="1:29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183"/>
        <v>0</v>
      </c>
      <c r="J145" s="11"/>
      <c r="L145" s="5">
        <v>0</v>
      </c>
      <c r="M145" s="10"/>
      <c r="N145" s="10"/>
      <c r="O145" s="10"/>
      <c r="P145" s="10"/>
      <c r="Q145" s="10"/>
      <c r="R145" s="10"/>
      <c r="S145" s="5">
        <f t="shared" si="184"/>
        <v>0</v>
      </c>
      <c r="T145" s="11"/>
      <c r="V145" s="5">
        <f t="shared" ref="V145:V153" si="187">B145+L145</f>
        <v>0</v>
      </c>
      <c r="W145" s="5">
        <f t="shared" si="185"/>
        <v>0</v>
      </c>
      <c r="X145" s="5">
        <f t="shared" si="185"/>
        <v>0</v>
      </c>
      <c r="Y145" s="5">
        <f t="shared" si="185"/>
        <v>0</v>
      </c>
      <c r="Z145" s="10"/>
      <c r="AA145" s="10"/>
      <c r="AB145" s="10"/>
      <c r="AC145" s="5">
        <f t="shared" si="186"/>
        <v>0</v>
      </c>
    </row>
    <row r="146" spans="1:29" x14ac:dyDescent="0.35">
      <c r="A146" s="26" t="s">
        <v>113</v>
      </c>
      <c r="B146" s="10">
        <v>0</v>
      </c>
      <c r="C146" s="10"/>
      <c r="D146" s="10"/>
      <c r="E146" s="10"/>
      <c r="F146" s="10"/>
      <c r="G146" s="10"/>
      <c r="H146" s="10"/>
      <c r="I146" s="5">
        <f t="shared" si="183"/>
        <v>0</v>
      </c>
      <c r="J146" s="11"/>
      <c r="L146" s="10">
        <v>0</v>
      </c>
      <c r="M146" s="10"/>
      <c r="N146" s="10"/>
      <c r="O146" s="10"/>
      <c r="P146" s="10"/>
      <c r="Q146" s="10"/>
      <c r="R146" s="10"/>
      <c r="S146" s="5">
        <f t="shared" si="184"/>
        <v>0</v>
      </c>
      <c r="T146" s="11"/>
      <c r="V146" s="5">
        <f t="shared" si="187"/>
        <v>0</v>
      </c>
      <c r="W146" s="5">
        <f t="shared" si="185"/>
        <v>0</v>
      </c>
      <c r="X146" s="5">
        <f t="shared" si="185"/>
        <v>0</v>
      </c>
      <c r="Y146" s="5">
        <f t="shared" si="185"/>
        <v>0</v>
      </c>
      <c r="Z146" s="10"/>
      <c r="AA146" s="10"/>
      <c r="AB146" s="10"/>
      <c r="AC146" s="5">
        <f t="shared" si="186"/>
        <v>0</v>
      </c>
    </row>
    <row r="147" spans="1:29" x14ac:dyDescent="0.35">
      <c r="A147" s="26" t="s">
        <v>114</v>
      </c>
      <c r="B147" s="5">
        <f>35*B17</f>
        <v>16275</v>
      </c>
      <c r="C147" s="10"/>
      <c r="D147" s="10">
        <v>3500</v>
      </c>
      <c r="E147" s="10"/>
      <c r="F147" s="10"/>
      <c r="G147" s="10"/>
      <c r="H147" s="10"/>
      <c r="I147" s="5">
        <f t="shared" si="183"/>
        <v>19775</v>
      </c>
      <c r="J147" s="11" t="s">
        <v>305</v>
      </c>
      <c r="L147" s="5">
        <f>35*L17</f>
        <v>33005</v>
      </c>
      <c r="M147" s="10"/>
      <c r="N147" s="10">
        <v>3500</v>
      </c>
      <c r="O147" s="10"/>
      <c r="P147" s="10"/>
      <c r="Q147" s="10"/>
      <c r="R147" s="10"/>
      <c r="S147" s="5">
        <f t="shared" si="184"/>
        <v>36505</v>
      </c>
      <c r="T147" s="11" t="s">
        <v>305</v>
      </c>
      <c r="V147" s="5">
        <f t="shared" si="187"/>
        <v>49280</v>
      </c>
      <c r="W147" s="5">
        <f t="shared" si="185"/>
        <v>0</v>
      </c>
      <c r="X147" s="5">
        <f t="shared" si="185"/>
        <v>7000</v>
      </c>
      <c r="Y147" s="5">
        <f t="shared" si="185"/>
        <v>0</v>
      </c>
      <c r="Z147" s="10"/>
      <c r="AA147" s="10"/>
      <c r="AB147" s="10"/>
      <c r="AC147" s="5">
        <f t="shared" si="186"/>
        <v>56280</v>
      </c>
    </row>
    <row r="148" spans="1:29" x14ac:dyDescent="0.35">
      <c r="A148" s="26" t="s">
        <v>115</v>
      </c>
      <c r="B148" s="5">
        <f>55*B17</f>
        <v>25575</v>
      </c>
      <c r="C148" s="10"/>
      <c r="D148" s="10"/>
      <c r="E148" s="10"/>
      <c r="F148" s="10"/>
      <c r="G148" s="10"/>
      <c r="H148" s="10"/>
      <c r="I148" s="5">
        <f t="shared" si="183"/>
        <v>25575</v>
      </c>
      <c r="J148" s="11" t="s">
        <v>472</v>
      </c>
      <c r="L148" s="5">
        <f>55*L17</f>
        <v>51865</v>
      </c>
      <c r="M148" s="10"/>
      <c r="N148" s="10"/>
      <c r="O148" s="10"/>
      <c r="P148" s="10"/>
      <c r="Q148" s="10"/>
      <c r="R148" s="10"/>
      <c r="S148" s="5">
        <f t="shared" si="184"/>
        <v>51865</v>
      </c>
      <c r="T148" s="11" t="s">
        <v>472</v>
      </c>
      <c r="V148" s="5">
        <f t="shared" si="187"/>
        <v>77440</v>
      </c>
      <c r="W148" s="5">
        <f t="shared" si="185"/>
        <v>0</v>
      </c>
      <c r="X148" s="5">
        <f t="shared" si="185"/>
        <v>0</v>
      </c>
      <c r="Y148" s="5">
        <f t="shared" si="185"/>
        <v>0</v>
      </c>
      <c r="Z148" s="10"/>
      <c r="AA148" s="10"/>
      <c r="AB148" s="10"/>
      <c r="AC148" s="5">
        <f t="shared" si="186"/>
        <v>77440</v>
      </c>
    </row>
    <row r="149" spans="1:29" x14ac:dyDescent="0.35">
      <c r="A149" s="26" t="s">
        <v>116</v>
      </c>
      <c r="B149" s="5">
        <f>27*B17</f>
        <v>12555</v>
      </c>
      <c r="C149" s="10"/>
      <c r="D149" s="10"/>
      <c r="E149" s="10"/>
      <c r="F149" s="10"/>
      <c r="G149" s="10"/>
      <c r="H149" s="10"/>
      <c r="I149" s="5">
        <f t="shared" si="183"/>
        <v>12555</v>
      </c>
      <c r="J149" s="11" t="s">
        <v>486</v>
      </c>
      <c r="L149" s="5">
        <f>27*L17</f>
        <v>25461</v>
      </c>
      <c r="M149" s="10"/>
      <c r="N149" s="10"/>
      <c r="O149" s="10"/>
      <c r="P149" s="10"/>
      <c r="Q149" s="10"/>
      <c r="R149" s="10"/>
      <c r="S149" s="5">
        <f t="shared" si="184"/>
        <v>25461</v>
      </c>
      <c r="T149" s="11" t="s">
        <v>486</v>
      </c>
      <c r="V149" s="5">
        <f t="shared" si="187"/>
        <v>38016</v>
      </c>
      <c r="W149" s="5">
        <f t="shared" si="185"/>
        <v>0</v>
      </c>
      <c r="X149" s="5">
        <f t="shared" si="185"/>
        <v>0</v>
      </c>
      <c r="Y149" s="5">
        <f t="shared" si="185"/>
        <v>0</v>
      </c>
      <c r="Z149" s="10"/>
      <c r="AA149" s="10"/>
      <c r="AB149" s="10"/>
      <c r="AC149" s="5">
        <f t="shared" si="186"/>
        <v>38016</v>
      </c>
    </row>
    <row r="150" spans="1:29" x14ac:dyDescent="0.35">
      <c r="A150" s="26" t="s">
        <v>117</v>
      </c>
      <c r="B150" s="5">
        <f>10*B17</f>
        <v>4650</v>
      </c>
      <c r="C150" s="10"/>
      <c r="D150" s="10"/>
      <c r="E150" s="10"/>
      <c r="F150" s="10"/>
      <c r="G150" s="10"/>
      <c r="H150" s="10"/>
      <c r="I150" s="5">
        <f t="shared" si="183"/>
        <v>4650</v>
      </c>
      <c r="J150" s="11" t="s">
        <v>467</v>
      </c>
      <c r="L150" s="5">
        <f>10*L17</f>
        <v>9430</v>
      </c>
      <c r="M150" s="10"/>
      <c r="N150" s="10"/>
      <c r="O150" s="10"/>
      <c r="P150" s="10"/>
      <c r="Q150" s="10"/>
      <c r="R150" s="10"/>
      <c r="S150" s="5">
        <f t="shared" si="184"/>
        <v>9430</v>
      </c>
      <c r="T150" s="11" t="s">
        <v>467</v>
      </c>
      <c r="V150" s="5">
        <f t="shared" si="187"/>
        <v>14080</v>
      </c>
      <c r="W150" s="5">
        <f t="shared" si="185"/>
        <v>0</v>
      </c>
      <c r="X150" s="5">
        <f t="shared" si="185"/>
        <v>0</v>
      </c>
      <c r="Y150" s="5">
        <f t="shared" si="185"/>
        <v>0</v>
      </c>
      <c r="Z150" s="10"/>
      <c r="AA150" s="10"/>
      <c r="AB150" s="10"/>
      <c r="AC150" s="5">
        <f t="shared" si="186"/>
        <v>14080</v>
      </c>
    </row>
    <row r="151" spans="1:29" x14ac:dyDescent="0.35">
      <c r="A151" s="26" t="s">
        <v>118</v>
      </c>
      <c r="B151" s="5">
        <f>129*B20</f>
        <v>0</v>
      </c>
      <c r="C151" s="10">
        <f>160*(C20)</f>
        <v>8960</v>
      </c>
      <c r="D151" s="10"/>
      <c r="E151" s="10"/>
      <c r="F151" s="10"/>
      <c r="G151" s="10"/>
      <c r="H151" s="10"/>
      <c r="I151" s="5">
        <f t="shared" si="183"/>
        <v>8960</v>
      </c>
      <c r="J151" s="11" t="s">
        <v>474</v>
      </c>
      <c r="L151" s="5">
        <f>129*L20</f>
        <v>0</v>
      </c>
      <c r="M151" s="10">
        <f>160*(M20)</f>
        <v>14720</v>
      </c>
      <c r="N151" s="10"/>
      <c r="O151" s="10"/>
      <c r="P151" s="10"/>
      <c r="Q151" s="10"/>
      <c r="R151" s="10"/>
      <c r="S151" s="5">
        <f t="shared" si="184"/>
        <v>14720</v>
      </c>
      <c r="T151" s="11" t="s">
        <v>474</v>
      </c>
      <c r="V151" s="5">
        <f t="shared" si="187"/>
        <v>0</v>
      </c>
      <c r="W151" s="5">
        <f t="shared" si="185"/>
        <v>23680</v>
      </c>
      <c r="X151" s="5">
        <f t="shared" si="185"/>
        <v>0</v>
      </c>
      <c r="Y151" s="5">
        <f t="shared" si="185"/>
        <v>0</v>
      </c>
      <c r="Z151" s="10"/>
      <c r="AA151" s="10"/>
      <c r="AB151" s="10"/>
      <c r="AC151" s="5">
        <f t="shared" si="186"/>
        <v>23680</v>
      </c>
    </row>
    <row r="152" spans="1:29" x14ac:dyDescent="0.35">
      <c r="A152" s="26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183"/>
        <v>0</v>
      </c>
      <c r="J152" s="11"/>
      <c r="L152" s="5">
        <v>0</v>
      </c>
      <c r="M152" s="5"/>
      <c r="N152" s="5"/>
      <c r="O152" s="5"/>
      <c r="P152" s="5"/>
      <c r="Q152" s="5"/>
      <c r="R152" s="5"/>
      <c r="S152" s="5">
        <f t="shared" si="184"/>
        <v>0</v>
      </c>
      <c r="T152" s="11"/>
      <c r="V152" s="5">
        <f t="shared" si="187"/>
        <v>0</v>
      </c>
      <c r="W152" s="5">
        <f t="shared" si="185"/>
        <v>0</v>
      </c>
      <c r="X152" s="5">
        <f t="shared" si="185"/>
        <v>0</v>
      </c>
      <c r="Y152" s="5">
        <f t="shared" si="185"/>
        <v>0</v>
      </c>
      <c r="Z152" s="5"/>
      <c r="AA152" s="5"/>
      <c r="AB152" s="5"/>
      <c r="AC152" s="5">
        <f t="shared" si="186"/>
        <v>0</v>
      </c>
    </row>
    <row r="153" spans="1:29" x14ac:dyDescent="0.35">
      <c r="A153" s="69" t="s">
        <v>161</v>
      </c>
      <c r="B153" s="73">
        <f>45*B17</f>
        <v>20925</v>
      </c>
      <c r="C153" s="5"/>
      <c r="D153" s="5"/>
      <c r="E153" s="5"/>
      <c r="F153" s="5"/>
      <c r="G153" s="5"/>
      <c r="H153" s="5"/>
      <c r="I153" s="5">
        <f>SUM(B153:H153)</f>
        <v>20925</v>
      </c>
      <c r="J153" s="11" t="s">
        <v>468</v>
      </c>
      <c r="L153" s="73">
        <f>45*L17</f>
        <v>42435</v>
      </c>
      <c r="M153" s="5"/>
      <c r="N153" s="5"/>
      <c r="O153" s="5"/>
      <c r="P153" s="5"/>
      <c r="Q153" s="5"/>
      <c r="R153" s="5"/>
      <c r="S153" s="5">
        <f>SUM(L153:R153)</f>
        <v>42435</v>
      </c>
      <c r="T153" s="11" t="s">
        <v>468</v>
      </c>
      <c r="V153" s="5">
        <f t="shared" si="187"/>
        <v>63360</v>
      </c>
      <c r="W153" s="5">
        <f t="shared" si="185"/>
        <v>0</v>
      </c>
      <c r="X153" s="5">
        <f t="shared" si="185"/>
        <v>0</v>
      </c>
      <c r="Y153" s="5">
        <f t="shared" si="185"/>
        <v>0</v>
      </c>
      <c r="Z153" s="5"/>
      <c r="AA153" s="5"/>
      <c r="AB153" s="5"/>
      <c r="AC153" s="5">
        <f>SUM(V153:AB153)</f>
        <v>63360</v>
      </c>
    </row>
    <row r="154" spans="1:29" x14ac:dyDescent="0.35">
      <c r="A154" s="62" t="s">
        <v>257</v>
      </c>
      <c r="B154" s="63">
        <f>SUM(B144:B153)</f>
        <v>186930</v>
      </c>
      <c r="C154" s="63">
        <f t="shared" ref="C154:I154" si="188">SUM(C144:C153)</f>
        <v>8960</v>
      </c>
      <c r="D154" s="63">
        <f t="shared" si="188"/>
        <v>3500</v>
      </c>
      <c r="E154" s="63">
        <f t="shared" si="188"/>
        <v>0</v>
      </c>
      <c r="F154" s="63">
        <f t="shared" si="188"/>
        <v>0</v>
      </c>
      <c r="G154" s="63">
        <f t="shared" si="188"/>
        <v>0</v>
      </c>
      <c r="H154" s="63">
        <f t="shared" si="188"/>
        <v>0</v>
      </c>
      <c r="I154" s="63">
        <f t="shared" si="188"/>
        <v>199390</v>
      </c>
      <c r="J154" s="7"/>
      <c r="L154" s="63">
        <f>SUM(L144:L153)</f>
        <v>379086</v>
      </c>
      <c r="M154" s="63">
        <f t="shared" ref="M154:S154" si="189">SUM(M144:M153)</f>
        <v>14720</v>
      </c>
      <c r="N154" s="63">
        <f t="shared" si="189"/>
        <v>3500</v>
      </c>
      <c r="O154" s="63">
        <f t="shared" si="189"/>
        <v>0</v>
      </c>
      <c r="P154" s="63">
        <f t="shared" si="189"/>
        <v>0</v>
      </c>
      <c r="Q154" s="63">
        <f t="shared" si="189"/>
        <v>0</v>
      </c>
      <c r="R154" s="63">
        <f t="shared" si="189"/>
        <v>0</v>
      </c>
      <c r="S154" s="63">
        <f t="shared" si="189"/>
        <v>397306</v>
      </c>
      <c r="T154" s="7"/>
      <c r="V154" s="63">
        <f>SUM(V144:V153)</f>
        <v>566016</v>
      </c>
      <c r="W154" s="63">
        <f t="shared" ref="W154:AC154" si="190">SUM(W144:W153)</f>
        <v>23680</v>
      </c>
      <c r="X154" s="63">
        <f t="shared" si="190"/>
        <v>7000</v>
      </c>
      <c r="Y154" s="63">
        <f t="shared" si="190"/>
        <v>0</v>
      </c>
      <c r="Z154" s="63">
        <f t="shared" si="190"/>
        <v>0</v>
      </c>
      <c r="AA154" s="63">
        <f t="shared" si="190"/>
        <v>0</v>
      </c>
      <c r="AB154" s="63">
        <f t="shared" si="190"/>
        <v>0</v>
      </c>
      <c r="AC154" s="63">
        <f t="shared" si="190"/>
        <v>596696</v>
      </c>
    </row>
    <row r="155" spans="1:29" x14ac:dyDescent="0.35">
      <c r="A155" s="66" t="s">
        <v>120</v>
      </c>
      <c r="B155" s="15" t="str">
        <f t="shared" ref="B155:I155" si="191">B1</f>
        <v>Operating</v>
      </c>
      <c r="C155" s="15" t="str">
        <f t="shared" si="191"/>
        <v>SPED</v>
      </c>
      <c r="D155" s="15" t="str">
        <f t="shared" si="191"/>
        <v>NSLP</v>
      </c>
      <c r="E155" s="15" t="str">
        <f t="shared" si="191"/>
        <v>Other</v>
      </c>
      <c r="F155" s="15" t="str">
        <f t="shared" si="191"/>
        <v>Title I</v>
      </c>
      <c r="G155" s="15" t="str">
        <f t="shared" si="191"/>
        <v>Title II</v>
      </c>
      <c r="H155" s="15" t="str">
        <f t="shared" si="191"/>
        <v>Title III</v>
      </c>
      <c r="I155" s="15" t="str">
        <f t="shared" si="191"/>
        <v>B&amp;G</v>
      </c>
      <c r="J155" s="7"/>
      <c r="L155" s="15" t="str">
        <f t="shared" ref="L155:S155" si="192">L1</f>
        <v>Operating</v>
      </c>
      <c r="M155" s="15" t="str">
        <f t="shared" si="192"/>
        <v>SPED</v>
      </c>
      <c r="N155" s="15" t="str">
        <f t="shared" si="192"/>
        <v>NSLP</v>
      </c>
      <c r="O155" s="15" t="str">
        <f t="shared" si="192"/>
        <v>Other</v>
      </c>
      <c r="P155" s="15" t="str">
        <f t="shared" si="192"/>
        <v>Title I</v>
      </c>
      <c r="Q155" s="15" t="str">
        <f t="shared" si="192"/>
        <v>Title II</v>
      </c>
      <c r="R155" s="15" t="str">
        <f t="shared" si="192"/>
        <v>Title III</v>
      </c>
      <c r="S155" s="15" t="str">
        <f t="shared" si="192"/>
        <v>New</v>
      </c>
      <c r="T155" s="7"/>
      <c r="V155" s="15" t="str">
        <f t="shared" ref="V155:AC155" si="193">V1</f>
        <v>Operating</v>
      </c>
      <c r="W155" s="15" t="str">
        <f t="shared" si="193"/>
        <v>SPED</v>
      </c>
      <c r="X155" s="15" t="str">
        <f t="shared" si="193"/>
        <v>NSLP</v>
      </c>
      <c r="Y155" s="15" t="str">
        <f t="shared" si="193"/>
        <v>Other</v>
      </c>
      <c r="Z155" s="15" t="str">
        <f t="shared" si="193"/>
        <v>Title I</v>
      </c>
      <c r="AA155" s="15" t="str">
        <f t="shared" si="193"/>
        <v>Title II</v>
      </c>
      <c r="AB155" s="15" t="str">
        <f t="shared" si="193"/>
        <v>Title III</v>
      </c>
      <c r="AC155" s="15" t="str">
        <f t="shared" si="193"/>
        <v>MANN</v>
      </c>
    </row>
    <row r="156" spans="1:29" x14ac:dyDescent="0.35">
      <c r="A156" s="26" t="s">
        <v>457</v>
      </c>
      <c r="B156" s="10">
        <f>(12600+3000)*1.03*1.03*1.02</f>
        <v>16881.040800000002</v>
      </c>
      <c r="C156" s="10"/>
      <c r="D156" s="10"/>
      <c r="E156" s="10"/>
      <c r="F156" s="10"/>
      <c r="G156" s="10"/>
      <c r="H156" s="10"/>
      <c r="I156" s="5">
        <f t="shared" ref="I156:I169" si="194">SUM(B156:H156)</f>
        <v>16881.040800000002</v>
      </c>
      <c r="J156" s="11"/>
      <c r="L156" s="10">
        <f>(18600+3000)*1.03*1.02*1.03*1.03</f>
        <v>24074.961264000001</v>
      </c>
      <c r="M156" s="10"/>
      <c r="N156" s="10"/>
      <c r="O156" s="10"/>
      <c r="P156" s="10"/>
      <c r="Q156" s="10"/>
      <c r="R156" s="10"/>
      <c r="S156" s="5">
        <f t="shared" ref="S156:S169" si="195">SUM(L156:R156)</f>
        <v>24074.961264000001</v>
      </c>
      <c r="T156" s="11"/>
      <c r="V156" s="10">
        <f>B156+L156</f>
        <v>40956.002064</v>
      </c>
      <c r="W156" s="10">
        <f t="shared" ref="W156:Y169" si="196">C156+M156</f>
        <v>0</v>
      </c>
      <c r="X156" s="10">
        <f t="shared" si="196"/>
        <v>0</v>
      </c>
      <c r="Y156" s="10">
        <f t="shared" si="196"/>
        <v>0</v>
      </c>
      <c r="Z156" s="10"/>
      <c r="AA156" s="10"/>
      <c r="AB156" s="10"/>
      <c r="AC156" s="5">
        <f t="shared" ref="AC156:AC169" si="197">SUM(V156:AB156)</f>
        <v>40956.002064</v>
      </c>
    </row>
    <row r="157" spans="1:29" x14ac:dyDescent="0.35">
      <c r="A157" s="26" t="s">
        <v>121</v>
      </c>
      <c r="B157" s="10">
        <v>0</v>
      </c>
      <c r="C157" s="5">
        <f>120*B17</f>
        <v>55800</v>
      </c>
      <c r="D157" s="5"/>
      <c r="E157" s="5"/>
      <c r="F157" s="5"/>
      <c r="G157" s="5"/>
      <c r="H157" s="5"/>
      <c r="I157" s="5">
        <f t="shared" si="194"/>
        <v>55800</v>
      </c>
      <c r="J157" s="11" t="s">
        <v>487</v>
      </c>
      <c r="L157" s="10">
        <v>0</v>
      </c>
      <c r="M157" s="5">
        <f>325*L17</f>
        <v>306475</v>
      </c>
      <c r="N157" s="5"/>
      <c r="O157" s="5"/>
      <c r="P157" s="5"/>
      <c r="Q157" s="5"/>
      <c r="R157" s="5"/>
      <c r="S157" s="5">
        <f t="shared" si="195"/>
        <v>306475</v>
      </c>
      <c r="T157" s="11" t="s">
        <v>516</v>
      </c>
      <c r="V157" s="10">
        <f t="shared" ref="V157:V169" si="198">B157+L157</f>
        <v>0</v>
      </c>
      <c r="W157" s="10">
        <f t="shared" si="196"/>
        <v>362275</v>
      </c>
      <c r="X157" s="10">
        <f t="shared" si="196"/>
        <v>0</v>
      </c>
      <c r="Y157" s="10">
        <f t="shared" si="196"/>
        <v>0</v>
      </c>
      <c r="Z157" s="5"/>
      <c r="AA157" s="5"/>
      <c r="AB157" s="5"/>
      <c r="AC157" s="5">
        <f t="shared" si="197"/>
        <v>362275</v>
      </c>
    </row>
    <row r="158" spans="1:29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194"/>
        <v>0</v>
      </c>
      <c r="J158" s="11"/>
      <c r="L158" s="10">
        <v>0</v>
      </c>
      <c r="M158" s="5"/>
      <c r="N158" s="5"/>
      <c r="O158" s="5"/>
      <c r="P158" s="5"/>
      <c r="Q158" s="5"/>
      <c r="R158" s="5"/>
      <c r="S158" s="5">
        <f t="shared" si="195"/>
        <v>0</v>
      </c>
      <c r="T158" s="11"/>
      <c r="V158" s="10">
        <f t="shared" si="198"/>
        <v>0</v>
      </c>
      <c r="W158" s="10">
        <f t="shared" si="196"/>
        <v>0</v>
      </c>
      <c r="X158" s="10">
        <f t="shared" si="196"/>
        <v>0</v>
      </c>
      <c r="Y158" s="10">
        <f t="shared" si="196"/>
        <v>0</v>
      </c>
      <c r="Z158" s="5"/>
      <c r="AA158" s="5"/>
      <c r="AB158" s="5"/>
      <c r="AC158" s="5">
        <f t="shared" si="197"/>
        <v>0</v>
      </c>
    </row>
    <row r="159" spans="1:29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194"/>
        <v>0</v>
      </c>
      <c r="J159" s="11"/>
      <c r="L159" s="10">
        <v>0</v>
      </c>
      <c r="M159" s="5"/>
      <c r="N159" s="5"/>
      <c r="O159" s="5"/>
      <c r="P159" s="5"/>
      <c r="Q159" s="5"/>
      <c r="R159" s="5"/>
      <c r="S159" s="5">
        <f t="shared" si="195"/>
        <v>0</v>
      </c>
      <c r="T159" s="11"/>
      <c r="V159" s="10">
        <f t="shared" si="198"/>
        <v>0</v>
      </c>
      <c r="W159" s="10">
        <f t="shared" si="196"/>
        <v>0</v>
      </c>
      <c r="X159" s="10">
        <f t="shared" si="196"/>
        <v>0</v>
      </c>
      <c r="Y159" s="10">
        <f t="shared" si="196"/>
        <v>0</v>
      </c>
      <c r="Z159" s="5"/>
      <c r="AA159" s="5"/>
      <c r="AB159" s="5"/>
      <c r="AC159" s="5">
        <f t="shared" si="197"/>
        <v>0</v>
      </c>
    </row>
    <row r="160" spans="1:29" x14ac:dyDescent="0.35">
      <c r="A160" s="26" t="s">
        <v>122</v>
      </c>
      <c r="B160" s="10">
        <f>495*B17</f>
        <v>230175</v>
      </c>
      <c r="C160" s="5"/>
      <c r="D160" s="5"/>
      <c r="E160" s="5"/>
      <c r="F160" s="5"/>
      <c r="G160" s="5"/>
      <c r="H160" s="5"/>
      <c r="I160" s="5">
        <f t="shared" si="194"/>
        <v>230175</v>
      </c>
      <c r="J160" s="11" t="s">
        <v>460</v>
      </c>
      <c r="L160" s="10">
        <f>495*L17</f>
        <v>466785</v>
      </c>
      <c r="M160" s="5"/>
      <c r="N160" s="5"/>
      <c r="O160" s="5"/>
      <c r="P160" s="5"/>
      <c r="Q160" s="5"/>
      <c r="R160" s="5"/>
      <c r="S160" s="5">
        <f t="shared" si="195"/>
        <v>466785</v>
      </c>
      <c r="T160" s="11" t="s">
        <v>460</v>
      </c>
      <c r="V160" s="10">
        <f t="shared" si="198"/>
        <v>696960</v>
      </c>
      <c r="W160" s="10">
        <f t="shared" si="196"/>
        <v>0</v>
      </c>
      <c r="X160" s="10">
        <f t="shared" si="196"/>
        <v>0</v>
      </c>
      <c r="Y160" s="10">
        <f t="shared" si="196"/>
        <v>0</v>
      </c>
      <c r="Z160" s="5"/>
      <c r="AA160" s="5"/>
      <c r="AB160" s="5"/>
      <c r="AC160" s="5">
        <f t="shared" si="197"/>
        <v>696960</v>
      </c>
    </row>
    <row r="161" spans="1:29" x14ac:dyDescent="0.35">
      <c r="A161" s="26" t="s">
        <v>123</v>
      </c>
      <c r="B161" s="10">
        <f>(250*B65)+7000</f>
        <v>15250</v>
      </c>
      <c r="C161" s="10">
        <f>(245*C65)+1000</f>
        <v>2715</v>
      </c>
      <c r="D161" s="10">
        <f>(245*D65)+200</f>
        <v>690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194"/>
        <v>18655</v>
      </c>
      <c r="J161" s="11" t="s">
        <v>461</v>
      </c>
      <c r="L161" s="10">
        <f>(250*L65)+7000</f>
        <v>20875</v>
      </c>
      <c r="M161" s="10">
        <f>(250*M65)+1000</f>
        <v>2875</v>
      </c>
      <c r="N161" s="10">
        <f>(250*N65)+200</f>
        <v>1200</v>
      </c>
      <c r="O161" s="10"/>
      <c r="P161" s="10">
        <f>(240*P65)</f>
        <v>0</v>
      </c>
      <c r="Q161" s="10">
        <f>(240*Q65)</f>
        <v>0</v>
      </c>
      <c r="R161" s="10">
        <f>(240*R65)</f>
        <v>0</v>
      </c>
      <c r="S161" s="5">
        <f t="shared" si="195"/>
        <v>24950</v>
      </c>
      <c r="T161" s="11" t="s">
        <v>461</v>
      </c>
      <c r="V161" s="10">
        <f t="shared" si="198"/>
        <v>36125</v>
      </c>
      <c r="W161" s="10">
        <f t="shared" si="196"/>
        <v>5590</v>
      </c>
      <c r="X161" s="10">
        <f t="shared" si="196"/>
        <v>1890</v>
      </c>
      <c r="Y161" s="10">
        <f t="shared" si="196"/>
        <v>0</v>
      </c>
      <c r="Z161" s="10">
        <f>(240*Z65)</f>
        <v>0</v>
      </c>
      <c r="AA161" s="10">
        <f>(240*AA65)</f>
        <v>0</v>
      </c>
      <c r="AB161" s="10">
        <f>(240*AB65)</f>
        <v>0</v>
      </c>
      <c r="AC161" s="5">
        <f t="shared" si="197"/>
        <v>43605</v>
      </c>
    </row>
    <row r="162" spans="1:29" x14ac:dyDescent="0.35">
      <c r="A162" s="26" t="s">
        <v>124</v>
      </c>
      <c r="B162" s="10">
        <v>30000</v>
      </c>
      <c r="C162" s="5"/>
      <c r="D162" s="5"/>
      <c r="E162" s="5"/>
      <c r="F162" s="5"/>
      <c r="G162" s="5"/>
      <c r="H162" s="5"/>
      <c r="I162" s="5">
        <f t="shared" si="194"/>
        <v>30000</v>
      </c>
      <c r="J162" s="11"/>
      <c r="L162" s="10">
        <v>40000</v>
      </c>
      <c r="M162" s="5"/>
      <c r="N162" s="5"/>
      <c r="O162" s="5"/>
      <c r="P162" s="5"/>
      <c r="Q162" s="5"/>
      <c r="R162" s="5"/>
      <c r="S162" s="5">
        <f t="shared" si="195"/>
        <v>40000</v>
      </c>
      <c r="T162" s="11"/>
      <c r="V162" s="10">
        <f t="shared" si="198"/>
        <v>70000</v>
      </c>
      <c r="W162" s="10">
        <f t="shared" si="196"/>
        <v>0</v>
      </c>
      <c r="X162" s="10">
        <f t="shared" si="196"/>
        <v>0</v>
      </c>
      <c r="Y162" s="10">
        <f t="shared" si="196"/>
        <v>0</v>
      </c>
      <c r="Z162" s="5"/>
      <c r="AA162" s="5"/>
      <c r="AB162" s="5"/>
      <c r="AC162" s="5">
        <f t="shared" si="197"/>
        <v>70000</v>
      </c>
    </row>
    <row r="163" spans="1:29" x14ac:dyDescent="0.35">
      <c r="A163" s="26" t="s">
        <v>125</v>
      </c>
      <c r="B163" s="10">
        <v>6500</v>
      </c>
      <c r="C163" s="5"/>
      <c r="D163" s="5"/>
      <c r="E163" s="5"/>
      <c r="F163" s="5"/>
      <c r="G163" s="5"/>
      <c r="H163" s="5"/>
      <c r="I163" s="5">
        <f t="shared" si="194"/>
        <v>6500</v>
      </c>
      <c r="J163" s="11"/>
      <c r="L163" s="10">
        <v>6500</v>
      </c>
      <c r="M163" s="5"/>
      <c r="N163" s="5"/>
      <c r="O163" s="5"/>
      <c r="P163" s="5"/>
      <c r="Q163" s="5"/>
      <c r="R163" s="5"/>
      <c r="S163" s="5">
        <f t="shared" si="195"/>
        <v>6500</v>
      </c>
      <c r="T163" s="11"/>
      <c r="V163" s="10">
        <f t="shared" si="198"/>
        <v>13000</v>
      </c>
      <c r="W163" s="10">
        <f t="shared" si="196"/>
        <v>0</v>
      </c>
      <c r="X163" s="10">
        <f t="shared" si="196"/>
        <v>0</v>
      </c>
      <c r="Y163" s="10">
        <f t="shared" si="196"/>
        <v>0</v>
      </c>
      <c r="Z163" s="5"/>
      <c r="AA163" s="5"/>
      <c r="AB163" s="5"/>
      <c r="AC163" s="5">
        <f t="shared" si="197"/>
        <v>13000</v>
      </c>
    </row>
    <row r="164" spans="1:29" x14ac:dyDescent="0.35">
      <c r="A164" s="26" t="s">
        <v>126</v>
      </c>
      <c r="B164" s="10">
        <f>50*B17+(60*12)</f>
        <v>23970</v>
      </c>
      <c r="C164" s="5"/>
      <c r="D164" s="5"/>
      <c r="E164" s="5"/>
      <c r="F164" s="5"/>
      <c r="G164" s="5"/>
      <c r="H164" s="5"/>
      <c r="I164" s="5">
        <f t="shared" si="194"/>
        <v>23970</v>
      </c>
      <c r="J164" s="11" t="s">
        <v>462</v>
      </c>
      <c r="L164" s="10">
        <f>50*L17+(60*12)</f>
        <v>47870</v>
      </c>
      <c r="M164" s="5"/>
      <c r="N164" s="5"/>
      <c r="O164" s="5"/>
      <c r="P164" s="5"/>
      <c r="Q164" s="5"/>
      <c r="R164" s="5"/>
      <c r="S164" s="5">
        <f t="shared" si="195"/>
        <v>47870</v>
      </c>
      <c r="T164" s="11" t="s">
        <v>462</v>
      </c>
      <c r="V164" s="10">
        <f t="shared" si="198"/>
        <v>71840</v>
      </c>
      <c r="W164" s="10">
        <f t="shared" si="196"/>
        <v>0</v>
      </c>
      <c r="X164" s="10">
        <f t="shared" si="196"/>
        <v>0</v>
      </c>
      <c r="Y164" s="10">
        <f t="shared" si="196"/>
        <v>0</v>
      </c>
      <c r="Z164" s="5"/>
      <c r="AA164" s="5"/>
      <c r="AB164" s="5"/>
      <c r="AC164" s="5">
        <f t="shared" si="197"/>
        <v>71840</v>
      </c>
    </row>
    <row r="165" spans="1:29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194"/>
        <v>18000</v>
      </c>
      <c r="J165" s="11"/>
      <c r="L165" s="10">
        <v>27500</v>
      </c>
      <c r="M165" s="5"/>
      <c r="N165" s="5"/>
      <c r="O165" s="5"/>
      <c r="P165" s="5"/>
      <c r="Q165" s="5"/>
      <c r="R165" s="5"/>
      <c r="S165" s="5">
        <f t="shared" si="195"/>
        <v>27500</v>
      </c>
      <c r="T165" s="11"/>
      <c r="V165" s="10">
        <f t="shared" si="198"/>
        <v>45500</v>
      </c>
      <c r="W165" s="10">
        <f t="shared" si="196"/>
        <v>0</v>
      </c>
      <c r="X165" s="10">
        <f t="shared" si="196"/>
        <v>0</v>
      </c>
      <c r="Y165" s="10">
        <f t="shared" si="196"/>
        <v>0</v>
      </c>
      <c r="Z165" s="5"/>
      <c r="AA165" s="5"/>
      <c r="AB165" s="5"/>
      <c r="AC165" s="5">
        <f t="shared" si="197"/>
        <v>45500</v>
      </c>
    </row>
    <row r="166" spans="1:29" x14ac:dyDescent="0.35">
      <c r="A166" s="26" t="s">
        <v>128</v>
      </c>
      <c r="B166" s="10">
        <f>B74*0.0125</f>
        <v>56352.1875</v>
      </c>
      <c r="C166" s="5"/>
      <c r="D166" s="5"/>
      <c r="E166" s="5"/>
      <c r="F166" s="5"/>
      <c r="G166" s="5"/>
      <c r="H166" s="5"/>
      <c r="I166" s="5">
        <f t="shared" si="194"/>
        <v>56352.1875</v>
      </c>
      <c r="J166" s="70">
        <v>1.2500000000000001E-2</v>
      </c>
      <c r="L166" s="10">
        <f>L74*0.0125</f>
        <v>114279.8125</v>
      </c>
      <c r="M166" s="5"/>
      <c r="N166" s="5"/>
      <c r="O166" s="5"/>
      <c r="P166" s="5"/>
      <c r="Q166" s="5"/>
      <c r="R166" s="5"/>
      <c r="S166" s="5">
        <f t="shared" si="195"/>
        <v>114279.8125</v>
      </c>
      <c r="T166" s="70">
        <v>1.2500000000000001E-2</v>
      </c>
      <c r="V166" s="10">
        <f t="shared" si="198"/>
        <v>170632</v>
      </c>
      <c r="W166" s="10">
        <f t="shared" si="196"/>
        <v>0</v>
      </c>
      <c r="X166" s="10">
        <f t="shared" si="196"/>
        <v>0</v>
      </c>
      <c r="Y166" s="10">
        <f t="shared" si="196"/>
        <v>0</v>
      </c>
      <c r="Z166" s="5"/>
      <c r="AA166" s="5"/>
      <c r="AB166" s="5"/>
      <c r="AC166" s="5">
        <f t="shared" si="197"/>
        <v>170632</v>
      </c>
    </row>
    <row r="167" spans="1:29" x14ac:dyDescent="0.35">
      <c r="A167" s="26" t="s">
        <v>129</v>
      </c>
      <c r="B167" s="10">
        <f>B74*0.005</f>
        <v>22540.875</v>
      </c>
      <c r="C167" s="5"/>
      <c r="D167" s="5"/>
      <c r="E167" s="5"/>
      <c r="F167" s="5"/>
      <c r="G167" s="5"/>
      <c r="H167" s="5"/>
      <c r="I167" s="5">
        <f t="shared" si="194"/>
        <v>22540.875</v>
      </c>
      <c r="J167" s="70" t="s">
        <v>130</v>
      </c>
      <c r="L167" s="10">
        <f>L74*0.005</f>
        <v>45711.925000000003</v>
      </c>
      <c r="M167" s="5"/>
      <c r="N167" s="5"/>
      <c r="O167" s="5"/>
      <c r="P167" s="5"/>
      <c r="Q167" s="5"/>
      <c r="R167" s="5"/>
      <c r="S167" s="5">
        <f t="shared" si="195"/>
        <v>45711.925000000003</v>
      </c>
      <c r="T167" s="70" t="s">
        <v>130</v>
      </c>
      <c r="V167" s="10">
        <f t="shared" si="198"/>
        <v>68252.800000000003</v>
      </c>
      <c r="W167" s="10">
        <f t="shared" si="196"/>
        <v>0</v>
      </c>
      <c r="X167" s="10">
        <f t="shared" si="196"/>
        <v>0</v>
      </c>
      <c r="Y167" s="10">
        <f t="shared" si="196"/>
        <v>0</v>
      </c>
      <c r="Z167" s="5"/>
      <c r="AA167" s="5"/>
      <c r="AB167" s="5"/>
      <c r="AC167" s="5">
        <f t="shared" si="197"/>
        <v>68252.800000000003</v>
      </c>
    </row>
    <row r="168" spans="1:29" x14ac:dyDescent="0.35">
      <c r="A168" s="26" t="s">
        <v>131</v>
      </c>
      <c r="B168" s="10">
        <f>B74*0.005</f>
        <v>22540.875</v>
      </c>
      <c r="C168" s="5"/>
      <c r="D168" s="5"/>
      <c r="E168" s="5"/>
      <c r="F168" s="5"/>
      <c r="G168" s="5"/>
      <c r="H168" s="5"/>
      <c r="I168" s="5">
        <f t="shared" si="194"/>
        <v>22540.875</v>
      </c>
      <c r="J168" s="70" t="s">
        <v>130</v>
      </c>
      <c r="L168" s="10">
        <f>L74*0.005</f>
        <v>45711.925000000003</v>
      </c>
      <c r="M168" s="5"/>
      <c r="N168" s="5"/>
      <c r="O168" s="5"/>
      <c r="P168" s="5"/>
      <c r="Q168" s="5"/>
      <c r="R168" s="5"/>
      <c r="S168" s="5">
        <f t="shared" si="195"/>
        <v>45711.925000000003</v>
      </c>
      <c r="T168" s="70" t="s">
        <v>130</v>
      </c>
      <c r="V168" s="10">
        <f t="shared" si="198"/>
        <v>68252.800000000003</v>
      </c>
      <c r="W168" s="10">
        <f t="shared" si="196"/>
        <v>0</v>
      </c>
      <c r="X168" s="10">
        <f t="shared" si="196"/>
        <v>0</v>
      </c>
      <c r="Y168" s="10">
        <f t="shared" si="196"/>
        <v>0</v>
      </c>
      <c r="Z168" s="5"/>
      <c r="AA168" s="5"/>
      <c r="AB168" s="5"/>
      <c r="AC168" s="5">
        <f t="shared" si="197"/>
        <v>68252.800000000003</v>
      </c>
    </row>
    <row r="169" spans="1:29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194"/>
        <v>0</v>
      </c>
      <c r="J169" s="70"/>
      <c r="L169" s="10">
        <v>0</v>
      </c>
      <c r="M169" s="5"/>
      <c r="N169" s="5"/>
      <c r="O169" s="5"/>
      <c r="P169" s="5"/>
      <c r="Q169" s="5"/>
      <c r="R169" s="5"/>
      <c r="S169" s="5">
        <f t="shared" si="195"/>
        <v>0</v>
      </c>
      <c r="T169" s="70"/>
      <c r="V169" s="10">
        <f t="shared" si="198"/>
        <v>0</v>
      </c>
      <c r="W169" s="10">
        <f t="shared" si="196"/>
        <v>0</v>
      </c>
      <c r="X169" s="10">
        <f t="shared" si="196"/>
        <v>0</v>
      </c>
      <c r="Y169" s="10">
        <f t="shared" si="196"/>
        <v>0</v>
      </c>
      <c r="Z169" s="5"/>
      <c r="AA169" s="5"/>
      <c r="AB169" s="5"/>
      <c r="AC169" s="5">
        <f t="shared" si="197"/>
        <v>0</v>
      </c>
    </row>
    <row r="170" spans="1:29" x14ac:dyDescent="0.35">
      <c r="A170" s="62" t="s">
        <v>133</v>
      </c>
      <c r="B170" s="63">
        <f>SUM(B156:B169)</f>
        <v>442209.97830000002</v>
      </c>
      <c r="C170" s="63">
        <f t="shared" ref="C170:H170" si="199">SUM(C156:C169)</f>
        <v>58515</v>
      </c>
      <c r="D170" s="63">
        <f t="shared" si="199"/>
        <v>690</v>
      </c>
      <c r="E170" s="63">
        <f t="shared" si="199"/>
        <v>0</v>
      </c>
      <c r="F170" s="63">
        <f t="shared" si="199"/>
        <v>0</v>
      </c>
      <c r="G170" s="63">
        <f t="shared" si="199"/>
        <v>0</v>
      </c>
      <c r="H170" s="63">
        <f t="shared" si="199"/>
        <v>0</v>
      </c>
      <c r="I170" s="63">
        <f>SUM(I156:I169)</f>
        <v>501414.97830000002</v>
      </c>
      <c r="J170" s="7"/>
      <c r="L170" s="63">
        <f>SUM(L156:L169)</f>
        <v>839308.62376400013</v>
      </c>
      <c r="M170" s="63">
        <f t="shared" ref="M170:R170" si="200">SUM(M156:M169)</f>
        <v>309350</v>
      </c>
      <c r="N170" s="63">
        <f t="shared" si="200"/>
        <v>1200</v>
      </c>
      <c r="O170" s="63">
        <f t="shared" si="200"/>
        <v>0</v>
      </c>
      <c r="P170" s="63">
        <f t="shared" si="200"/>
        <v>0</v>
      </c>
      <c r="Q170" s="63">
        <f t="shared" si="200"/>
        <v>0</v>
      </c>
      <c r="R170" s="63">
        <f t="shared" si="200"/>
        <v>0</v>
      </c>
      <c r="S170" s="63">
        <f>SUM(S156:S169)</f>
        <v>1149858.6237640001</v>
      </c>
      <c r="T170" s="7"/>
      <c r="V170" s="63">
        <f>SUM(V156:V169)</f>
        <v>1281518.602064</v>
      </c>
      <c r="W170" s="63">
        <f t="shared" ref="W170:AB170" si="201">SUM(W156:W169)</f>
        <v>367865</v>
      </c>
      <c r="X170" s="63">
        <f t="shared" si="201"/>
        <v>1890</v>
      </c>
      <c r="Y170" s="63">
        <f t="shared" si="201"/>
        <v>0</v>
      </c>
      <c r="Z170" s="63">
        <f t="shared" si="201"/>
        <v>0</v>
      </c>
      <c r="AA170" s="63">
        <f t="shared" si="201"/>
        <v>0</v>
      </c>
      <c r="AB170" s="63">
        <f t="shared" si="201"/>
        <v>0</v>
      </c>
      <c r="AC170" s="63">
        <f>SUM(AC156:AC169)</f>
        <v>1651273.602064</v>
      </c>
    </row>
    <row r="171" spans="1:29" x14ac:dyDescent="0.35">
      <c r="A171" s="66" t="s">
        <v>134</v>
      </c>
      <c r="B171" s="15" t="str">
        <f t="shared" ref="B171:I171" si="202">B1</f>
        <v>Operating</v>
      </c>
      <c r="C171" s="15" t="str">
        <f t="shared" si="202"/>
        <v>SPED</v>
      </c>
      <c r="D171" s="15" t="str">
        <f t="shared" si="202"/>
        <v>NSLP</v>
      </c>
      <c r="E171" s="15" t="str">
        <f t="shared" si="202"/>
        <v>Other</v>
      </c>
      <c r="F171" s="15" t="str">
        <f t="shared" si="202"/>
        <v>Title I</v>
      </c>
      <c r="G171" s="15" t="str">
        <f t="shared" si="202"/>
        <v>Title II</v>
      </c>
      <c r="H171" s="15" t="str">
        <f t="shared" si="202"/>
        <v>Title III</v>
      </c>
      <c r="I171" s="15" t="str">
        <f t="shared" si="202"/>
        <v>B&amp;G</v>
      </c>
      <c r="J171" s="7"/>
      <c r="L171" s="15" t="str">
        <f t="shared" ref="L171:S171" si="203">L1</f>
        <v>Operating</v>
      </c>
      <c r="M171" s="15" t="str">
        <f t="shared" si="203"/>
        <v>SPED</v>
      </c>
      <c r="N171" s="15" t="str">
        <f t="shared" si="203"/>
        <v>NSLP</v>
      </c>
      <c r="O171" s="15" t="str">
        <f t="shared" si="203"/>
        <v>Other</v>
      </c>
      <c r="P171" s="15" t="str">
        <f t="shared" si="203"/>
        <v>Title I</v>
      </c>
      <c r="Q171" s="15" t="str">
        <f t="shared" si="203"/>
        <v>Title II</v>
      </c>
      <c r="R171" s="15" t="str">
        <f t="shared" si="203"/>
        <v>Title III</v>
      </c>
      <c r="S171" s="15" t="str">
        <f t="shared" si="203"/>
        <v>New</v>
      </c>
      <c r="T171" s="7"/>
      <c r="V171" s="15" t="str">
        <f t="shared" ref="V171:AC171" si="204">V1</f>
        <v>Operating</v>
      </c>
      <c r="W171" s="15" t="str">
        <f t="shared" si="204"/>
        <v>SPED</v>
      </c>
      <c r="X171" s="15" t="str">
        <f t="shared" si="204"/>
        <v>NSLP</v>
      </c>
      <c r="Y171" s="15" t="str">
        <f t="shared" si="204"/>
        <v>Other</v>
      </c>
      <c r="Z171" s="15" t="str">
        <f t="shared" si="204"/>
        <v>Title I</v>
      </c>
      <c r="AA171" s="15" t="str">
        <f t="shared" si="204"/>
        <v>Title II</v>
      </c>
      <c r="AB171" s="15" t="str">
        <f t="shared" si="204"/>
        <v>Title III</v>
      </c>
      <c r="AC171" s="15" t="str">
        <f t="shared" si="204"/>
        <v>MANN</v>
      </c>
    </row>
    <row r="172" spans="1:29" x14ac:dyDescent="0.35">
      <c r="A172" s="71" t="s">
        <v>135</v>
      </c>
      <c r="B172" s="72">
        <f>(200*12)*1.03*1.02</f>
        <v>2521.44</v>
      </c>
      <c r="C172" s="5"/>
      <c r="D172" s="5"/>
      <c r="E172" s="5"/>
      <c r="F172" s="5"/>
      <c r="G172" s="5"/>
      <c r="H172" s="5"/>
      <c r="I172" s="5">
        <f t="shared" ref="I172:I178" si="205">SUM(B172:H172)</f>
        <v>2521.44</v>
      </c>
      <c r="J172" s="11" t="s">
        <v>286</v>
      </c>
      <c r="L172" s="72">
        <f>(700*12)*1.03*1.03*1.03</f>
        <v>9178.9067999999988</v>
      </c>
      <c r="M172" s="5"/>
      <c r="N172" s="5"/>
      <c r="O172" s="5"/>
      <c r="P172" s="5"/>
      <c r="Q172" s="5"/>
      <c r="R172" s="5"/>
      <c r="S172" s="5">
        <f t="shared" ref="S172:S178" si="206">SUM(L172:R172)</f>
        <v>9178.9067999999988</v>
      </c>
      <c r="T172" s="11"/>
      <c r="V172" s="72">
        <f>B172+L172</f>
        <v>11700.346799999999</v>
      </c>
      <c r="W172" s="72">
        <f t="shared" ref="W172:Y187" si="207">C172+M172</f>
        <v>0</v>
      </c>
      <c r="X172" s="72">
        <f t="shared" si="207"/>
        <v>0</v>
      </c>
      <c r="Y172" s="72">
        <f t="shared" si="207"/>
        <v>0</v>
      </c>
      <c r="Z172" s="5"/>
      <c r="AA172" s="5"/>
      <c r="AB172" s="5"/>
      <c r="AC172" s="5">
        <f t="shared" ref="AC172:AC178" si="208">SUM(V172:AB172)</f>
        <v>11700.346799999999</v>
      </c>
    </row>
    <row r="173" spans="1:29" x14ac:dyDescent="0.35">
      <c r="A173" s="26" t="s">
        <v>136</v>
      </c>
      <c r="B173" s="72">
        <f>(1400*12)*1.03*1.02</f>
        <v>17650.080000000002</v>
      </c>
      <c r="C173" s="5"/>
      <c r="D173" s="5"/>
      <c r="E173" s="5"/>
      <c r="F173" s="5"/>
      <c r="G173" s="5"/>
      <c r="H173" s="5"/>
      <c r="I173" s="5">
        <f t="shared" si="205"/>
        <v>17650.080000000002</v>
      </c>
      <c r="J173" s="11" t="s">
        <v>287</v>
      </c>
      <c r="L173" s="72">
        <f>(2400*12)*1.03*1.03*1.03</f>
        <v>31470.537600000003</v>
      </c>
      <c r="M173" s="5"/>
      <c r="N173" s="5"/>
      <c r="O173" s="5"/>
      <c r="P173" s="5"/>
      <c r="Q173" s="5"/>
      <c r="R173" s="5"/>
      <c r="S173" s="5">
        <f t="shared" si="206"/>
        <v>31470.537600000003</v>
      </c>
      <c r="T173" s="11"/>
      <c r="V173" s="72">
        <f t="shared" ref="V173:Y195" si="209">B173+L173</f>
        <v>49120.617600000005</v>
      </c>
      <c r="W173" s="72">
        <f t="shared" si="207"/>
        <v>0</v>
      </c>
      <c r="X173" s="72">
        <f t="shared" si="207"/>
        <v>0</v>
      </c>
      <c r="Y173" s="72">
        <f t="shared" si="207"/>
        <v>0</v>
      </c>
      <c r="Z173" s="5"/>
      <c r="AA173" s="5"/>
      <c r="AB173" s="5"/>
      <c r="AC173" s="5">
        <f t="shared" si="208"/>
        <v>49120.617600000005</v>
      </c>
    </row>
    <row r="174" spans="1:29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205"/>
        <v>0</v>
      </c>
      <c r="J174" s="11"/>
      <c r="L174" s="73"/>
      <c r="M174" s="5"/>
      <c r="N174" s="5"/>
      <c r="O174" s="5"/>
      <c r="P174" s="5"/>
      <c r="Q174" s="5"/>
      <c r="R174" s="5"/>
      <c r="S174" s="5">
        <f t="shared" si="206"/>
        <v>0</v>
      </c>
      <c r="T174" s="11"/>
      <c r="V174" s="72">
        <f t="shared" si="209"/>
        <v>0</v>
      </c>
      <c r="W174" s="72">
        <f t="shared" si="207"/>
        <v>0</v>
      </c>
      <c r="X174" s="72">
        <f t="shared" si="207"/>
        <v>0</v>
      </c>
      <c r="Y174" s="72">
        <f t="shared" si="207"/>
        <v>0</v>
      </c>
      <c r="Z174" s="5"/>
      <c r="AA174" s="5"/>
      <c r="AB174" s="5"/>
      <c r="AC174" s="5">
        <f t="shared" si="208"/>
        <v>0</v>
      </c>
    </row>
    <row r="175" spans="1:29" x14ac:dyDescent="0.35">
      <c r="A175" s="26" t="s">
        <v>138</v>
      </c>
      <c r="B175" s="73">
        <v>1300</v>
      </c>
      <c r="C175" s="5"/>
      <c r="D175" s="5"/>
      <c r="E175" s="5"/>
      <c r="F175" s="5"/>
      <c r="G175" s="5"/>
      <c r="H175" s="5"/>
      <c r="I175" s="5">
        <f t="shared" si="205"/>
        <v>1300</v>
      </c>
      <c r="J175" s="11"/>
      <c r="L175" s="73">
        <v>1600</v>
      </c>
      <c r="M175" s="5"/>
      <c r="N175" s="5"/>
      <c r="O175" s="5"/>
      <c r="P175" s="5"/>
      <c r="Q175" s="5"/>
      <c r="R175" s="5"/>
      <c r="S175" s="5">
        <f t="shared" si="206"/>
        <v>1600</v>
      </c>
      <c r="T175" s="11"/>
      <c r="V175" s="72">
        <f t="shared" si="209"/>
        <v>2900</v>
      </c>
      <c r="W175" s="72">
        <f t="shared" si="207"/>
        <v>0</v>
      </c>
      <c r="X175" s="72">
        <f t="shared" si="207"/>
        <v>0</v>
      </c>
      <c r="Y175" s="72">
        <f t="shared" si="207"/>
        <v>0</v>
      </c>
      <c r="Z175" s="5"/>
      <c r="AA175" s="5"/>
      <c r="AB175" s="5"/>
      <c r="AC175" s="5">
        <f t="shared" si="208"/>
        <v>2900</v>
      </c>
    </row>
    <row r="176" spans="1:29" x14ac:dyDescent="0.35">
      <c r="A176" s="26" t="s">
        <v>139</v>
      </c>
      <c r="B176" s="73">
        <f>5500*1.03*1.03</f>
        <v>5834.95</v>
      </c>
      <c r="C176" s="5"/>
      <c r="D176" s="5"/>
      <c r="E176" s="5"/>
      <c r="F176" s="5"/>
      <c r="G176" s="5"/>
      <c r="H176" s="5"/>
      <c r="I176" s="5">
        <f t="shared" si="205"/>
        <v>5834.95</v>
      </c>
      <c r="J176" s="11"/>
      <c r="L176" s="73">
        <f>5500*1.03*1.03*1.03</f>
        <v>6009.9984999999997</v>
      </c>
      <c r="M176" s="5"/>
      <c r="N176" s="5"/>
      <c r="O176" s="5"/>
      <c r="P176" s="5"/>
      <c r="Q176" s="5"/>
      <c r="R176" s="5"/>
      <c r="S176" s="5">
        <f t="shared" si="206"/>
        <v>6009.9984999999997</v>
      </c>
      <c r="T176" s="11"/>
      <c r="V176" s="72">
        <f t="shared" si="209"/>
        <v>11844.948499999999</v>
      </c>
      <c r="W176" s="72">
        <f t="shared" si="207"/>
        <v>0</v>
      </c>
      <c r="X176" s="72">
        <f t="shared" si="207"/>
        <v>0</v>
      </c>
      <c r="Y176" s="72">
        <f t="shared" si="207"/>
        <v>0</v>
      </c>
      <c r="Z176" s="5"/>
      <c r="AA176" s="5"/>
      <c r="AB176" s="5"/>
      <c r="AC176" s="5">
        <f t="shared" si="208"/>
        <v>11844.948499999999</v>
      </c>
    </row>
    <row r="177" spans="1:29" x14ac:dyDescent="0.35">
      <c r="A177" s="26" t="s">
        <v>140</v>
      </c>
      <c r="B177" s="72">
        <f>30000*1.03*1.03</f>
        <v>31827</v>
      </c>
      <c r="C177" s="5"/>
      <c r="D177" s="5"/>
      <c r="E177" s="5"/>
      <c r="F177" s="5"/>
      <c r="G177" s="5"/>
      <c r="H177" s="5"/>
      <c r="I177" s="5">
        <f t="shared" si="205"/>
        <v>31827</v>
      </c>
      <c r="J177" s="11"/>
      <c r="L177" s="72">
        <v>60000</v>
      </c>
      <c r="M177" s="5"/>
      <c r="N177" s="5"/>
      <c r="O177" s="5"/>
      <c r="P177" s="5"/>
      <c r="Q177" s="5"/>
      <c r="R177" s="5"/>
      <c r="S177" s="5">
        <f t="shared" si="206"/>
        <v>60000</v>
      </c>
      <c r="T177" s="11"/>
      <c r="V177" s="72">
        <f t="shared" si="209"/>
        <v>91827</v>
      </c>
      <c r="W177" s="72">
        <f t="shared" si="207"/>
        <v>0</v>
      </c>
      <c r="X177" s="72">
        <f t="shared" si="207"/>
        <v>0</v>
      </c>
      <c r="Y177" s="72">
        <f t="shared" si="207"/>
        <v>0</v>
      </c>
      <c r="Z177" s="5"/>
      <c r="AA177" s="5"/>
      <c r="AB177" s="5"/>
      <c r="AC177" s="5">
        <f t="shared" si="208"/>
        <v>91827</v>
      </c>
    </row>
    <row r="178" spans="1:29" x14ac:dyDescent="0.35">
      <c r="A178" s="26" t="s">
        <v>141</v>
      </c>
      <c r="B178" s="30">
        <f>((2.5*B17)+4250)*1.02*1.03</f>
        <v>5686.3725000000004</v>
      </c>
      <c r="C178" s="5"/>
      <c r="D178" s="5"/>
      <c r="E178" s="5"/>
      <c r="F178" s="5"/>
      <c r="G178" s="5"/>
      <c r="H178" s="5"/>
      <c r="I178" s="5">
        <f t="shared" si="205"/>
        <v>5686.3725000000004</v>
      </c>
      <c r="J178" s="11"/>
      <c r="L178" s="30">
        <f>((2.5*L17)+4250)*1.02*1.03</f>
        <v>6941.839500000001</v>
      </c>
      <c r="M178" s="5"/>
      <c r="N178" s="5"/>
      <c r="O178" s="5"/>
      <c r="P178" s="5"/>
      <c r="Q178" s="5"/>
      <c r="R178" s="5"/>
      <c r="S178" s="5">
        <f t="shared" si="206"/>
        <v>6941.839500000001</v>
      </c>
      <c r="T178" s="11"/>
      <c r="V178" s="72">
        <f t="shared" si="209"/>
        <v>12628.212000000001</v>
      </c>
      <c r="W178" s="72">
        <f t="shared" si="207"/>
        <v>0</v>
      </c>
      <c r="X178" s="72">
        <f t="shared" si="207"/>
        <v>0</v>
      </c>
      <c r="Y178" s="72">
        <f t="shared" si="207"/>
        <v>0</v>
      </c>
      <c r="Z178" s="5"/>
      <c r="AA178" s="5"/>
      <c r="AB178" s="5"/>
      <c r="AC178" s="5">
        <f t="shared" si="208"/>
        <v>12628.212000000001</v>
      </c>
    </row>
    <row r="179" spans="1:29" x14ac:dyDescent="0.35">
      <c r="A179" s="26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 t="s">
        <v>143</v>
      </c>
      <c r="L179" s="72">
        <f>2750*12</f>
        <v>33000</v>
      </c>
      <c r="M179" s="5"/>
      <c r="N179" s="5"/>
      <c r="O179" s="5"/>
      <c r="P179" s="5"/>
      <c r="Q179" s="5"/>
      <c r="R179" s="5"/>
      <c r="S179" s="5">
        <f>SUM(L179:R179)</f>
        <v>33000</v>
      </c>
      <c r="T179" s="11"/>
      <c r="V179" s="72">
        <f t="shared" si="209"/>
        <v>33000</v>
      </c>
      <c r="W179" s="72">
        <f t="shared" si="207"/>
        <v>0</v>
      </c>
      <c r="X179" s="72">
        <f t="shared" si="207"/>
        <v>0</v>
      </c>
      <c r="Y179" s="72">
        <f t="shared" si="207"/>
        <v>0</v>
      </c>
      <c r="Z179" s="5"/>
      <c r="AA179" s="5"/>
      <c r="AB179" s="5"/>
      <c r="AC179" s="5">
        <f>SUM(V179:AB179)</f>
        <v>33000</v>
      </c>
    </row>
    <row r="180" spans="1:29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  <c r="L180" s="72">
        <v>0</v>
      </c>
      <c r="M180" s="5"/>
      <c r="N180" s="5"/>
      <c r="O180" s="5"/>
      <c r="P180" s="5"/>
      <c r="Q180" s="5"/>
      <c r="R180" s="5"/>
      <c r="S180" s="5">
        <f>SUM(L180:R180)</f>
        <v>0</v>
      </c>
      <c r="T180" s="11"/>
      <c r="V180" s="72">
        <f t="shared" si="209"/>
        <v>0</v>
      </c>
      <c r="W180" s="72">
        <f t="shared" si="207"/>
        <v>0</v>
      </c>
      <c r="X180" s="72">
        <f t="shared" si="207"/>
        <v>0</v>
      </c>
      <c r="Y180" s="72">
        <f t="shared" si="207"/>
        <v>0</v>
      </c>
      <c r="Z180" s="5"/>
      <c r="AA180" s="5"/>
      <c r="AB180" s="5"/>
      <c r="AC180" s="5">
        <f>SUM(V180:AB180)</f>
        <v>0</v>
      </c>
    </row>
    <row r="181" spans="1:29" x14ac:dyDescent="0.35">
      <c r="A181" s="26" t="s">
        <v>145</v>
      </c>
      <c r="B181" s="73">
        <f>26750*1.1*1.1*1.1</f>
        <v>35604.250000000007</v>
      </c>
      <c r="C181" s="5"/>
      <c r="D181" s="5"/>
      <c r="E181" s="5"/>
      <c r="F181" s="5"/>
      <c r="G181" s="5"/>
      <c r="H181" s="5"/>
      <c r="I181" s="5">
        <f>SUM(B181:H181)</f>
        <v>35604.250000000007</v>
      </c>
      <c r="J181" s="11"/>
      <c r="L181" s="72">
        <v>44000</v>
      </c>
      <c r="M181" s="5"/>
      <c r="N181" s="5"/>
      <c r="O181" s="5"/>
      <c r="P181" s="5"/>
      <c r="Q181" s="5"/>
      <c r="R181" s="5"/>
      <c r="S181" s="5">
        <f>SUM(L181:R181)</f>
        <v>44000</v>
      </c>
      <c r="T181" s="11"/>
      <c r="V181" s="72">
        <f t="shared" si="209"/>
        <v>79604.25</v>
      </c>
      <c r="W181" s="72">
        <f t="shared" si="207"/>
        <v>0</v>
      </c>
      <c r="X181" s="72">
        <f t="shared" si="207"/>
        <v>0</v>
      </c>
      <c r="Y181" s="72">
        <f t="shared" si="207"/>
        <v>0</v>
      </c>
      <c r="Z181" s="5"/>
      <c r="AA181" s="5"/>
      <c r="AB181" s="5"/>
      <c r="AC181" s="5">
        <f>SUM(V181:AB181)</f>
        <v>79604.25</v>
      </c>
    </row>
    <row r="182" spans="1:29" x14ac:dyDescent="0.35">
      <c r="A182" s="26" t="s">
        <v>146</v>
      </c>
      <c r="B182" s="5"/>
      <c r="C182" s="5"/>
      <c r="D182" s="5">
        <f>((B17*0.95)*2.25*180)</f>
        <v>178908.75</v>
      </c>
      <c r="E182" s="5"/>
      <c r="F182" s="5"/>
      <c r="G182" s="5"/>
      <c r="H182" s="5"/>
      <c r="I182" s="5">
        <f t="shared" ref="I182:I190" si="210">SUM(B182:H182)</f>
        <v>178908.75</v>
      </c>
      <c r="J182" s="52">
        <v>2.25</v>
      </c>
      <c r="L182" s="5"/>
      <c r="M182" s="5"/>
      <c r="N182" s="5">
        <f>((L17*0.95)*2.25*180)</f>
        <v>362819.25</v>
      </c>
      <c r="O182" s="5"/>
      <c r="P182" s="5"/>
      <c r="Q182" s="5"/>
      <c r="R182" s="5"/>
      <c r="S182" s="5">
        <f t="shared" ref="S182:S190" si="211">SUM(L182:R182)</f>
        <v>362819.25</v>
      </c>
      <c r="T182" s="52">
        <v>2.25</v>
      </c>
      <c r="V182" s="72">
        <f t="shared" si="209"/>
        <v>0</v>
      </c>
      <c r="W182" s="72">
        <f t="shared" si="207"/>
        <v>0</v>
      </c>
      <c r="X182" s="72">
        <f t="shared" si="207"/>
        <v>541728</v>
      </c>
      <c r="Y182" s="72">
        <f t="shared" si="207"/>
        <v>0</v>
      </c>
      <c r="Z182" s="5"/>
      <c r="AA182" s="5"/>
      <c r="AB182" s="5"/>
      <c r="AC182" s="5">
        <f t="shared" ref="AC182:AC190" si="212">SUM(V182:AB182)</f>
        <v>541728</v>
      </c>
    </row>
    <row r="183" spans="1:29" x14ac:dyDescent="0.35">
      <c r="A183" s="26" t="s">
        <v>147</v>
      </c>
      <c r="B183" s="5"/>
      <c r="C183" s="5"/>
      <c r="D183" s="5">
        <f>((B17*0.95)*3.45*180)</f>
        <v>274326.75</v>
      </c>
      <c r="E183" s="5"/>
      <c r="F183" s="5"/>
      <c r="G183" s="5"/>
      <c r="H183" s="5"/>
      <c r="I183" s="5">
        <f t="shared" si="210"/>
        <v>274326.75</v>
      </c>
      <c r="J183" s="52">
        <v>3.45</v>
      </c>
      <c r="L183" s="5"/>
      <c r="M183" s="5"/>
      <c r="N183" s="5">
        <f>((L17*0.95)*3.45*180)</f>
        <v>556322.85</v>
      </c>
      <c r="O183" s="5"/>
      <c r="P183" s="5"/>
      <c r="Q183" s="5"/>
      <c r="R183" s="5"/>
      <c r="S183" s="5">
        <f t="shared" si="211"/>
        <v>556322.85</v>
      </c>
      <c r="T183" s="52">
        <v>3.45</v>
      </c>
      <c r="V183" s="72">
        <f t="shared" si="209"/>
        <v>0</v>
      </c>
      <c r="W183" s="72">
        <f t="shared" si="207"/>
        <v>0</v>
      </c>
      <c r="X183" s="72">
        <f t="shared" si="207"/>
        <v>830649.6</v>
      </c>
      <c r="Y183" s="72">
        <f t="shared" si="207"/>
        <v>0</v>
      </c>
      <c r="Z183" s="5"/>
      <c r="AA183" s="5"/>
      <c r="AB183" s="5"/>
      <c r="AC183" s="5">
        <f t="shared" si="212"/>
        <v>830649.6</v>
      </c>
    </row>
    <row r="184" spans="1:29" x14ac:dyDescent="0.35">
      <c r="A184" s="26" t="s">
        <v>148</v>
      </c>
      <c r="B184" s="5">
        <v>6100</v>
      </c>
      <c r="C184" s="5"/>
      <c r="D184" s="5"/>
      <c r="E184" s="5"/>
      <c r="F184" s="5"/>
      <c r="G184" s="5"/>
      <c r="H184" s="5"/>
      <c r="I184" s="5">
        <f t="shared" si="210"/>
        <v>6100</v>
      </c>
      <c r="J184" s="11"/>
      <c r="L184" s="5">
        <v>9000</v>
      </c>
      <c r="M184" s="5"/>
      <c r="N184" s="5"/>
      <c r="O184" s="5"/>
      <c r="P184" s="5"/>
      <c r="Q184" s="5"/>
      <c r="R184" s="5"/>
      <c r="S184" s="5">
        <f t="shared" si="211"/>
        <v>9000</v>
      </c>
      <c r="T184" s="11"/>
      <c r="V184" s="72">
        <f t="shared" si="209"/>
        <v>15100</v>
      </c>
      <c r="W184" s="72">
        <f t="shared" si="207"/>
        <v>0</v>
      </c>
      <c r="X184" s="72">
        <f t="shared" si="207"/>
        <v>0</v>
      </c>
      <c r="Y184" s="72">
        <f t="shared" si="207"/>
        <v>0</v>
      </c>
      <c r="Z184" s="5"/>
      <c r="AA184" s="5"/>
      <c r="AB184" s="5"/>
      <c r="AC184" s="5">
        <f t="shared" si="212"/>
        <v>15100</v>
      </c>
    </row>
    <row r="185" spans="1:29" x14ac:dyDescent="0.35">
      <c r="A185" s="26" t="s">
        <v>149</v>
      </c>
      <c r="B185" s="5">
        <v>1700</v>
      </c>
      <c r="C185" s="5"/>
      <c r="D185" s="5"/>
      <c r="E185" s="5"/>
      <c r="F185" s="5"/>
      <c r="G185" s="5"/>
      <c r="H185" s="5"/>
      <c r="I185" s="5">
        <f t="shared" si="210"/>
        <v>1700</v>
      </c>
      <c r="J185" s="11"/>
      <c r="L185" s="5">
        <v>2100</v>
      </c>
      <c r="M185" s="5"/>
      <c r="N185" s="5"/>
      <c r="O185" s="5"/>
      <c r="P185" s="5"/>
      <c r="Q185" s="5"/>
      <c r="R185" s="5"/>
      <c r="S185" s="5">
        <f t="shared" si="211"/>
        <v>2100</v>
      </c>
      <c r="T185" s="11"/>
      <c r="V185" s="72">
        <f t="shared" si="209"/>
        <v>3800</v>
      </c>
      <c r="W185" s="72">
        <f t="shared" si="207"/>
        <v>0</v>
      </c>
      <c r="X185" s="72">
        <f t="shared" si="207"/>
        <v>0</v>
      </c>
      <c r="Y185" s="72">
        <f t="shared" si="207"/>
        <v>0</v>
      </c>
      <c r="Z185" s="5"/>
      <c r="AA185" s="5"/>
      <c r="AB185" s="5"/>
      <c r="AC185" s="5">
        <f t="shared" si="212"/>
        <v>3800</v>
      </c>
    </row>
    <row r="186" spans="1:29" x14ac:dyDescent="0.35">
      <c r="A186" s="26" t="s">
        <v>150</v>
      </c>
      <c r="B186" s="5">
        <v>1700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210"/>
        <v>1700</v>
      </c>
      <c r="J186" s="11"/>
      <c r="L186" s="5">
        <v>2100</v>
      </c>
      <c r="M186" s="5">
        <v>0</v>
      </c>
      <c r="N186" s="5">
        <v>0</v>
      </c>
      <c r="O186" s="5"/>
      <c r="P186" s="5">
        <v>0</v>
      </c>
      <c r="Q186" s="5">
        <v>0</v>
      </c>
      <c r="R186" s="5">
        <v>0</v>
      </c>
      <c r="S186" s="5">
        <f t="shared" si="211"/>
        <v>2100</v>
      </c>
      <c r="T186" s="11"/>
      <c r="V186" s="72">
        <f t="shared" si="209"/>
        <v>3800</v>
      </c>
      <c r="W186" s="72">
        <f t="shared" si="207"/>
        <v>0</v>
      </c>
      <c r="X186" s="72">
        <f t="shared" si="207"/>
        <v>0</v>
      </c>
      <c r="Y186" s="72">
        <f t="shared" si="207"/>
        <v>0</v>
      </c>
      <c r="Z186" s="5">
        <v>0</v>
      </c>
      <c r="AA186" s="5">
        <v>0</v>
      </c>
      <c r="AB186" s="5">
        <v>0</v>
      </c>
      <c r="AC186" s="5">
        <f t="shared" si="212"/>
        <v>3800</v>
      </c>
    </row>
    <row r="187" spans="1:29" x14ac:dyDescent="0.35">
      <c r="A187" s="26" t="s">
        <v>151</v>
      </c>
      <c r="B187" s="10">
        <f>((5*B17)+1200+1350+800)*1.02</f>
        <v>5788.5</v>
      </c>
      <c r="C187" s="5"/>
      <c r="D187" s="5"/>
      <c r="E187" s="5"/>
      <c r="F187" s="5"/>
      <c r="G187" s="5"/>
      <c r="H187" s="5"/>
      <c r="I187" s="5">
        <f t="shared" si="210"/>
        <v>5788.5</v>
      </c>
      <c r="J187" s="11" t="s">
        <v>288</v>
      </c>
      <c r="L187" s="10">
        <f>(5*L17)+1200+1350+2400+1500</f>
        <v>11165</v>
      </c>
      <c r="M187" s="5"/>
      <c r="N187" s="5"/>
      <c r="O187" s="5"/>
      <c r="P187" s="5"/>
      <c r="Q187" s="5"/>
      <c r="R187" s="5"/>
      <c r="S187" s="5">
        <f t="shared" si="211"/>
        <v>11165</v>
      </c>
      <c r="T187" s="11" t="s">
        <v>288</v>
      </c>
      <c r="V187" s="72">
        <f t="shared" si="209"/>
        <v>16953.5</v>
      </c>
      <c r="W187" s="72">
        <f t="shared" si="207"/>
        <v>0</v>
      </c>
      <c r="X187" s="72">
        <f t="shared" si="207"/>
        <v>0</v>
      </c>
      <c r="Y187" s="72">
        <f t="shared" si="207"/>
        <v>0</v>
      </c>
      <c r="Z187" s="5"/>
      <c r="AA187" s="5"/>
      <c r="AB187" s="5"/>
      <c r="AC187" s="5">
        <f t="shared" si="212"/>
        <v>16953.5</v>
      </c>
    </row>
    <row r="188" spans="1:29" hidden="1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210"/>
        <v>0</v>
      </c>
      <c r="J188" s="11"/>
      <c r="L188" s="10"/>
      <c r="M188" s="5"/>
      <c r="N188" s="5"/>
      <c r="O188" s="5"/>
      <c r="P188" s="5"/>
      <c r="Q188" s="5"/>
      <c r="R188" s="5"/>
      <c r="S188" s="5">
        <f t="shared" si="211"/>
        <v>0</v>
      </c>
      <c r="T188" s="11"/>
      <c r="V188" s="72">
        <f t="shared" si="209"/>
        <v>0</v>
      </c>
      <c r="W188" s="72">
        <f t="shared" si="209"/>
        <v>0</v>
      </c>
      <c r="X188" s="72">
        <f t="shared" si="209"/>
        <v>0</v>
      </c>
      <c r="Y188" s="72">
        <f t="shared" si="209"/>
        <v>0</v>
      </c>
      <c r="Z188" s="5"/>
      <c r="AA188" s="5"/>
      <c r="AB188" s="5"/>
      <c r="AC188" s="5">
        <f t="shared" si="212"/>
        <v>0</v>
      </c>
    </row>
    <row r="189" spans="1:29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210"/>
        <v>0</v>
      </c>
      <c r="J189" s="11"/>
      <c r="L189" s="5"/>
      <c r="M189" s="5"/>
      <c r="N189" s="5"/>
      <c r="O189" s="5"/>
      <c r="P189" s="5"/>
      <c r="Q189" s="5"/>
      <c r="R189" s="5"/>
      <c r="S189" s="5">
        <f t="shared" si="211"/>
        <v>0</v>
      </c>
      <c r="T189" s="11"/>
      <c r="V189" s="72">
        <f t="shared" si="209"/>
        <v>0</v>
      </c>
      <c r="W189" s="72">
        <f t="shared" si="209"/>
        <v>0</v>
      </c>
      <c r="X189" s="72">
        <f t="shared" si="209"/>
        <v>0</v>
      </c>
      <c r="Y189" s="72">
        <f t="shared" si="209"/>
        <v>0</v>
      </c>
      <c r="Z189" s="5"/>
      <c r="AA189" s="5"/>
      <c r="AB189" s="5"/>
      <c r="AC189" s="5">
        <f t="shared" si="212"/>
        <v>0</v>
      </c>
    </row>
    <row r="190" spans="1:29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210"/>
        <v>0</v>
      </c>
      <c r="J190" s="11"/>
      <c r="L190" s="10">
        <v>0</v>
      </c>
      <c r="M190" s="5"/>
      <c r="N190" s="5"/>
      <c r="O190" s="5"/>
      <c r="P190" s="5"/>
      <c r="Q190" s="5"/>
      <c r="R190" s="5"/>
      <c r="S190" s="5">
        <f t="shared" si="211"/>
        <v>0</v>
      </c>
      <c r="T190" s="11"/>
      <c r="V190" s="72">
        <f t="shared" si="209"/>
        <v>0</v>
      </c>
      <c r="W190" s="72">
        <f t="shared" si="209"/>
        <v>0</v>
      </c>
      <c r="X190" s="72">
        <f t="shared" si="209"/>
        <v>0</v>
      </c>
      <c r="Y190" s="72">
        <f t="shared" si="209"/>
        <v>0</v>
      </c>
      <c r="Z190" s="5"/>
      <c r="AA190" s="5"/>
      <c r="AB190" s="5"/>
      <c r="AC190" s="5">
        <f t="shared" si="212"/>
        <v>0</v>
      </c>
    </row>
    <row r="191" spans="1:29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  <c r="L191" s="10">
        <v>97741</v>
      </c>
      <c r="M191" s="10"/>
      <c r="N191" s="10"/>
      <c r="O191" s="10"/>
      <c r="P191" s="10"/>
      <c r="Q191" s="10"/>
      <c r="R191" s="10"/>
      <c r="S191" s="5">
        <f>SUM(L191:R191)</f>
        <v>97741</v>
      </c>
      <c r="T191" s="11"/>
      <c r="V191" s="72">
        <f t="shared" si="209"/>
        <v>97741</v>
      </c>
      <c r="W191" s="72">
        <f t="shared" si="209"/>
        <v>0</v>
      </c>
      <c r="X191" s="72">
        <f t="shared" si="209"/>
        <v>0</v>
      </c>
      <c r="Y191" s="72">
        <f t="shared" si="209"/>
        <v>0</v>
      </c>
      <c r="Z191" s="10"/>
      <c r="AA191" s="10"/>
      <c r="AB191" s="10"/>
      <c r="AC191" s="5">
        <f>SUM(V191:AB191)</f>
        <v>97741</v>
      </c>
    </row>
    <row r="192" spans="1:29" x14ac:dyDescent="0.35">
      <c r="A192" s="26" t="s">
        <v>254</v>
      </c>
      <c r="B192" s="10"/>
      <c r="C192" s="5"/>
      <c r="D192" s="5"/>
      <c r="E192" s="5"/>
      <c r="F192" s="5"/>
      <c r="G192" s="5"/>
      <c r="H192" s="5"/>
      <c r="I192" s="5">
        <f t="shared" ref="I192:I195" si="213">SUM(B192:H192)</f>
        <v>0</v>
      </c>
      <c r="J192" s="11"/>
      <c r="L192" s="10">
        <v>331855</v>
      </c>
      <c r="M192" s="5"/>
      <c r="N192" s="5"/>
      <c r="O192" s="5"/>
      <c r="P192" s="5"/>
      <c r="Q192" s="5"/>
      <c r="R192" s="5"/>
      <c r="S192" s="5">
        <f t="shared" ref="S192:S195" si="214">SUM(L192:R192)</f>
        <v>331855</v>
      </c>
      <c r="T192" s="11"/>
      <c r="V192" s="72">
        <f t="shared" si="209"/>
        <v>331855</v>
      </c>
      <c r="W192" s="72">
        <f t="shared" si="209"/>
        <v>0</v>
      </c>
      <c r="X192" s="72">
        <f t="shared" si="209"/>
        <v>0</v>
      </c>
      <c r="Y192" s="72">
        <f t="shared" si="209"/>
        <v>0</v>
      </c>
      <c r="Z192" s="5"/>
      <c r="AA192" s="5"/>
      <c r="AB192" s="5"/>
      <c r="AC192" s="5">
        <f t="shared" ref="AC192:AC195" si="215">SUM(V192:AB192)</f>
        <v>331855</v>
      </c>
    </row>
    <row r="193" spans="1:30" x14ac:dyDescent="0.35">
      <c r="A193" s="26" t="s">
        <v>255</v>
      </c>
      <c r="B193" s="10"/>
      <c r="C193" s="5"/>
      <c r="D193" s="5"/>
      <c r="E193" s="5"/>
      <c r="F193" s="5"/>
      <c r="G193" s="5"/>
      <c r="H193" s="5"/>
      <c r="I193" s="5">
        <f t="shared" si="213"/>
        <v>0</v>
      </c>
      <c r="J193" s="11"/>
      <c r="L193" s="10"/>
      <c r="M193" s="5"/>
      <c r="N193" s="5"/>
      <c r="O193" s="5"/>
      <c r="P193" s="5"/>
      <c r="Q193" s="5"/>
      <c r="R193" s="5"/>
      <c r="S193" s="5">
        <f t="shared" si="214"/>
        <v>0</v>
      </c>
      <c r="T193" s="11"/>
      <c r="V193" s="72">
        <f t="shared" si="209"/>
        <v>0</v>
      </c>
      <c r="W193" s="72">
        <f t="shared" si="209"/>
        <v>0</v>
      </c>
      <c r="X193" s="72">
        <f t="shared" si="209"/>
        <v>0</v>
      </c>
      <c r="Y193" s="72">
        <f t="shared" si="209"/>
        <v>0</v>
      </c>
      <c r="Z193" s="5"/>
      <c r="AA193" s="5"/>
      <c r="AB193" s="5"/>
      <c r="AC193" s="5">
        <f t="shared" si="215"/>
        <v>0</v>
      </c>
    </row>
    <row r="194" spans="1:30" x14ac:dyDescent="0.35">
      <c r="A194" s="26" t="s">
        <v>275</v>
      </c>
      <c r="B194" s="10">
        <v>10500</v>
      </c>
      <c r="C194" s="5"/>
      <c r="D194" s="5"/>
      <c r="E194" s="5"/>
      <c r="F194" s="5"/>
      <c r="G194" s="5"/>
      <c r="H194" s="5"/>
      <c r="I194" s="5">
        <f t="shared" si="213"/>
        <v>10500</v>
      </c>
      <c r="J194" s="11"/>
      <c r="L194" s="10">
        <v>12000</v>
      </c>
      <c r="M194" s="5"/>
      <c r="N194" s="5"/>
      <c r="O194" s="5"/>
      <c r="P194" s="5"/>
      <c r="Q194" s="5"/>
      <c r="R194" s="5"/>
      <c r="S194" s="5">
        <f t="shared" si="214"/>
        <v>12000</v>
      </c>
      <c r="T194" s="11"/>
      <c r="V194" s="72">
        <f t="shared" si="209"/>
        <v>22500</v>
      </c>
      <c r="W194" s="72">
        <f t="shared" si="209"/>
        <v>0</v>
      </c>
      <c r="X194" s="72">
        <f t="shared" si="209"/>
        <v>0</v>
      </c>
      <c r="Y194" s="72">
        <f t="shared" si="209"/>
        <v>0</v>
      </c>
      <c r="Z194" s="5"/>
      <c r="AA194" s="5"/>
      <c r="AB194" s="5"/>
      <c r="AC194" s="5">
        <f t="shared" si="215"/>
        <v>22500</v>
      </c>
    </row>
    <row r="195" spans="1:30" x14ac:dyDescent="0.35">
      <c r="A195" s="69" t="s">
        <v>458</v>
      </c>
      <c r="B195" s="5">
        <f>((B74)*0.035)</f>
        <v>157786.12500000003</v>
      </c>
      <c r="C195" s="5"/>
      <c r="D195" s="5"/>
      <c r="E195" s="5"/>
      <c r="F195" s="5"/>
      <c r="G195" s="5"/>
      <c r="H195" s="5"/>
      <c r="I195" s="5">
        <f t="shared" si="213"/>
        <v>157786.12500000003</v>
      </c>
      <c r="J195" s="48" t="s">
        <v>479</v>
      </c>
      <c r="L195" s="5">
        <f>((L74)*0.02)</f>
        <v>182847.7</v>
      </c>
      <c r="M195" s="5"/>
      <c r="N195" s="5"/>
      <c r="O195" s="5"/>
      <c r="P195" s="5"/>
      <c r="Q195" s="5"/>
      <c r="R195" s="5"/>
      <c r="S195" s="5">
        <f t="shared" si="214"/>
        <v>182847.7</v>
      </c>
      <c r="T195" s="48" t="s">
        <v>497</v>
      </c>
      <c r="V195" s="72">
        <f t="shared" si="209"/>
        <v>340633.82500000007</v>
      </c>
      <c r="W195" s="72">
        <f t="shared" si="209"/>
        <v>0</v>
      </c>
      <c r="X195" s="72">
        <f t="shared" si="209"/>
        <v>0</v>
      </c>
      <c r="Y195" s="72">
        <f t="shared" si="209"/>
        <v>0</v>
      </c>
      <c r="Z195" s="5"/>
      <c r="AA195" s="5"/>
      <c r="AB195" s="5"/>
      <c r="AC195" s="5">
        <f t="shared" si="215"/>
        <v>340633.82500000007</v>
      </c>
      <c r="AD195" s="105">
        <f>V195/AC74</f>
        <v>2.4953835227272732E-2</v>
      </c>
    </row>
    <row r="196" spans="1:30" x14ac:dyDescent="0.35">
      <c r="A196" s="62" t="s">
        <v>182</v>
      </c>
      <c r="B196" s="63">
        <f>SUM(B172:B195)</f>
        <v>283998.71750000003</v>
      </c>
      <c r="C196" s="63">
        <f t="shared" ref="C196:I196" si="216">SUM(C172:C195)</f>
        <v>0</v>
      </c>
      <c r="D196" s="63">
        <f t="shared" si="216"/>
        <v>453235.5</v>
      </c>
      <c r="E196" s="63">
        <f t="shared" si="216"/>
        <v>0</v>
      </c>
      <c r="F196" s="63">
        <f t="shared" si="216"/>
        <v>0</v>
      </c>
      <c r="G196" s="63">
        <f t="shared" si="216"/>
        <v>0</v>
      </c>
      <c r="H196" s="63">
        <f t="shared" si="216"/>
        <v>0</v>
      </c>
      <c r="I196" s="63">
        <f t="shared" si="216"/>
        <v>737234.21750000003</v>
      </c>
      <c r="J196" s="7"/>
      <c r="L196" s="63">
        <f>SUM(L172:L195)</f>
        <v>841009.9824000001</v>
      </c>
      <c r="M196" s="63">
        <f t="shared" ref="M196:S196" si="217">SUM(M172:M195)</f>
        <v>0</v>
      </c>
      <c r="N196" s="63">
        <f t="shared" si="217"/>
        <v>919142.1</v>
      </c>
      <c r="O196" s="63">
        <f t="shared" si="217"/>
        <v>0</v>
      </c>
      <c r="P196" s="63">
        <f t="shared" si="217"/>
        <v>0</v>
      </c>
      <c r="Q196" s="63">
        <f t="shared" si="217"/>
        <v>0</v>
      </c>
      <c r="R196" s="63">
        <f t="shared" si="217"/>
        <v>0</v>
      </c>
      <c r="S196" s="63">
        <f t="shared" si="217"/>
        <v>1760152.0824</v>
      </c>
      <c r="T196" s="7"/>
      <c r="V196" s="63">
        <f>SUM(V172:V195)</f>
        <v>1125008.6998999999</v>
      </c>
      <c r="W196" s="63">
        <f t="shared" ref="W196:AC196" si="218">SUM(W172:W195)</f>
        <v>0</v>
      </c>
      <c r="X196" s="63">
        <f t="shared" si="218"/>
        <v>1372377.6</v>
      </c>
      <c r="Y196" s="63">
        <f t="shared" si="218"/>
        <v>0</v>
      </c>
      <c r="Z196" s="63">
        <f t="shared" si="218"/>
        <v>0</v>
      </c>
      <c r="AA196" s="63">
        <f t="shared" si="218"/>
        <v>0</v>
      </c>
      <c r="AB196" s="63">
        <f t="shared" si="218"/>
        <v>0</v>
      </c>
      <c r="AC196" s="63">
        <f t="shared" si="218"/>
        <v>2497386.2999</v>
      </c>
    </row>
    <row r="197" spans="1:30" x14ac:dyDescent="0.35">
      <c r="A197" s="66" t="s">
        <v>154</v>
      </c>
      <c r="B197" s="15" t="str">
        <f t="shared" ref="B197:I197" si="219">B1</f>
        <v>Operating</v>
      </c>
      <c r="C197" s="15" t="str">
        <f t="shared" si="219"/>
        <v>SPED</v>
      </c>
      <c r="D197" s="15" t="str">
        <f t="shared" si="219"/>
        <v>NSLP</v>
      </c>
      <c r="E197" s="15" t="str">
        <f t="shared" si="219"/>
        <v>Other</v>
      </c>
      <c r="F197" s="15" t="str">
        <f t="shared" si="219"/>
        <v>Title I</v>
      </c>
      <c r="G197" s="15" t="str">
        <f t="shared" si="219"/>
        <v>Title II</v>
      </c>
      <c r="H197" s="15" t="str">
        <f t="shared" si="219"/>
        <v>Title III</v>
      </c>
      <c r="I197" s="15" t="str">
        <f t="shared" si="219"/>
        <v>B&amp;G</v>
      </c>
      <c r="J197" s="7"/>
      <c r="L197" s="15" t="str">
        <f t="shared" ref="L197:S197" si="220">L1</f>
        <v>Operating</v>
      </c>
      <c r="M197" s="15" t="str">
        <f t="shared" si="220"/>
        <v>SPED</v>
      </c>
      <c r="N197" s="15" t="str">
        <f t="shared" si="220"/>
        <v>NSLP</v>
      </c>
      <c r="O197" s="15" t="str">
        <f t="shared" si="220"/>
        <v>Other</v>
      </c>
      <c r="P197" s="15" t="str">
        <f t="shared" si="220"/>
        <v>Title I</v>
      </c>
      <c r="Q197" s="15" t="str">
        <f t="shared" si="220"/>
        <v>Title II</v>
      </c>
      <c r="R197" s="15" t="str">
        <f t="shared" si="220"/>
        <v>Title III</v>
      </c>
      <c r="S197" s="15" t="str">
        <f t="shared" si="220"/>
        <v>New</v>
      </c>
      <c r="T197" s="7"/>
      <c r="V197" s="15" t="str">
        <f t="shared" ref="V197:AC197" si="221">V1</f>
        <v>Operating</v>
      </c>
      <c r="W197" s="15" t="str">
        <f t="shared" si="221"/>
        <v>SPED</v>
      </c>
      <c r="X197" s="15" t="str">
        <f t="shared" si="221"/>
        <v>NSLP</v>
      </c>
      <c r="Y197" s="15" t="str">
        <f t="shared" si="221"/>
        <v>Other</v>
      </c>
      <c r="Z197" s="15" t="str">
        <f t="shared" si="221"/>
        <v>Title I</v>
      </c>
      <c r="AA197" s="15" t="str">
        <f t="shared" si="221"/>
        <v>Title II</v>
      </c>
      <c r="AB197" s="15" t="str">
        <f t="shared" si="221"/>
        <v>Title III</v>
      </c>
      <c r="AC197" s="15" t="str">
        <f t="shared" si="221"/>
        <v>MANN</v>
      </c>
    </row>
    <row r="198" spans="1:30" x14ac:dyDescent="0.35">
      <c r="A198" s="71" t="s">
        <v>155</v>
      </c>
      <c r="B198" s="120">
        <f>30000*1.05*1.02*1.02</f>
        <v>32772.6</v>
      </c>
      <c r="C198" s="5"/>
      <c r="D198" s="5"/>
      <c r="E198" s="5"/>
      <c r="F198" s="5"/>
      <c r="G198" s="5"/>
      <c r="H198" s="5"/>
      <c r="I198" s="5">
        <f t="shared" ref="I198:I207" si="222">SUM(B198:H198)</f>
        <v>32772.6</v>
      </c>
      <c r="J198" s="6"/>
      <c r="L198" s="120">
        <v>76000</v>
      </c>
      <c r="M198" s="5"/>
      <c r="N198" s="5"/>
      <c r="O198" s="5"/>
      <c r="P198" s="5"/>
      <c r="Q198" s="5"/>
      <c r="R198" s="5"/>
      <c r="S198" s="5">
        <f t="shared" ref="S198:S207" si="223">SUM(L198:R198)</f>
        <v>76000</v>
      </c>
      <c r="T198" s="6"/>
      <c r="V198" s="120">
        <f>B198+L198</f>
        <v>108772.6</v>
      </c>
      <c r="W198" s="120">
        <f t="shared" ref="W198:Y207" si="224">C198+M198</f>
        <v>0</v>
      </c>
      <c r="X198" s="120">
        <f t="shared" si="224"/>
        <v>0</v>
      </c>
      <c r="Y198" s="120">
        <f t="shared" si="224"/>
        <v>0</v>
      </c>
      <c r="Z198" s="5"/>
      <c r="AA198" s="5"/>
      <c r="AB198" s="5"/>
      <c r="AC198" s="5">
        <f t="shared" ref="AC198:AC207" si="225">SUM(V198:AB198)</f>
        <v>108772.6</v>
      </c>
    </row>
    <row r="199" spans="1:30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222"/>
        <v>0</v>
      </c>
      <c r="J199" s="11"/>
      <c r="L199" s="72">
        <v>13500</v>
      </c>
      <c r="M199" s="5"/>
      <c r="N199" s="5"/>
      <c r="O199" s="5"/>
      <c r="P199" s="5"/>
      <c r="Q199" s="5"/>
      <c r="R199" s="5"/>
      <c r="S199" s="5">
        <f t="shared" si="223"/>
        <v>13500</v>
      </c>
      <c r="T199" s="11"/>
      <c r="V199" s="120">
        <f t="shared" ref="V199:V207" si="226">B199+L199</f>
        <v>13500</v>
      </c>
      <c r="W199" s="120">
        <f t="shared" si="224"/>
        <v>0</v>
      </c>
      <c r="X199" s="120">
        <f t="shared" si="224"/>
        <v>0</v>
      </c>
      <c r="Y199" s="120">
        <f t="shared" si="224"/>
        <v>0</v>
      </c>
      <c r="Z199" s="5"/>
      <c r="AA199" s="5"/>
      <c r="AB199" s="5"/>
      <c r="AC199" s="5">
        <f t="shared" si="225"/>
        <v>13500</v>
      </c>
    </row>
    <row r="200" spans="1:30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222"/>
        <v>0</v>
      </c>
      <c r="J200" s="11"/>
      <c r="L200" s="73">
        <v>13000</v>
      </c>
      <c r="M200" s="5"/>
      <c r="N200" s="5"/>
      <c r="O200" s="5"/>
      <c r="P200" s="5"/>
      <c r="Q200" s="5"/>
      <c r="R200" s="5"/>
      <c r="S200" s="5">
        <f t="shared" si="223"/>
        <v>13000</v>
      </c>
      <c r="T200" s="11"/>
      <c r="V200" s="120">
        <f t="shared" si="226"/>
        <v>13000</v>
      </c>
      <c r="W200" s="120">
        <f t="shared" si="224"/>
        <v>0</v>
      </c>
      <c r="X200" s="120">
        <f t="shared" si="224"/>
        <v>0</v>
      </c>
      <c r="Y200" s="120">
        <f t="shared" si="224"/>
        <v>0</v>
      </c>
      <c r="Z200" s="5"/>
      <c r="AA200" s="5"/>
      <c r="AB200" s="5"/>
      <c r="AC200" s="5">
        <f t="shared" si="225"/>
        <v>13000</v>
      </c>
    </row>
    <row r="201" spans="1:30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222"/>
        <v>0</v>
      </c>
      <c r="J201" s="11"/>
      <c r="L201" s="73">
        <v>36000</v>
      </c>
      <c r="M201" s="5"/>
      <c r="N201" s="5"/>
      <c r="O201" s="5"/>
      <c r="P201" s="5"/>
      <c r="Q201" s="5"/>
      <c r="R201" s="5"/>
      <c r="S201" s="5">
        <f t="shared" si="223"/>
        <v>36000</v>
      </c>
      <c r="T201" s="11"/>
      <c r="V201" s="120">
        <f t="shared" si="226"/>
        <v>36000</v>
      </c>
      <c r="W201" s="120">
        <f t="shared" si="224"/>
        <v>0</v>
      </c>
      <c r="X201" s="120">
        <f t="shared" si="224"/>
        <v>0</v>
      </c>
      <c r="Y201" s="120">
        <f t="shared" si="224"/>
        <v>0</v>
      </c>
      <c r="Z201" s="5"/>
      <c r="AA201" s="5"/>
      <c r="AB201" s="5"/>
      <c r="AC201" s="5">
        <f t="shared" si="225"/>
        <v>36000</v>
      </c>
    </row>
    <row r="202" spans="1:30" x14ac:dyDescent="0.35">
      <c r="A202" s="26" t="s">
        <v>159</v>
      </c>
      <c r="B202" s="73">
        <v>6000</v>
      </c>
      <c r="C202" s="5"/>
      <c r="D202" s="5"/>
      <c r="E202" s="5"/>
      <c r="F202" s="5"/>
      <c r="G202" s="5"/>
      <c r="H202" s="5"/>
      <c r="I202" s="5">
        <f t="shared" si="222"/>
        <v>6000</v>
      </c>
      <c r="J202" s="11"/>
      <c r="L202" s="73">
        <v>8500</v>
      </c>
      <c r="M202" s="5"/>
      <c r="N202" s="5"/>
      <c r="O202" s="5"/>
      <c r="P202" s="5"/>
      <c r="Q202" s="5"/>
      <c r="R202" s="5"/>
      <c r="S202" s="5">
        <f t="shared" si="223"/>
        <v>8500</v>
      </c>
      <c r="T202" s="11"/>
      <c r="V202" s="120">
        <f t="shared" si="226"/>
        <v>14500</v>
      </c>
      <c r="W202" s="120">
        <f t="shared" si="224"/>
        <v>0</v>
      </c>
      <c r="X202" s="120">
        <f t="shared" si="224"/>
        <v>0</v>
      </c>
      <c r="Y202" s="120">
        <f t="shared" si="224"/>
        <v>0</v>
      </c>
      <c r="Z202" s="5"/>
      <c r="AA202" s="5"/>
      <c r="AB202" s="5"/>
      <c r="AC202" s="5">
        <f t="shared" si="225"/>
        <v>14500</v>
      </c>
    </row>
    <row r="203" spans="1:30" x14ac:dyDescent="0.35">
      <c r="A203" s="26" t="s">
        <v>160</v>
      </c>
      <c r="B203" s="72">
        <f>(2915*13)*1.05*1.03*1.04</f>
        <v>42622.780200000008</v>
      </c>
      <c r="C203" s="5"/>
      <c r="D203" s="5"/>
      <c r="E203" s="5"/>
      <c r="F203" s="5"/>
      <c r="G203" s="5"/>
      <c r="H203" s="5"/>
      <c r="I203" s="5">
        <f t="shared" si="222"/>
        <v>42622.780200000008</v>
      </c>
      <c r="J203" s="11"/>
      <c r="L203" s="72">
        <f>7300*13</f>
        <v>94900</v>
      </c>
      <c r="M203" s="5"/>
      <c r="N203" s="5"/>
      <c r="O203" s="5"/>
      <c r="P203" s="5"/>
      <c r="Q203" s="5"/>
      <c r="R203" s="5"/>
      <c r="S203" s="5">
        <f t="shared" si="223"/>
        <v>94900</v>
      </c>
      <c r="T203" s="11"/>
      <c r="V203" s="120">
        <f t="shared" si="226"/>
        <v>137522.78020000001</v>
      </c>
      <c r="W203" s="120">
        <f t="shared" si="224"/>
        <v>0</v>
      </c>
      <c r="X203" s="120">
        <f t="shared" si="224"/>
        <v>0</v>
      </c>
      <c r="Y203" s="120">
        <f t="shared" si="224"/>
        <v>0</v>
      </c>
      <c r="Z203" s="5"/>
      <c r="AA203" s="5"/>
      <c r="AB203" s="5"/>
      <c r="AC203" s="5">
        <f t="shared" si="225"/>
        <v>137522.78020000001</v>
      </c>
    </row>
    <row r="204" spans="1:30" x14ac:dyDescent="0.35">
      <c r="A204" s="26" t="s">
        <v>162</v>
      </c>
      <c r="B204" s="10">
        <v>53000</v>
      </c>
      <c r="C204" s="5"/>
      <c r="D204" s="5"/>
      <c r="E204" s="5"/>
      <c r="F204" s="5"/>
      <c r="G204" s="5"/>
      <c r="H204" s="5"/>
      <c r="I204" s="5">
        <f t="shared" si="222"/>
        <v>53000</v>
      </c>
      <c r="J204" s="11"/>
      <c r="L204" s="10">
        <v>45000</v>
      </c>
      <c r="M204" s="5"/>
      <c r="N204" s="5"/>
      <c r="O204" s="5"/>
      <c r="P204" s="5"/>
      <c r="Q204" s="5"/>
      <c r="R204" s="5"/>
      <c r="S204" s="5">
        <f t="shared" si="223"/>
        <v>45000</v>
      </c>
      <c r="T204" s="11"/>
      <c r="V204" s="120">
        <f t="shared" si="226"/>
        <v>98000</v>
      </c>
      <c r="W204" s="120">
        <f t="shared" si="224"/>
        <v>0</v>
      </c>
      <c r="X204" s="120">
        <f t="shared" si="224"/>
        <v>0</v>
      </c>
      <c r="Y204" s="120">
        <f t="shared" si="224"/>
        <v>0</v>
      </c>
      <c r="Z204" s="5"/>
      <c r="AA204" s="5"/>
      <c r="AB204" s="5"/>
      <c r="AC204" s="5">
        <f t="shared" si="225"/>
        <v>98000</v>
      </c>
    </row>
    <row r="205" spans="1:30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222"/>
        <v>0</v>
      </c>
      <c r="J205" s="11"/>
      <c r="L205" s="10">
        <v>15000</v>
      </c>
      <c r="M205" s="5"/>
      <c r="N205" s="5"/>
      <c r="O205" s="5"/>
      <c r="P205" s="5"/>
      <c r="Q205" s="5"/>
      <c r="R205" s="5"/>
      <c r="S205" s="5">
        <f t="shared" si="223"/>
        <v>15000</v>
      </c>
      <c r="T205" s="11"/>
      <c r="V205" s="120">
        <f t="shared" si="226"/>
        <v>15000</v>
      </c>
      <c r="W205" s="120">
        <f t="shared" si="224"/>
        <v>0</v>
      </c>
      <c r="X205" s="120">
        <f t="shared" si="224"/>
        <v>0</v>
      </c>
      <c r="Y205" s="120">
        <f t="shared" si="224"/>
        <v>0</v>
      </c>
      <c r="Z205" s="5"/>
      <c r="AA205" s="5"/>
      <c r="AB205" s="5"/>
      <c r="AC205" s="5">
        <f t="shared" si="225"/>
        <v>15000</v>
      </c>
    </row>
    <row r="206" spans="1:30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222"/>
        <v>0</v>
      </c>
      <c r="J206" s="11"/>
      <c r="L206" s="10">
        <f>((1000*12)+6000)*1.05*1.03</f>
        <v>19467</v>
      </c>
      <c r="M206" s="5"/>
      <c r="N206" s="5"/>
      <c r="O206" s="5"/>
      <c r="P206" s="5"/>
      <c r="Q206" s="5"/>
      <c r="R206" s="5"/>
      <c r="S206" s="5">
        <f t="shared" si="223"/>
        <v>19467</v>
      </c>
      <c r="T206" s="11"/>
      <c r="V206" s="120">
        <f t="shared" si="226"/>
        <v>19467</v>
      </c>
      <c r="W206" s="120">
        <f t="shared" si="224"/>
        <v>0</v>
      </c>
      <c r="X206" s="120">
        <f t="shared" si="224"/>
        <v>0</v>
      </c>
      <c r="Y206" s="120">
        <f t="shared" si="224"/>
        <v>0</v>
      </c>
      <c r="Z206" s="5"/>
      <c r="AA206" s="5"/>
      <c r="AB206" s="5"/>
      <c r="AC206" s="5">
        <f t="shared" si="225"/>
        <v>19467</v>
      </c>
    </row>
    <row r="207" spans="1:30" x14ac:dyDescent="0.35">
      <c r="A207" s="69" t="s">
        <v>165</v>
      </c>
      <c r="B207" s="10"/>
      <c r="C207" s="5"/>
      <c r="D207" s="5"/>
      <c r="E207" s="5"/>
      <c r="F207" s="5"/>
      <c r="G207" s="5"/>
      <c r="H207" s="5"/>
      <c r="I207" s="5">
        <f t="shared" si="222"/>
        <v>0</v>
      </c>
      <c r="J207" s="11"/>
      <c r="L207" s="10">
        <f>((1000*12)+8500)*1.05*1.03</f>
        <v>22170.75</v>
      </c>
      <c r="M207" s="5"/>
      <c r="N207" s="5"/>
      <c r="O207" s="5"/>
      <c r="P207" s="5"/>
      <c r="Q207" s="5"/>
      <c r="R207" s="5"/>
      <c r="S207" s="5">
        <f t="shared" si="223"/>
        <v>22170.75</v>
      </c>
      <c r="T207" s="11"/>
      <c r="V207" s="120">
        <f t="shared" si="226"/>
        <v>22170.75</v>
      </c>
      <c r="W207" s="120">
        <f t="shared" si="224"/>
        <v>0</v>
      </c>
      <c r="X207" s="120">
        <f t="shared" si="224"/>
        <v>0</v>
      </c>
      <c r="Y207" s="120">
        <f t="shared" si="224"/>
        <v>0</v>
      </c>
      <c r="Z207" s="5"/>
      <c r="AA207" s="5"/>
      <c r="AB207" s="5"/>
      <c r="AC207" s="5">
        <f t="shared" si="225"/>
        <v>22170.75</v>
      </c>
    </row>
    <row r="208" spans="1:30" x14ac:dyDescent="0.35">
      <c r="A208" s="62" t="s">
        <v>183</v>
      </c>
      <c r="B208" s="63">
        <f t="shared" ref="B208:I208" si="227">SUM(B198:B207)</f>
        <v>134395.38020000001</v>
      </c>
      <c r="C208" s="63">
        <f t="shared" si="227"/>
        <v>0</v>
      </c>
      <c r="D208" s="63">
        <f t="shared" si="227"/>
        <v>0</v>
      </c>
      <c r="E208" s="63">
        <f t="shared" si="227"/>
        <v>0</v>
      </c>
      <c r="F208" s="63">
        <f t="shared" si="227"/>
        <v>0</v>
      </c>
      <c r="G208" s="63">
        <f t="shared" si="227"/>
        <v>0</v>
      </c>
      <c r="H208" s="63">
        <f t="shared" si="227"/>
        <v>0</v>
      </c>
      <c r="I208" s="63">
        <f t="shared" si="227"/>
        <v>134395.38020000001</v>
      </c>
      <c r="J208" s="7"/>
      <c r="L208" s="63">
        <f t="shared" ref="L208:S208" si="228">SUM(L198:L207)</f>
        <v>343537.75</v>
      </c>
      <c r="M208" s="63">
        <f t="shared" si="228"/>
        <v>0</v>
      </c>
      <c r="N208" s="63">
        <f t="shared" si="228"/>
        <v>0</v>
      </c>
      <c r="O208" s="63">
        <f t="shared" si="228"/>
        <v>0</v>
      </c>
      <c r="P208" s="63">
        <f t="shared" si="228"/>
        <v>0</v>
      </c>
      <c r="Q208" s="63">
        <f t="shared" si="228"/>
        <v>0</v>
      </c>
      <c r="R208" s="63">
        <f t="shared" si="228"/>
        <v>0</v>
      </c>
      <c r="S208" s="63">
        <f t="shared" si="228"/>
        <v>343537.75</v>
      </c>
      <c r="T208" s="7"/>
      <c r="V208" s="63">
        <f t="shared" ref="V208:AC208" si="229">SUM(V198:V207)</f>
        <v>477933.13020000001</v>
      </c>
      <c r="W208" s="63">
        <f t="shared" si="229"/>
        <v>0</v>
      </c>
      <c r="X208" s="63">
        <f t="shared" si="229"/>
        <v>0</v>
      </c>
      <c r="Y208" s="63">
        <f t="shared" si="229"/>
        <v>0</v>
      </c>
      <c r="Z208" s="63">
        <f t="shared" si="229"/>
        <v>0</v>
      </c>
      <c r="AA208" s="63">
        <f t="shared" si="229"/>
        <v>0</v>
      </c>
      <c r="AB208" s="63">
        <f t="shared" si="229"/>
        <v>0</v>
      </c>
      <c r="AC208" s="63">
        <f t="shared" si="229"/>
        <v>477933.13020000001</v>
      </c>
    </row>
    <row r="209" spans="1:29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  <c r="L209" s="5"/>
      <c r="M209" s="5"/>
      <c r="N209" s="5"/>
      <c r="O209" s="5"/>
      <c r="P209" s="5"/>
      <c r="Q209" s="5"/>
      <c r="R209" s="5"/>
      <c r="S209" s="5"/>
      <c r="T209" s="7"/>
      <c r="V209" s="5"/>
      <c r="W209" s="5"/>
      <c r="X209" s="5"/>
      <c r="Y209" s="5"/>
      <c r="Z209" s="5"/>
      <c r="AA209" s="5"/>
      <c r="AB209" s="5"/>
      <c r="AC209" s="5"/>
    </row>
    <row r="210" spans="1:29" x14ac:dyDescent="0.35">
      <c r="A210" s="62" t="s">
        <v>166</v>
      </c>
      <c r="B210" s="63">
        <f>B142+B154+B170+B196+B208</f>
        <v>4185596.0440308</v>
      </c>
      <c r="C210" s="63">
        <f t="shared" ref="C210:H210" si="230">C142+C154+C170+C196+C208</f>
        <v>661896.28749999998</v>
      </c>
      <c r="D210" s="63">
        <f t="shared" si="230"/>
        <v>561850.1</v>
      </c>
      <c r="E210" s="63">
        <f t="shared" si="230"/>
        <v>0</v>
      </c>
      <c r="F210" s="63">
        <f t="shared" si="230"/>
        <v>0</v>
      </c>
      <c r="G210" s="63">
        <f t="shared" si="230"/>
        <v>0</v>
      </c>
      <c r="H210" s="63">
        <f t="shared" si="230"/>
        <v>0</v>
      </c>
      <c r="I210" s="63">
        <f>I142+I154+I170+I196+I208</f>
        <v>5409342.4315307997</v>
      </c>
      <c r="J210" s="7"/>
      <c r="L210" s="63">
        <f>L142+L154+L170+L196+L208</f>
        <v>7755630.9086640002</v>
      </c>
      <c r="M210" s="63">
        <f t="shared" ref="M210:R210" si="231">M142+M154+M170+M196+M208</f>
        <v>872169.65</v>
      </c>
      <c r="N210" s="63">
        <f t="shared" si="231"/>
        <v>1152535.7</v>
      </c>
      <c r="O210" s="63">
        <f t="shared" si="231"/>
        <v>0</v>
      </c>
      <c r="P210" s="63">
        <f t="shared" si="231"/>
        <v>0</v>
      </c>
      <c r="Q210" s="63">
        <f t="shared" si="231"/>
        <v>0</v>
      </c>
      <c r="R210" s="63">
        <f t="shared" si="231"/>
        <v>0</v>
      </c>
      <c r="S210" s="63">
        <f>S142+S154+S170+S196+S208</f>
        <v>9780336.2586640008</v>
      </c>
      <c r="T210" s="7"/>
      <c r="V210" s="63">
        <f>V142+V154+V170+V196+V208</f>
        <v>11941226.9526948</v>
      </c>
      <c r="W210" s="63">
        <f t="shared" ref="W210:AB210" si="232">W142+W154+W170+W196+W208</f>
        <v>1534065.9375</v>
      </c>
      <c r="X210" s="63">
        <f t="shared" si="232"/>
        <v>1714385.8</v>
      </c>
      <c r="Y210" s="63">
        <f t="shared" si="232"/>
        <v>0</v>
      </c>
      <c r="Z210" s="63">
        <f t="shared" si="232"/>
        <v>0</v>
      </c>
      <c r="AA210" s="63">
        <f t="shared" si="232"/>
        <v>0</v>
      </c>
      <c r="AB210" s="63">
        <f t="shared" si="232"/>
        <v>0</v>
      </c>
      <c r="AC210" s="63">
        <f>AC142+AC154+AC170+AC196+AC208</f>
        <v>15189678.690194799</v>
      </c>
    </row>
    <row r="211" spans="1:29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  <c r="L211" s="47"/>
      <c r="M211" s="47"/>
      <c r="N211" s="47"/>
      <c r="O211" s="47"/>
      <c r="P211" s="47"/>
      <c r="Q211" s="47"/>
      <c r="R211" s="47"/>
      <c r="S211" s="47"/>
      <c r="T211" s="7"/>
      <c r="V211" s="47"/>
      <c r="W211" s="47"/>
      <c r="X211" s="47"/>
      <c r="Y211" s="47"/>
      <c r="Z211" s="47"/>
      <c r="AA211" s="47"/>
      <c r="AB211" s="47"/>
      <c r="AC211" s="47"/>
    </row>
    <row r="212" spans="1:29" x14ac:dyDescent="0.35">
      <c r="A212" s="38" t="s">
        <v>167</v>
      </c>
      <c r="B212" s="9">
        <f>1230*B17</f>
        <v>571950</v>
      </c>
      <c r="C212" s="9"/>
      <c r="D212" s="9"/>
      <c r="E212" s="9"/>
      <c r="F212" s="9"/>
      <c r="G212" s="9"/>
      <c r="H212" s="9"/>
      <c r="I212" s="9">
        <f t="shared" ref="I212:I216" si="233">SUM(B212:H212)</f>
        <v>571950</v>
      </c>
      <c r="J212" s="11"/>
      <c r="L212" s="9">
        <f>2100*L17</f>
        <v>1980300</v>
      </c>
      <c r="M212" s="9"/>
      <c r="N212" s="9"/>
      <c r="O212" s="9"/>
      <c r="P212" s="9"/>
      <c r="Q212" s="9"/>
      <c r="R212" s="9"/>
      <c r="S212" s="9">
        <f t="shared" ref="S212:S216" si="234">SUM(L212:R212)</f>
        <v>1980300</v>
      </c>
      <c r="T212" s="52">
        <v>2100</v>
      </c>
      <c r="V212" s="9">
        <f>B212+L212</f>
        <v>2552250</v>
      </c>
      <c r="W212" s="9">
        <f t="shared" ref="W212:Y217" si="235">C212+M212</f>
        <v>0</v>
      </c>
      <c r="X212" s="9">
        <f t="shared" si="235"/>
        <v>0</v>
      </c>
      <c r="Y212" s="9">
        <f t="shared" si="235"/>
        <v>0</v>
      </c>
      <c r="Z212" s="9"/>
      <c r="AA212" s="9"/>
      <c r="AB212" s="9"/>
      <c r="AC212" s="9">
        <f t="shared" ref="AC212:AC217" si="236">SUM(V212:AB212)</f>
        <v>2552250</v>
      </c>
    </row>
    <row r="213" spans="1:29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233"/>
        <v>0</v>
      </c>
      <c r="J213" s="11"/>
      <c r="L213" s="9">
        <v>0</v>
      </c>
      <c r="M213" s="9"/>
      <c r="N213" s="9"/>
      <c r="O213" s="9"/>
      <c r="P213" s="9"/>
      <c r="Q213" s="9"/>
      <c r="R213" s="9"/>
      <c r="S213" s="9">
        <f t="shared" si="234"/>
        <v>0</v>
      </c>
      <c r="T213" s="11"/>
      <c r="V213" s="9">
        <f t="shared" ref="V213:V217" si="237">B213+L213</f>
        <v>0</v>
      </c>
      <c r="W213" s="9">
        <f t="shared" si="235"/>
        <v>0</v>
      </c>
      <c r="X213" s="9">
        <f t="shared" si="235"/>
        <v>0</v>
      </c>
      <c r="Y213" s="9">
        <f t="shared" si="235"/>
        <v>0</v>
      </c>
      <c r="Z213" s="9"/>
      <c r="AA213" s="9"/>
      <c r="AB213" s="9"/>
      <c r="AC213" s="9">
        <f t="shared" si="236"/>
        <v>0</v>
      </c>
    </row>
    <row r="214" spans="1:29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233"/>
        <v>0</v>
      </c>
      <c r="J214" s="119"/>
      <c r="L214" s="9">
        <v>0</v>
      </c>
      <c r="M214" s="9"/>
      <c r="N214" s="9"/>
      <c r="O214" s="9"/>
      <c r="P214" s="9"/>
      <c r="Q214" s="9"/>
      <c r="R214" s="9"/>
      <c r="S214" s="9">
        <f t="shared" si="234"/>
        <v>0</v>
      </c>
      <c r="T214" s="119"/>
      <c r="V214" s="9">
        <f t="shared" si="237"/>
        <v>0</v>
      </c>
      <c r="W214" s="9">
        <f t="shared" si="235"/>
        <v>0</v>
      </c>
      <c r="X214" s="9">
        <f t="shared" si="235"/>
        <v>0</v>
      </c>
      <c r="Y214" s="9">
        <f t="shared" si="235"/>
        <v>0</v>
      </c>
      <c r="Z214" s="9"/>
      <c r="AA214" s="9"/>
      <c r="AB214" s="9"/>
      <c r="AC214" s="9">
        <f t="shared" si="236"/>
        <v>0</v>
      </c>
    </row>
    <row r="215" spans="1:29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233"/>
        <v>0</v>
      </c>
      <c r="J215" s="11"/>
      <c r="L215" s="9">
        <v>0</v>
      </c>
      <c r="M215" s="9"/>
      <c r="N215" s="9"/>
      <c r="O215" s="9"/>
      <c r="P215" s="9"/>
      <c r="Q215" s="9"/>
      <c r="R215" s="9"/>
      <c r="S215" s="9">
        <f t="shared" si="234"/>
        <v>0</v>
      </c>
      <c r="T215" s="11"/>
      <c r="V215" s="9">
        <f t="shared" si="237"/>
        <v>0</v>
      </c>
      <c r="W215" s="9">
        <f t="shared" si="235"/>
        <v>0</v>
      </c>
      <c r="X215" s="9">
        <f t="shared" si="235"/>
        <v>0</v>
      </c>
      <c r="Y215" s="9">
        <f t="shared" si="235"/>
        <v>0</v>
      </c>
      <c r="Z215" s="9"/>
      <c r="AA215" s="9"/>
      <c r="AB215" s="9"/>
      <c r="AC215" s="9">
        <f t="shared" si="236"/>
        <v>0</v>
      </c>
    </row>
    <row r="216" spans="1:29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233"/>
        <v>0</v>
      </c>
      <c r="J216" s="11"/>
      <c r="L216" s="9">
        <v>0</v>
      </c>
      <c r="M216" s="9">
        <v>0</v>
      </c>
      <c r="N216" s="9">
        <v>0</v>
      </c>
      <c r="O216" s="9"/>
      <c r="P216" s="9">
        <v>0</v>
      </c>
      <c r="Q216" s="9">
        <v>0</v>
      </c>
      <c r="R216" s="9">
        <v>0</v>
      </c>
      <c r="S216" s="9">
        <f t="shared" si="234"/>
        <v>0</v>
      </c>
      <c r="T216" s="11"/>
      <c r="V216" s="9">
        <f t="shared" si="237"/>
        <v>0</v>
      </c>
      <c r="W216" s="9">
        <f t="shared" si="235"/>
        <v>0</v>
      </c>
      <c r="X216" s="9">
        <f t="shared" si="235"/>
        <v>0</v>
      </c>
      <c r="Y216" s="9">
        <f t="shared" si="235"/>
        <v>0</v>
      </c>
      <c r="Z216" s="9">
        <v>0</v>
      </c>
      <c r="AA216" s="9">
        <v>0</v>
      </c>
      <c r="AB216" s="9">
        <v>0</v>
      </c>
      <c r="AC216" s="9">
        <f t="shared" si="236"/>
        <v>0</v>
      </c>
    </row>
    <row r="217" spans="1:29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ref="I217" si="238">SUM(B217:H217)</f>
        <v>0</v>
      </c>
      <c r="J217" s="11"/>
      <c r="L217" s="30"/>
      <c r="M217" s="30"/>
      <c r="N217" s="30"/>
      <c r="O217" s="30"/>
      <c r="P217" s="30"/>
      <c r="Q217" s="30"/>
      <c r="R217" s="30"/>
      <c r="S217" s="5">
        <f t="shared" ref="S217" si="239">SUM(L217:R217)</f>
        <v>0</v>
      </c>
      <c r="T217" s="11"/>
      <c r="V217" s="9">
        <f t="shared" si="237"/>
        <v>0</v>
      </c>
      <c r="W217" s="9">
        <f t="shared" si="235"/>
        <v>0</v>
      </c>
      <c r="X217" s="9">
        <f t="shared" si="235"/>
        <v>0</v>
      </c>
      <c r="Y217" s="9">
        <f t="shared" si="235"/>
        <v>0</v>
      </c>
      <c r="Z217" s="30"/>
      <c r="AA217" s="30"/>
      <c r="AB217" s="30"/>
      <c r="AC217" s="5">
        <f t="shared" si="236"/>
        <v>0</v>
      </c>
    </row>
    <row r="218" spans="1:29" ht="15" thickBot="1" x14ac:dyDescent="0.4">
      <c r="A218" s="76" t="s">
        <v>168</v>
      </c>
      <c r="B218" s="77">
        <f>B97-B210-B212-B213-B215-B214</f>
        <v>391928.9559692</v>
      </c>
      <c r="C218" s="77">
        <f t="shared" ref="C218:I218" si="240">C97-C210-C212-C213-C215-C214</f>
        <v>-342034.28749999998</v>
      </c>
      <c r="D218" s="77">
        <f t="shared" si="240"/>
        <v>8272.4500000000698</v>
      </c>
      <c r="E218" s="77">
        <f t="shared" si="240"/>
        <v>0</v>
      </c>
      <c r="F218" s="77">
        <f t="shared" si="240"/>
        <v>0</v>
      </c>
      <c r="G218" s="77">
        <f t="shared" si="240"/>
        <v>0</v>
      </c>
      <c r="H218" s="77">
        <f t="shared" si="240"/>
        <v>0</v>
      </c>
      <c r="I218" s="77">
        <f t="shared" si="240"/>
        <v>58167.118469200097</v>
      </c>
      <c r="J218" s="7"/>
      <c r="L218" s="77">
        <f t="shared" ref="L218:S218" si="241">L97-L210-L212-L213-L215-L214</f>
        <v>466592.09133599978</v>
      </c>
      <c r="M218" s="77">
        <f t="shared" si="241"/>
        <v>-435169.65</v>
      </c>
      <c r="N218" s="77">
        <f t="shared" si="241"/>
        <v>32673.850000000093</v>
      </c>
      <c r="O218" s="77">
        <f t="shared" si="241"/>
        <v>0</v>
      </c>
      <c r="P218" s="77">
        <f t="shared" si="241"/>
        <v>0</v>
      </c>
      <c r="Q218" s="77">
        <f t="shared" si="241"/>
        <v>0</v>
      </c>
      <c r="R218" s="77">
        <f t="shared" si="241"/>
        <v>0</v>
      </c>
      <c r="S218" s="77">
        <f t="shared" si="241"/>
        <v>64096.291335999966</v>
      </c>
      <c r="T218" s="7"/>
      <c r="V218" s="77">
        <f t="shared" ref="V218:AC218" si="242">V97-V210-V212-V213-V215-V214</f>
        <v>858521.04730520025</v>
      </c>
      <c r="W218" s="77">
        <f t="shared" si="242"/>
        <v>-777203.9375</v>
      </c>
      <c r="X218" s="77">
        <f t="shared" si="242"/>
        <v>40946.300000000047</v>
      </c>
      <c r="Y218" s="77">
        <f t="shared" si="242"/>
        <v>0</v>
      </c>
      <c r="Z218" s="77">
        <f t="shared" si="242"/>
        <v>0</v>
      </c>
      <c r="AA218" s="77">
        <f t="shared" si="242"/>
        <v>0</v>
      </c>
      <c r="AB218" s="77">
        <f t="shared" si="242"/>
        <v>0</v>
      </c>
      <c r="AC218" s="77">
        <f t="shared" si="242"/>
        <v>122263.40980520286</v>
      </c>
    </row>
    <row r="219" spans="1:29" x14ac:dyDescent="0.35">
      <c r="A219" s="78"/>
      <c r="B219" s="79">
        <f t="shared" ref="B219:I219" si="243">B218/(B97)</f>
        <v>7.6110468731123079E-2</v>
      </c>
      <c r="C219" s="79">
        <f t="shared" si="243"/>
        <v>-1.0693182919509037</v>
      </c>
      <c r="D219" s="79">
        <f t="shared" si="243"/>
        <v>1.4509950536073462E-2</v>
      </c>
      <c r="E219" s="79" t="e">
        <f t="shared" si="243"/>
        <v>#DIV/0!</v>
      </c>
      <c r="F219" s="79" t="e">
        <f t="shared" si="243"/>
        <v>#DIV/0!</v>
      </c>
      <c r="G219" s="79" t="e">
        <f t="shared" si="243"/>
        <v>#DIV/0!</v>
      </c>
      <c r="H219" s="79" t="e">
        <f t="shared" si="243"/>
        <v>#DIV/0!</v>
      </c>
      <c r="I219" s="79">
        <f t="shared" si="243"/>
        <v>9.6311794106146639E-3</v>
      </c>
      <c r="J219" s="7"/>
      <c r="L219" s="79">
        <f t="shared" ref="L219:S219" si="244">L218/(L97)</f>
        <v>4.5733010485347572E-2</v>
      </c>
      <c r="M219" s="79">
        <f t="shared" si="244"/>
        <v>-0.99581155606407323</v>
      </c>
      <c r="N219" s="79">
        <f t="shared" si="244"/>
        <v>2.7567994199844317E-2</v>
      </c>
      <c r="O219" s="79" t="e">
        <f t="shared" si="244"/>
        <v>#DIV/0!</v>
      </c>
      <c r="P219" s="79" t="e">
        <f t="shared" si="244"/>
        <v>#DIV/0!</v>
      </c>
      <c r="Q219" s="79" t="e">
        <f t="shared" si="244"/>
        <v>#DIV/0!</v>
      </c>
      <c r="R219" s="79" t="e">
        <f t="shared" si="244"/>
        <v>#DIV/0!</v>
      </c>
      <c r="S219" s="79">
        <f t="shared" si="244"/>
        <v>5.4205277848757743E-3</v>
      </c>
      <c r="T219" s="7"/>
      <c r="V219" s="79">
        <f t="shared" ref="V219:AC219" si="245">V218/(V97)</f>
        <v>5.5922430898258338E-2</v>
      </c>
      <c r="W219" s="79">
        <f t="shared" si="245"/>
        <v>-1.0268766796324826</v>
      </c>
      <c r="X219" s="79">
        <f t="shared" si="245"/>
        <v>2.3326810920850843E-2</v>
      </c>
      <c r="Y219" s="79" t="e">
        <f t="shared" si="245"/>
        <v>#DIV/0!</v>
      </c>
      <c r="Z219" s="79" t="e">
        <f t="shared" si="245"/>
        <v>#DIV/0!</v>
      </c>
      <c r="AA219" s="79" t="e">
        <f t="shared" si="245"/>
        <v>#DIV/0!</v>
      </c>
      <c r="AB219" s="79" t="e">
        <f t="shared" si="245"/>
        <v>#DIV/0!</v>
      </c>
      <c r="AC219" s="79">
        <f t="shared" si="245"/>
        <v>6.8440492086514699E-3</v>
      </c>
    </row>
    <row r="220" spans="1:29" x14ac:dyDescent="0.35">
      <c r="B220" s="80"/>
      <c r="C220" s="80"/>
      <c r="D220" s="80"/>
      <c r="E220" s="80"/>
      <c r="F220" s="80"/>
      <c r="G220" s="80"/>
      <c r="H220" s="80"/>
      <c r="I220" s="80"/>
      <c r="L220" s="80"/>
      <c r="M220" s="80"/>
      <c r="N220" s="80"/>
      <c r="O220" s="80"/>
      <c r="P220" s="80"/>
      <c r="Q220" s="80"/>
      <c r="R220" s="80"/>
      <c r="S220" s="80"/>
      <c r="V220" s="80"/>
      <c r="W220" s="80"/>
      <c r="X220" s="80"/>
      <c r="Y220" s="80"/>
      <c r="Z220" s="80"/>
      <c r="AA220" s="80"/>
      <c r="AB220" s="80"/>
      <c r="AC220" s="80"/>
    </row>
    <row r="221" spans="1:29" x14ac:dyDescent="0.35">
      <c r="A221" s="1" t="str">
        <f t="shared" ref="A221:I221" si="246">A1</f>
        <v>Mater Academy of Northern Nevada (MANN) - FY27</v>
      </c>
      <c r="B221" s="1" t="str">
        <f t="shared" si="246"/>
        <v>Operating</v>
      </c>
      <c r="C221" s="1" t="str">
        <f t="shared" si="246"/>
        <v>SPED</v>
      </c>
      <c r="D221" s="1" t="str">
        <f t="shared" si="246"/>
        <v>NSLP</v>
      </c>
      <c r="E221" s="1" t="str">
        <f t="shared" si="246"/>
        <v>Other</v>
      </c>
      <c r="F221" s="1" t="str">
        <f t="shared" si="246"/>
        <v>Title I</v>
      </c>
      <c r="G221" s="1" t="str">
        <f t="shared" si="246"/>
        <v>Title II</v>
      </c>
      <c r="H221" s="1" t="str">
        <f t="shared" si="246"/>
        <v>Title III</v>
      </c>
      <c r="I221" s="1" t="str">
        <f t="shared" si="246"/>
        <v>B&amp;G</v>
      </c>
      <c r="J221" s="2"/>
      <c r="L221" s="1" t="str">
        <f t="shared" ref="L221:S221" si="247">L1</f>
        <v>Operating</v>
      </c>
      <c r="M221" s="1" t="str">
        <f t="shared" si="247"/>
        <v>SPED</v>
      </c>
      <c r="N221" s="1" t="str">
        <f t="shared" si="247"/>
        <v>NSLP</v>
      </c>
      <c r="O221" s="1" t="str">
        <f t="shared" si="247"/>
        <v>Other</v>
      </c>
      <c r="P221" s="1" t="str">
        <f t="shared" si="247"/>
        <v>Title I</v>
      </c>
      <c r="Q221" s="1" t="str">
        <f t="shared" si="247"/>
        <v>Title II</v>
      </c>
      <c r="R221" s="1" t="str">
        <f t="shared" si="247"/>
        <v>Title III</v>
      </c>
      <c r="S221" s="1" t="str">
        <f t="shared" si="247"/>
        <v>New</v>
      </c>
      <c r="T221" s="2"/>
      <c r="V221" s="1" t="str">
        <f t="shared" ref="V221:AC221" si="248">V1</f>
        <v>Operating</v>
      </c>
      <c r="W221" s="1" t="str">
        <f t="shared" si="248"/>
        <v>SPED</v>
      </c>
      <c r="X221" s="1" t="str">
        <f t="shared" si="248"/>
        <v>NSLP</v>
      </c>
      <c r="Y221" s="1" t="str">
        <f t="shared" si="248"/>
        <v>Other</v>
      </c>
      <c r="Z221" s="1" t="str">
        <f t="shared" si="248"/>
        <v>Title I</v>
      </c>
      <c r="AA221" s="1" t="str">
        <f t="shared" si="248"/>
        <v>Title II</v>
      </c>
      <c r="AB221" s="1" t="str">
        <f t="shared" si="248"/>
        <v>Title III</v>
      </c>
      <c r="AC221" s="1" t="str">
        <f t="shared" si="248"/>
        <v>MANN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zoomScale="75" zoomScaleNormal="75" workbookViewId="0">
      <pane xSplit="1" topLeftCell="B1" activePane="topRight" state="frozen"/>
      <selection activeCell="C185" sqref="C185"/>
      <selection pane="topRight" activeCell="B4" sqref="B4:T216"/>
    </sheetView>
  </sheetViews>
  <sheetFormatPr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  <col min="12" max="15" width="15.6328125" style="81" customWidth="1"/>
    <col min="16" max="18" width="15.6328125" style="81" hidden="1" customWidth="1"/>
    <col min="19" max="19" width="15.6328125" style="81" customWidth="1"/>
    <col min="20" max="20" width="46" style="54" customWidth="1"/>
    <col min="22" max="25" width="15.6328125" style="81" customWidth="1"/>
    <col min="26" max="28" width="15.6328125" style="81" hidden="1" customWidth="1"/>
    <col min="29" max="29" width="15.6328125" style="81" customWidth="1"/>
  </cols>
  <sheetData>
    <row r="1" spans="1:29" x14ac:dyDescent="0.35">
      <c r="A1" s="1" t="s">
        <v>354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325</v>
      </c>
      <c r="J1" s="2"/>
      <c r="L1" s="1" t="s">
        <v>0</v>
      </c>
      <c r="M1" s="1" t="s">
        <v>1</v>
      </c>
      <c r="N1" s="1" t="s">
        <v>2</v>
      </c>
      <c r="O1" s="1" t="s">
        <v>277</v>
      </c>
      <c r="P1" s="1" t="s">
        <v>79</v>
      </c>
      <c r="Q1" s="1" t="s">
        <v>80</v>
      </c>
      <c r="R1" s="1" t="s">
        <v>81</v>
      </c>
      <c r="S1" s="1" t="s">
        <v>326</v>
      </c>
      <c r="T1" s="2"/>
      <c r="V1" s="1" t="s">
        <v>0</v>
      </c>
      <c r="W1" s="1" t="s">
        <v>1</v>
      </c>
      <c r="X1" s="1" t="s">
        <v>2</v>
      </c>
      <c r="Y1" s="1" t="s">
        <v>277</v>
      </c>
      <c r="Z1" s="1" t="s">
        <v>79</v>
      </c>
      <c r="AA1" s="1" t="s">
        <v>80</v>
      </c>
      <c r="AB1" s="1" t="s">
        <v>81</v>
      </c>
      <c r="AC1" s="1" t="s">
        <v>283</v>
      </c>
    </row>
    <row r="2" spans="1:29" x14ac:dyDescent="0.35">
      <c r="A2" s="4" t="s">
        <v>3</v>
      </c>
      <c r="B2" s="5">
        <v>9840</v>
      </c>
      <c r="C2" s="5"/>
      <c r="D2" s="5"/>
      <c r="E2" s="5"/>
      <c r="F2" s="5"/>
      <c r="G2" s="5"/>
      <c r="H2" s="5"/>
      <c r="I2" s="5">
        <f>SUM(B2:H2)</f>
        <v>9840</v>
      </c>
      <c r="J2" s="6"/>
      <c r="L2" s="5">
        <f>B2</f>
        <v>9840</v>
      </c>
      <c r="M2" s="5"/>
      <c r="N2" s="5"/>
      <c r="O2" s="5"/>
      <c r="P2" s="5"/>
      <c r="Q2" s="5"/>
      <c r="R2" s="5"/>
      <c r="S2" s="5">
        <f>SUM(L2:R2)</f>
        <v>9840</v>
      </c>
      <c r="T2" s="6"/>
      <c r="V2" s="5">
        <f>L2</f>
        <v>9840</v>
      </c>
      <c r="W2" s="5"/>
      <c r="X2" s="5"/>
      <c r="Y2" s="5"/>
      <c r="Z2" s="5"/>
      <c r="AA2" s="5"/>
      <c r="AB2" s="5"/>
      <c r="AC2" s="5">
        <f>SUM(V2:AB2)</f>
        <v>9840</v>
      </c>
    </row>
    <row r="3" spans="1:29" x14ac:dyDescent="0.35">
      <c r="A3" s="8" t="s">
        <v>4</v>
      </c>
      <c r="B3" s="9">
        <f t="shared" ref="B3" si="0">B4+B5+B6+B7+B8+B9+B10+B11+B12+B13+B14+B15+B16</f>
        <v>465</v>
      </c>
      <c r="C3" s="9"/>
      <c r="D3" s="9"/>
      <c r="E3" s="9"/>
      <c r="F3" s="9"/>
      <c r="G3" s="9"/>
      <c r="H3" s="9"/>
      <c r="I3" s="9">
        <f t="shared" ref="I3:I16" si="1">SUM(B3:H3)</f>
        <v>465</v>
      </c>
      <c r="J3" s="6"/>
      <c r="L3" s="9">
        <f t="shared" ref="L3" si="2">L4+L5+L6+L7+L8+L9+L10+L11+L12+L13+L14+L15+L16</f>
        <v>1145</v>
      </c>
      <c r="M3" s="9"/>
      <c r="N3" s="9"/>
      <c r="O3" s="9"/>
      <c r="P3" s="9"/>
      <c r="Q3" s="9"/>
      <c r="R3" s="9"/>
      <c r="S3" s="9">
        <f t="shared" ref="S3:S16" si="3">SUM(L3:R3)</f>
        <v>1145</v>
      </c>
      <c r="T3" s="6"/>
      <c r="V3" s="9">
        <f t="shared" ref="V3" si="4">V4+V5+V6+V7+V8+V9+V10+V11+V12+V13+V14+V15+V16</f>
        <v>1610</v>
      </c>
      <c r="W3" s="9"/>
      <c r="X3" s="9"/>
      <c r="Y3" s="9"/>
      <c r="Z3" s="9"/>
      <c r="AA3" s="9"/>
      <c r="AB3" s="9"/>
      <c r="AC3" s="9">
        <f t="shared" ref="AC3:AC16" si="5">SUM(V3:AB3)</f>
        <v>1610</v>
      </c>
    </row>
    <row r="4" spans="1:29" x14ac:dyDescent="0.35">
      <c r="A4" s="103" t="s">
        <v>5</v>
      </c>
      <c r="B4" s="5">
        <v>75</v>
      </c>
      <c r="C4" s="10"/>
      <c r="D4" s="10"/>
      <c r="E4" s="10"/>
      <c r="F4" s="10"/>
      <c r="G4" s="10"/>
      <c r="H4" s="10"/>
      <c r="I4" s="10">
        <f t="shared" si="1"/>
        <v>75</v>
      </c>
      <c r="J4" s="116">
        <v>3</v>
      </c>
      <c r="L4" s="5">
        <f>25*4</f>
        <v>100</v>
      </c>
      <c r="M4" s="10"/>
      <c r="N4" s="10"/>
      <c r="O4" s="10"/>
      <c r="P4" s="10"/>
      <c r="Q4" s="10"/>
      <c r="R4" s="10"/>
      <c r="S4" s="10">
        <f t="shared" si="3"/>
        <v>100</v>
      </c>
      <c r="T4" s="116">
        <v>4</v>
      </c>
      <c r="V4" s="5">
        <f>B4+L4</f>
        <v>175</v>
      </c>
      <c r="W4" s="10"/>
      <c r="X4" s="10"/>
      <c r="Y4" s="10"/>
      <c r="Z4" s="10"/>
      <c r="AA4" s="10"/>
      <c r="AB4" s="10"/>
      <c r="AC4" s="10">
        <f t="shared" si="5"/>
        <v>175</v>
      </c>
    </row>
    <row r="5" spans="1:29" x14ac:dyDescent="0.35">
      <c r="A5" s="8" t="s">
        <v>6</v>
      </c>
      <c r="B5" s="5">
        <v>78</v>
      </c>
      <c r="C5" s="10"/>
      <c r="D5" s="10"/>
      <c r="E5" s="10"/>
      <c r="F5" s="10"/>
      <c r="G5" s="10"/>
      <c r="H5" s="10"/>
      <c r="I5" s="10">
        <f t="shared" si="1"/>
        <v>78</v>
      </c>
      <c r="J5" s="116">
        <v>3</v>
      </c>
      <c r="L5" s="5">
        <f t="shared" ref="L5:L7" si="6">26*4</f>
        <v>104</v>
      </c>
      <c r="M5" s="10"/>
      <c r="N5" s="10"/>
      <c r="O5" s="10"/>
      <c r="P5" s="10"/>
      <c r="Q5" s="10"/>
      <c r="R5" s="10"/>
      <c r="S5" s="10">
        <f t="shared" si="3"/>
        <v>104</v>
      </c>
      <c r="T5" s="116">
        <v>4</v>
      </c>
      <c r="V5" s="5">
        <f t="shared" ref="V5:V16" si="7">B5+L5</f>
        <v>182</v>
      </c>
      <c r="W5" s="10"/>
      <c r="X5" s="10"/>
      <c r="Y5" s="10"/>
      <c r="Z5" s="10"/>
      <c r="AA5" s="10"/>
      <c r="AB5" s="10"/>
      <c r="AC5" s="10">
        <f t="shared" si="5"/>
        <v>182</v>
      </c>
    </row>
    <row r="6" spans="1:29" x14ac:dyDescent="0.35">
      <c r="A6" s="8" t="s">
        <v>7</v>
      </c>
      <c r="B6" s="5">
        <v>78</v>
      </c>
      <c r="C6" s="10"/>
      <c r="D6" s="10"/>
      <c r="E6" s="10"/>
      <c r="F6" s="10"/>
      <c r="G6" s="10"/>
      <c r="H6" s="10"/>
      <c r="I6" s="10">
        <f t="shared" si="1"/>
        <v>78</v>
      </c>
      <c r="J6" s="116">
        <v>3</v>
      </c>
      <c r="L6" s="5">
        <f t="shared" si="6"/>
        <v>104</v>
      </c>
      <c r="M6" s="10"/>
      <c r="N6" s="10"/>
      <c r="O6" s="10"/>
      <c r="P6" s="10"/>
      <c r="Q6" s="10"/>
      <c r="R6" s="10"/>
      <c r="S6" s="10">
        <f t="shared" si="3"/>
        <v>104</v>
      </c>
      <c r="T6" s="116">
        <v>4</v>
      </c>
      <c r="V6" s="5">
        <f t="shared" si="7"/>
        <v>182</v>
      </c>
      <c r="W6" s="10"/>
      <c r="X6" s="10"/>
      <c r="Y6" s="10"/>
      <c r="Z6" s="10"/>
      <c r="AA6" s="10"/>
      <c r="AB6" s="10"/>
      <c r="AC6" s="10">
        <f t="shared" si="5"/>
        <v>182</v>
      </c>
    </row>
    <row r="7" spans="1:29" x14ac:dyDescent="0.35">
      <c r="A7" s="12" t="s">
        <v>8</v>
      </c>
      <c r="B7" s="5">
        <v>78</v>
      </c>
      <c r="C7" s="10"/>
      <c r="D7" s="10"/>
      <c r="E7" s="10"/>
      <c r="F7" s="10"/>
      <c r="G7" s="10"/>
      <c r="H7" s="10"/>
      <c r="I7" s="10">
        <f t="shared" si="1"/>
        <v>78</v>
      </c>
      <c r="J7" s="116">
        <v>3</v>
      </c>
      <c r="L7" s="5">
        <f t="shared" si="6"/>
        <v>104</v>
      </c>
      <c r="M7" s="10"/>
      <c r="N7" s="10"/>
      <c r="O7" s="10"/>
      <c r="P7" s="10"/>
      <c r="Q7" s="10"/>
      <c r="R7" s="10"/>
      <c r="S7" s="10">
        <f t="shared" si="3"/>
        <v>104</v>
      </c>
      <c r="T7" s="116">
        <v>4</v>
      </c>
      <c r="V7" s="5">
        <f t="shared" si="7"/>
        <v>182</v>
      </c>
      <c r="W7" s="10"/>
      <c r="X7" s="10"/>
      <c r="Y7" s="10"/>
      <c r="Z7" s="10"/>
      <c r="AA7" s="10"/>
      <c r="AB7" s="10"/>
      <c r="AC7" s="10">
        <f t="shared" si="5"/>
        <v>182</v>
      </c>
    </row>
    <row r="8" spans="1:29" x14ac:dyDescent="0.35">
      <c r="A8" s="12" t="s">
        <v>9</v>
      </c>
      <c r="B8" s="5">
        <v>78</v>
      </c>
      <c r="C8" s="10"/>
      <c r="D8" s="10"/>
      <c r="E8" s="10"/>
      <c r="F8" s="10"/>
      <c r="G8" s="10"/>
      <c r="H8" s="10"/>
      <c r="I8" s="10">
        <f t="shared" si="1"/>
        <v>78</v>
      </c>
      <c r="J8" s="116">
        <v>3</v>
      </c>
      <c r="L8" s="5">
        <f>26*4</f>
        <v>104</v>
      </c>
      <c r="M8" s="10"/>
      <c r="N8" s="10"/>
      <c r="O8" s="10"/>
      <c r="P8" s="10"/>
      <c r="Q8" s="10"/>
      <c r="R8" s="10"/>
      <c r="S8" s="10">
        <f t="shared" si="3"/>
        <v>104</v>
      </c>
      <c r="T8" s="116">
        <v>4</v>
      </c>
      <c r="V8" s="5">
        <f t="shared" si="7"/>
        <v>182</v>
      </c>
      <c r="W8" s="10"/>
      <c r="X8" s="10"/>
      <c r="Y8" s="10"/>
      <c r="Z8" s="10"/>
      <c r="AA8" s="10"/>
      <c r="AB8" s="10"/>
      <c r="AC8" s="10">
        <f t="shared" si="5"/>
        <v>182</v>
      </c>
    </row>
    <row r="9" spans="1:29" x14ac:dyDescent="0.35">
      <c r="A9" s="12" t="s">
        <v>10</v>
      </c>
      <c r="B9" s="5">
        <v>78</v>
      </c>
      <c r="C9" s="10"/>
      <c r="D9" s="10"/>
      <c r="E9" s="10"/>
      <c r="F9" s="10"/>
      <c r="G9" s="10"/>
      <c r="H9" s="10"/>
      <c r="I9" s="10">
        <f t="shared" si="1"/>
        <v>78</v>
      </c>
      <c r="J9" s="116">
        <v>3</v>
      </c>
      <c r="L9" s="5">
        <v>78</v>
      </c>
      <c r="M9" s="10"/>
      <c r="N9" s="10"/>
      <c r="O9" s="10"/>
      <c r="P9" s="10"/>
      <c r="Q9" s="10"/>
      <c r="R9" s="10"/>
      <c r="S9" s="10">
        <f t="shared" si="3"/>
        <v>78</v>
      </c>
      <c r="T9" s="116">
        <v>3</v>
      </c>
      <c r="V9" s="5">
        <f t="shared" si="7"/>
        <v>156</v>
      </c>
      <c r="W9" s="10"/>
      <c r="X9" s="10"/>
      <c r="Y9" s="10"/>
      <c r="Z9" s="10"/>
      <c r="AA9" s="10"/>
      <c r="AB9" s="10"/>
      <c r="AC9" s="10">
        <f t="shared" si="5"/>
        <v>156</v>
      </c>
    </row>
    <row r="10" spans="1:29" x14ac:dyDescent="0.35">
      <c r="A10" s="12" t="s">
        <v>11</v>
      </c>
      <c r="B10" s="5">
        <v>0</v>
      </c>
      <c r="C10" s="5"/>
      <c r="D10" s="5"/>
      <c r="E10" s="5"/>
      <c r="F10" s="5"/>
      <c r="G10" s="5"/>
      <c r="H10" s="5"/>
      <c r="I10" s="10">
        <f t="shared" si="1"/>
        <v>0</v>
      </c>
      <c r="J10" s="116">
        <v>0</v>
      </c>
      <c r="L10" s="5">
        <v>150</v>
      </c>
      <c r="M10" s="5"/>
      <c r="N10" s="5"/>
      <c r="O10" s="5"/>
      <c r="P10" s="5"/>
      <c r="Q10" s="5"/>
      <c r="R10" s="5"/>
      <c r="S10" s="10">
        <f t="shared" si="3"/>
        <v>150</v>
      </c>
      <c r="T10" s="116">
        <v>5</v>
      </c>
      <c r="V10" s="5">
        <f t="shared" si="7"/>
        <v>150</v>
      </c>
      <c r="W10" s="5"/>
      <c r="X10" s="5"/>
      <c r="Y10" s="5"/>
      <c r="Z10" s="5"/>
      <c r="AA10" s="5"/>
      <c r="AB10" s="5"/>
      <c r="AC10" s="10">
        <f t="shared" si="5"/>
        <v>150</v>
      </c>
    </row>
    <row r="11" spans="1:29" x14ac:dyDescent="0.35">
      <c r="A11" s="12" t="s">
        <v>12</v>
      </c>
      <c r="B11" s="5">
        <v>0</v>
      </c>
      <c r="C11" s="5"/>
      <c r="D11" s="5"/>
      <c r="E11" s="5"/>
      <c r="F11" s="5"/>
      <c r="G11" s="5"/>
      <c r="H11" s="5"/>
      <c r="I11" s="10">
        <f t="shared" si="1"/>
        <v>0</v>
      </c>
      <c r="J11" s="116">
        <v>0</v>
      </c>
      <c r="L11" s="5">
        <f>31*4</f>
        <v>124</v>
      </c>
      <c r="M11" s="5"/>
      <c r="N11" s="5"/>
      <c r="O11" s="5"/>
      <c r="P11" s="5"/>
      <c r="Q11" s="5"/>
      <c r="R11" s="5"/>
      <c r="S11" s="10">
        <f t="shared" si="3"/>
        <v>124</v>
      </c>
      <c r="T11" s="116">
        <v>4</v>
      </c>
      <c r="V11" s="5">
        <f t="shared" si="7"/>
        <v>124</v>
      </c>
      <c r="W11" s="5"/>
      <c r="X11" s="5"/>
      <c r="Y11" s="5"/>
      <c r="Z11" s="5"/>
      <c r="AA11" s="5"/>
      <c r="AB11" s="5"/>
      <c r="AC11" s="10">
        <f t="shared" si="5"/>
        <v>124</v>
      </c>
    </row>
    <row r="12" spans="1:29" x14ac:dyDescent="0.35">
      <c r="A12" s="12" t="s">
        <v>13</v>
      </c>
      <c r="B12" s="5">
        <v>0</v>
      </c>
      <c r="C12" s="5"/>
      <c r="D12" s="5"/>
      <c r="E12" s="5"/>
      <c r="F12" s="5"/>
      <c r="G12" s="5"/>
      <c r="H12" s="5"/>
      <c r="I12" s="10">
        <f t="shared" si="1"/>
        <v>0</v>
      </c>
      <c r="J12" s="116">
        <v>0</v>
      </c>
      <c r="L12" s="5">
        <v>124</v>
      </c>
      <c r="M12" s="5"/>
      <c r="N12" s="5"/>
      <c r="O12" s="5"/>
      <c r="P12" s="5"/>
      <c r="Q12" s="5"/>
      <c r="R12" s="5"/>
      <c r="S12" s="10">
        <f t="shared" si="3"/>
        <v>124</v>
      </c>
      <c r="T12" s="116">
        <v>4</v>
      </c>
      <c r="V12" s="5">
        <f t="shared" si="7"/>
        <v>124</v>
      </c>
      <c r="W12" s="5"/>
      <c r="X12" s="5"/>
      <c r="Y12" s="5"/>
      <c r="Z12" s="5"/>
      <c r="AA12" s="5"/>
      <c r="AB12" s="5"/>
      <c r="AC12" s="10">
        <f t="shared" si="5"/>
        <v>124</v>
      </c>
    </row>
    <row r="13" spans="1:29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v>0</v>
      </c>
      <c r="L13" s="5">
        <v>93</v>
      </c>
      <c r="M13" s="5"/>
      <c r="N13" s="5"/>
      <c r="O13" s="5"/>
      <c r="P13" s="5"/>
      <c r="Q13" s="5"/>
      <c r="R13" s="5"/>
      <c r="S13" s="10">
        <f t="shared" si="3"/>
        <v>93</v>
      </c>
      <c r="T13" s="116">
        <v>3</v>
      </c>
      <c r="V13" s="5">
        <f t="shared" si="7"/>
        <v>93</v>
      </c>
      <c r="W13" s="5"/>
      <c r="X13" s="5"/>
      <c r="Y13" s="5"/>
      <c r="Z13" s="5"/>
      <c r="AA13" s="5"/>
      <c r="AB13" s="5"/>
      <c r="AC13" s="10">
        <f t="shared" si="5"/>
        <v>93</v>
      </c>
    </row>
    <row r="14" spans="1:29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8">B14/30</f>
        <v>0</v>
      </c>
      <c r="L14" s="5">
        <v>60</v>
      </c>
      <c r="M14" s="5"/>
      <c r="N14" s="5"/>
      <c r="O14" s="5"/>
      <c r="P14" s="5"/>
      <c r="Q14" s="5"/>
      <c r="R14" s="5"/>
      <c r="S14" s="10">
        <f t="shared" si="3"/>
        <v>60</v>
      </c>
      <c r="T14" s="116">
        <v>2</v>
      </c>
      <c r="V14" s="5">
        <f t="shared" si="7"/>
        <v>60</v>
      </c>
      <c r="W14" s="5"/>
      <c r="X14" s="5"/>
      <c r="Y14" s="5"/>
      <c r="Z14" s="5"/>
      <c r="AA14" s="5"/>
      <c r="AB14" s="5"/>
      <c r="AC14" s="10">
        <f t="shared" si="5"/>
        <v>60</v>
      </c>
    </row>
    <row r="15" spans="1:29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8"/>
        <v>0</v>
      </c>
      <c r="L15" s="5">
        <v>0</v>
      </c>
      <c r="M15" s="5"/>
      <c r="N15" s="5"/>
      <c r="O15" s="5"/>
      <c r="P15" s="5"/>
      <c r="Q15" s="5"/>
      <c r="R15" s="5"/>
      <c r="S15" s="10">
        <f t="shared" si="3"/>
        <v>0</v>
      </c>
      <c r="T15" s="116">
        <v>0</v>
      </c>
      <c r="V15" s="5">
        <f t="shared" si="7"/>
        <v>0</v>
      </c>
      <c r="W15" s="5"/>
      <c r="X15" s="5"/>
      <c r="Y15" s="5"/>
      <c r="Z15" s="5"/>
      <c r="AA15" s="5"/>
      <c r="AB15" s="5"/>
      <c r="AC15" s="10">
        <f t="shared" si="5"/>
        <v>0</v>
      </c>
    </row>
    <row r="16" spans="1:29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  <c r="L16" s="5">
        <v>0</v>
      </c>
      <c r="M16" s="5"/>
      <c r="N16" s="5"/>
      <c r="O16" s="5"/>
      <c r="P16" s="5"/>
      <c r="Q16" s="5"/>
      <c r="R16" s="5"/>
      <c r="S16" s="10">
        <f t="shared" si="3"/>
        <v>0</v>
      </c>
      <c r="T16" s="116">
        <v>0</v>
      </c>
      <c r="V16" s="5">
        <f t="shared" si="7"/>
        <v>0</v>
      </c>
      <c r="W16" s="5"/>
      <c r="X16" s="5"/>
      <c r="Y16" s="5"/>
      <c r="Z16" s="5"/>
      <c r="AA16" s="5"/>
      <c r="AB16" s="5"/>
      <c r="AC16" s="10">
        <f t="shared" si="5"/>
        <v>0</v>
      </c>
    </row>
    <row r="17" spans="1:29" x14ac:dyDescent="0.35">
      <c r="A17" s="104" t="s">
        <v>4</v>
      </c>
      <c r="B17" s="9">
        <f t="shared" ref="B17:H17" si="9">SUM(B4:B16)</f>
        <v>465</v>
      </c>
      <c r="C17" s="9">
        <f t="shared" si="9"/>
        <v>0</v>
      </c>
      <c r="D17" s="9">
        <f t="shared" si="9"/>
        <v>0</v>
      </c>
      <c r="E17" s="9"/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>SUM(I4:I16)</f>
        <v>465</v>
      </c>
      <c r="J17" s="117">
        <f>SUM(J4:J16)</f>
        <v>18</v>
      </c>
      <c r="L17" s="9">
        <f t="shared" ref="L17:N17" si="10">SUM(L4:L16)</f>
        <v>1145</v>
      </c>
      <c r="M17" s="9">
        <f t="shared" si="10"/>
        <v>0</v>
      </c>
      <c r="N17" s="9">
        <f t="shared" si="10"/>
        <v>0</v>
      </c>
      <c r="O17" s="9"/>
      <c r="P17" s="9">
        <f t="shared" ref="P17:R17" si="11">SUM(P4:P16)</f>
        <v>0</v>
      </c>
      <c r="Q17" s="9">
        <f t="shared" si="11"/>
        <v>0</v>
      </c>
      <c r="R17" s="9">
        <f t="shared" si="11"/>
        <v>0</v>
      </c>
      <c r="S17" s="9">
        <f>SUM(S4:S16)</f>
        <v>1145</v>
      </c>
      <c r="T17" s="117">
        <f>SUM(T4:T16)</f>
        <v>41</v>
      </c>
      <c r="V17" s="9">
        <f t="shared" ref="V17:X17" si="12">SUM(V4:V16)</f>
        <v>1610</v>
      </c>
      <c r="W17" s="9">
        <f t="shared" si="12"/>
        <v>0</v>
      </c>
      <c r="X17" s="9">
        <f t="shared" si="12"/>
        <v>0</v>
      </c>
      <c r="Y17" s="9"/>
      <c r="Z17" s="9">
        <f t="shared" ref="Z17:AB17" si="13">SUM(Z4:Z16)</f>
        <v>0</v>
      </c>
      <c r="AA17" s="9">
        <f t="shared" si="13"/>
        <v>0</v>
      </c>
      <c r="AB17" s="9">
        <f t="shared" si="13"/>
        <v>0</v>
      </c>
      <c r="AC17" s="9">
        <f>SUM(AC4:AC16)</f>
        <v>1610</v>
      </c>
    </row>
    <row r="18" spans="1:29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  <c r="L18" s="5"/>
      <c r="M18" s="13"/>
      <c r="N18" s="13"/>
      <c r="O18" s="13"/>
      <c r="P18" s="13"/>
      <c r="Q18" s="13"/>
      <c r="R18" s="13"/>
      <c r="S18" s="13"/>
      <c r="T18" s="7"/>
      <c r="V18" s="5"/>
      <c r="W18" s="13"/>
      <c r="X18" s="13"/>
      <c r="Y18" s="13"/>
      <c r="Z18" s="13"/>
      <c r="AA18" s="13"/>
      <c r="AB18" s="13"/>
      <c r="AC18" s="13"/>
    </row>
    <row r="19" spans="1:29" x14ac:dyDescent="0.35">
      <c r="A19" s="14" t="s">
        <v>18</v>
      </c>
      <c r="B19" s="15" t="str">
        <f t="shared" ref="B19:I19" si="14">B1</f>
        <v>Operating</v>
      </c>
      <c r="C19" s="15" t="str">
        <f t="shared" si="14"/>
        <v>SPED</v>
      </c>
      <c r="D19" s="15" t="str">
        <f t="shared" si="14"/>
        <v>NSLP</v>
      </c>
      <c r="E19" s="15" t="str">
        <f t="shared" si="14"/>
        <v>Other</v>
      </c>
      <c r="F19" s="15" t="str">
        <f t="shared" si="14"/>
        <v>Title I</v>
      </c>
      <c r="G19" s="15" t="str">
        <f t="shared" si="14"/>
        <v>Title II</v>
      </c>
      <c r="H19" s="15" t="str">
        <f t="shared" si="14"/>
        <v>Title III</v>
      </c>
      <c r="I19" s="15" t="str">
        <f t="shared" si="14"/>
        <v>B&amp;G</v>
      </c>
      <c r="J19" s="16"/>
      <c r="L19" s="15" t="str">
        <f t="shared" ref="L19:S19" si="15">L1</f>
        <v>Operating</v>
      </c>
      <c r="M19" s="15" t="str">
        <f t="shared" si="15"/>
        <v>SPED</v>
      </c>
      <c r="N19" s="15" t="str">
        <f t="shared" si="15"/>
        <v>NSLP</v>
      </c>
      <c r="O19" s="15" t="str">
        <f t="shared" si="15"/>
        <v>Other</v>
      </c>
      <c r="P19" s="15" t="str">
        <f t="shared" si="15"/>
        <v>Title I</v>
      </c>
      <c r="Q19" s="15" t="str">
        <f t="shared" si="15"/>
        <v>Title II</v>
      </c>
      <c r="R19" s="15" t="str">
        <f t="shared" si="15"/>
        <v>Title III</v>
      </c>
      <c r="S19" s="15" t="str">
        <f t="shared" si="15"/>
        <v>New</v>
      </c>
      <c r="T19" s="16"/>
      <c r="V19" s="15" t="str">
        <f t="shared" ref="V19:AC19" si="16">V1</f>
        <v>Operating</v>
      </c>
      <c r="W19" s="15" t="str">
        <f t="shared" si="16"/>
        <v>SPED</v>
      </c>
      <c r="X19" s="15" t="str">
        <f t="shared" si="16"/>
        <v>NSLP</v>
      </c>
      <c r="Y19" s="15" t="str">
        <f t="shared" si="16"/>
        <v>Other</v>
      </c>
      <c r="Z19" s="15" t="str">
        <f t="shared" si="16"/>
        <v>Title I</v>
      </c>
      <c r="AA19" s="15" t="str">
        <f t="shared" si="16"/>
        <v>Title II</v>
      </c>
      <c r="AB19" s="15" t="str">
        <f t="shared" si="16"/>
        <v>Title III</v>
      </c>
      <c r="AC19" s="15" t="str">
        <f t="shared" si="16"/>
        <v>MANN</v>
      </c>
    </row>
    <row r="20" spans="1:29" x14ac:dyDescent="0.35">
      <c r="A20" s="12" t="s">
        <v>19</v>
      </c>
      <c r="B20" s="5"/>
      <c r="C20" s="5">
        <v>56</v>
      </c>
      <c r="D20" s="5"/>
      <c r="E20" s="5"/>
      <c r="F20" s="5"/>
      <c r="G20" s="5"/>
      <c r="H20" s="5"/>
      <c r="I20" s="5">
        <f>SUM(B20:H20)</f>
        <v>56</v>
      </c>
      <c r="J20" s="19">
        <v>0.12</v>
      </c>
      <c r="L20" s="5"/>
      <c r="M20" s="5">
        <v>113</v>
      </c>
      <c r="N20" s="5"/>
      <c r="O20" s="5"/>
      <c r="P20" s="5"/>
      <c r="Q20" s="5"/>
      <c r="R20" s="5"/>
      <c r="S20" s="5">
        <f>SUM(L20:R20)</f>
        <v>113</v>
      </c>
      <c r="T20" s="17" t="s">
        <v>20</v>
      </c>
      <c r="V20" s="5">
        <f>B20+L20</f>
        <v>0</v>
      </c>
      <c r="W20" s="5">
        <f t="shared" ref="W20:Y24" si="17">C20+M20</f>
        <v>169</v>
      </c>
      <c r="X20" s="5">
        <f t="shared" si="17"/>
        <v>0</v>
      </c>
      <c r="Y20" s="5">
        <f t="shared" si="17"/>
        <v>0</v>
      </c>
      <c r="Z20" s="5"/>
      <c r="AA20" s="5"/>
      <c r="AB20" s="5"/>
      <c r="AC20" s="5">
        <f>SUM(V20:AB20)</f>
        <v>169</v>
      </c>
    </row>
    <row r="21" spans="1:29" x14ac:dyDescent="0.35">
      <c r="A21" s="12" t="s">
        <v>21</v>
      </c>
      <c r="B21" s="5">
        <v>144</v>
      </c>
      <c r="C21" s="5"/>
      <c r="D21" s="5"/>
      <c r="E21" s="5"/>
      <c r="F21" s="5"/>
      <c r="G21" s="5"/>
      <c r="H21" s="5"/>
      <c r="I21" s="5">
        <f>SUM(B21:H21)</f>
        <v>144</v>
      </c>
      <c r="J21" s="19">
        <v>0.31</v>
      </c>
      <c r="L21" s="5">
        <v>292</v>
      </c>
      <c r="M21" s="5"/>
      <c r="N21" s="5"/>
      <c r="O21" s="5"/>
      <c r="P21" s="5"/>
      <c r="Q21" s="5"/>
      <c r="R21" s="5"/>
      <c r="S21" s="5">
        <f>SUM(L21:R21)</f>
        <v>292</v>
      </c>
      <c r="T21" s="17"/>
      <c r="V21" s="5">
        <f t="shared" ref="V21:V24" si="18">B21+L21</f>
        <v>436</v>
      </c>
      <c r="W21" s="5">
        <f t="shared" si="17"/>
        <v>0</v>
      </c>
      <c r="X21" s="5">
        <f t="shared" si="17"/>
        <v>0</v>
      </c>
      <c r="Y21" s="5">
        <f t="shared" si="17"/>
        <v>0</v>
      </c>
      <c r="Z21" s="5"/>
      <c r="AA21" s="5"/>
      <c r="AB21" s="5"/>
      <c r="AC21" s="5">
        <f>SUM(V21:AB21)</f>
        <v>436</v>
      </c>
    </row>
    <row r="22" spans="1:29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  <c r="L22" s="10"/>
      <c r="M22" s="10"/>
      <c r="N22" s="10"/>
      <c r="O22" s="10"/>
      <c r="P22" s="10"/>
      <c r="Q22" s="10"/>
      <c r="R22" s="10"/>
      <c r="S22" s="5">
        <f>SUM(L22:R22)</f>
        <v>0</v>
      </c>
      <c r="T22" s="11"/>
      <c r="V22" s="5">
        <f t="shared" si="18"/>
        <v>0</v>
      </c>
      <c r="W22" s="5">
        <f t="shared" si="17"/>
        <v>0</v>
      </c>
      <c r="X22" s="5">
        <f t="shared" si="17"/>
        <v>0</v>
      </c>
      <c r="Y22" s="5">
        <f t="shared" si="17"/>
        <v>0</v>
      </c>
      <c r="Z22" s="10"/>
      <c r="AA22" s="10"/>
      <c r="AB22" s="10"/>
      <c r="AC22" s="5">
        <f>SUM(V22:AB22)</f>
        <v>0</v>
      </c>
    </row>
    <row r="23" spans="1:29" x14ac:dyDescent="0.35">
      <c r="A23" s="12" t="s">
        <v>23</v>
      </c>
      <c r="B23" s="18"/>
      <c r="C23" s="18"/>
      <c r="D23" s="118">
        <v>1</v>
      </c>
      <c r="E23" s="118"/>
      <c r="F23" s="118"/>
      <c r="G23" s="118"/>
      <c r="H23" s="118"/>
      <c r="I23" s="18">
        <f>SUM(B23:H23)</f>
        <v>1</v>
      </c>
      <c r="J23" s="19"/>
      <c r="L23" s="18"/>
      <c r="M23" s="18"/>
      <c r="N23" s="118">
        <v>1</v>
      </c>
      <c r="O23" s="118"/>
      <c r="P23" s="118"/>
      <c r="Q23" s="118"/>
      <c r="R23" s="118"/>
      <c r="S23" s="18">
        <f>SUM(L23:R23)</f>
        <v>1</v>
      </c>
      <c r="T23" s="19"/>
      <c r="V23" s="5">
        <f t="shared" si="18"/>
        <v>0</v>
      </c>
      <c r="W23" s="5">
        <f t="shared" si="17"/>
        <v>0</v>
      </c>
      <c r="X23" s="111">
        <v>1</v>
      </c>
      <c r="Y23" s="5">
        <f t="shared" si="17"/>
        <v>0</v>
      </c>
      <c r="Z23" s="118"/>
      <c r="AA23" s="118"/>
      <c r="AB23" s="118"/>
      <c r="AC23" s="18">
        <f>SUM(V23:AB23)</f>
        <v>1</v>
      </c>
    </row>
    <row r="24" spans="1:29" x14ac:dyDescent="0.35">
      <c r="A24" s="12" t="s">
        <v>24</v>
      </c>
      <c r="B24" s="5">
        <v>4</v>
      </c>
      <c r="C24" s="5"/>
      <c r="D24" s="5"/>
      <c r="E24" s="5"/>
      <c r="F24" s="5"/>
      <c r="G24" s="5"/>
      <c r="H24" s="5"/>
      <c r="I24" s="5">
        <f>SUM(B24:H24)</f>
        <v>4</v>
      </c>
      <c r="J24" s="19">
        <v>0.01</v>
      </c>
      <c r="L24" s="5">
        <v>10</v>
      </c>
      <c r="M24" s="5"/>
      <c r="N24" s="5"/>
      <c r="O24" s="5"/>
      <c r="P24" s="5"/>
      <c r="Q24" s="5"/>
      <c r="R24" s="5"/>
      <c r="S24" s="5">
        <f>SUM(L24:R24)</f>
        <v>10</v>
      </c>
      <c r="T24" s="19"/>
      <c r="V24" s="5">
        <f t="shared" si="18"/>
        <v>14</v>
      </c>
      <c r="W24" s="5">
        <f t="shared" si="17"/>
        <v>0</v>
      </c>
      <c r="X24" s="5">
        <f t="shared" si="17"/>
        <v>0</v>
      </c>
      <c r="Y24" s="5">
        <f t="shared" si="17"/>
        <v>0</v>
      </c>
      <c r="Z24" s="5"/>
      <c r="AA24" s="5"/>
      <c r="AB24" s="5"/>
      <c r="AC24" s="5">
        <f>SUM(V24:AB24)</f>
        <v>14</v>
      </c>
    </row>
    <row r="25" spans="1:29" x14ac:dyDescent="0.35">
      <c r="A25" s="12"/>
      <c r="B25" s="5"/>
      <c r="C25" s="5"/>
      <c r="D25" s="5"/>
      <c r="E25" s="5"/>
      <c r="F25" s="5"/>
      <c r="G25" s="5"/>
      <c r="H25" s="5"/>
      <c r="I25" s="5"/>
      <c r="J25" s="7"/>
      <c r="L25" s="5"/>
      <c r="M25" s="5"/>
      <c r="N25" s="5"/>
      <c r="O25" s="5"/>
      <c r="P25" s="5"/>
      <c r="Q25" s="5"/>
      <c r="R25" s="5"/>
      <c r="S25" s="5"/>
      <c r="T25" s="7"/>
      <c r="V25" s="5"/>
      <c r="W25" s="5"/>
      <c r="X25" s="5"/>
      <c r="Y25" s="5"/>
      <c r="Z25" s="5"/>
      <c r="AA25" s="5"/>
      <c r="AB25" s="5"/>
      <c r="AC25" s="5"/>
    </row>
    <row r="26" spans="1:29" x14ac:dyDescent="0.35">
      <c r="A26" s="20" t="s">
        <v>25</v>
      </c>
      <c r="B26" s="15" t="str">
        <f t="shared" ref="B26:I26" si="19">B1</f>
        <v>Operating</v>
      </c>
      <c r="C26" s="15" t="str">
        <f t="shared" si="19"/>
        <v>SPED</v>
      </c>
      <c r="D26" s="15" t="str">
        <f t="shared" si="19"/>
        <v>NSLP</v>
      </c>
      <c r="E26" s="15" t="str">
        <f t="shared" si="19"/>
        <v>Other</v>
      </c>
      <c r="F26" s="15" t="str">
        <f t="shared" si="19"/>
        <v>Title I</v>
      </c>
      <c r="G26" s="15" t="str">
        <f t="shared" si="19"/>
        <v>Title II</v>
      </c>
      <c r="H26" s="15" t="str">
        <f t="shared" si="19"/>
        <v>Title III</v>
      </c>
      <c r="I26" s="15" t="str">
        <f t="shared" si="19"/>
        <v>B&amp;G</v>
      </c>
      <c r="J26" s="16"/>
      <c r="L26" s="15" t="str">
        <f t="shared" ref="L26:S26" si="20">L1</f>
        <v>Operating</v>
      </c>
      <c r="M26" s="15" t="str">
        <f t="shared" si="20"/>
        <v>SPED</v>
      </c>
      <c r="N26" s="15" t="str">
        <f t="shared" si="20"/>
        <v>NSLP</v>
      </c>
      <c r="O26" s="15" t="str">
        <f t="shared" si="20"/>
        <v>Other</v>
      </c>
      <c r="P26" s="15" t="str">
        <f t="shared" si="20"/>
        <v>Title I</v>
      </c>
      <c r="Q26" s="15" t="str">
        <f t="shared" si="20"/>
        <v>Title II</v>
      </c>
      <c r="R26" s="15" t="str">
        <f t="shared" si="20"/>
        <v>Title III</v>
      </c>
      <c r="S26" s="15" t="str">
        <f t="shared" si="20"/>
        <v>New</v>
      </c>
      <c r="T26" s="16"/>
      <c r="V26" s="15" t="str">
        <f t="shared" ref="V26:AC26" si="21">V1</f>
        <v>Operating</v>
      </c>
      <c r="W26" s="15" t="str">
        <f t="shared" si="21"/>
        <v>SPED</v>
      </c>
      <c r="X26" s="15" t="str">
        <f t="shared" si="21"/>
        <v>NSLP</v>
      </c>
      <c r="Y26" s="15" t="str">
        <f t="shared" si="21"/>
        <v>Other</v>
      </c>
      <c r="Z26" s="15" t="str">
        <f t="shared" si="21"/>
        <v>Title I</v>
      </c>
      <c r="AA26" s="15" t="str">
        <f t="shared" si="21"/>
        <v>Title II</v>
      </c>
      <c r="AB26" s="15" t="str">
        <f t="shared" si="21"/>
        <v>Title III</v>
      </c>
      <c r="AC26" s="15" t="str">
        <f t="shared" si="21"/>
        <v>MANN</v>
      </c>
    </row>
    <row r="27" spans="1:29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22">SUM(B27:H27)</f>
        <v>18</v>
      </c>
      <c r="J27" s="17">
        <f>I27/6</f>
        <v>3</v>
      </c>
      <c r="L27" s="21">
        <v>41</v>
      </c>
      <c r="M27" s="21"/>
      <c r="N27" s="21"/>
      <c r="O27" s="21"/>
      <c r="P27" s="21"/>
      <c r="Q27" s="21"/>
      <c r="R27" s="21"/>
      <c r="S27" s="21">
        <f t="shared" ref="S27:S28" si="23">SUM(L27:R27)</f>
        <v>41</v>
      </c>
      <c r="T27" s="17">
        <f>S27/6</f>
        <v>6.833333333333333</v>
      </c>
      <c r="V27" s="21">
        <f>B27+L27</f>
        <v>59</v>
      </c>
      <c r="W27" s="21">
        <f t="shared" ref="W27:Y35" si="24">C27+M27</f>
        <v>0</v>
      </c>
      <c r="X27" s="21">
        <f t="shared" si="24"/>
        <v>0</v>
      </c>
      <c r="Y27" s="21">
        <f t="shared" si="24"/>
        <v>0</v>
      </c>
      <c r="Z27" s="21"/>
      <c r="AA27" s="21"/>
      <c r="AB27" s="21"/>
      <c r="AC27" s="21">
        <f t="shared" ref="AC27:AC28" si="25">SUM(V27:AB27)</f>
        <v>59</v>
      </c>
    </row>
    <row r="28" spans="1:29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22"/>
        <v>3</v>
      </c>
      <c r="J28" s="17">
        <f>I20/21</f>
        <v>2.6666666666666665</v>
      </c>
      <c r="L28" s="22">
        <v>0</v>
      </c>
      <c r="M28" s="22">
        <v>4.5</v>
      </c>
      <c r="N28" s="22"/>
      <c r="O28" s="22"/>
      <c r="P28" s="22"/>
      <c r="Q28" s="22"/>
      <c r="R28" s="22"/>
      <c r="S28" s="21">
        <f t="shared" si="23"/>
        <v>4.5</v>
      </c>
      <c r="T28" s="17">
        <f>S20/21</f>
        <v>5.3809523809523814</v>
      </c>
      <c r="V28" s="21">
        <f t="shared" ref="V28:V35" si="26">B28+L28</f>
        <v>0</v>
      </c>
      <c r="W28" s="21">
        <f t="shared" si="24"/>
        <v>7.5</v>
      </c>
      <c r="X28" s="21">
        <f t="shared" si="24"/>
        <v>0</v>
      </c>
      <c r="Y28" s="21">
        <f t="shared" si="24"/>
        <v>0</v>
      </c>
      <c r="Z28" s="22"/>
      <c r="AA28" s="22"/>
      <c r="AB28" s="22"/>
      <c r="AC28" s="21">
        <f t="shared" si="25"/>
        <v>7.5</v>
      </c>
    </row>
    <row r="29" spans="1:29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  <c r="L29" s="21">
        <v>2</v>
      </c>
      <c r="M29" s="21"/>
      <c r="N29" s="21"/>
      <c r="O29" s="21"/>
      <c r="P29" s="21"/>
      <c r="Q29" s="21"/>
      <c r="R29" s="21"/>
      <c r="S29" s="21">
        <f>SUM(L29:R29)</f>
        <v>2</v>
      </c>
      <c r="T29" s="11"/>
      <c r="V29" s="21">
        <f t="shared" si="26"/>
        <v>3</v>
      </c>
      <c r="W29" s="21">
        <f t="shared" si="24"/>
        <v>0</v>
      </c>
      <c r="X29" s="21">
        <f t="shared" si="24"/>
        <v>0</v>
      </c>
      <c r="Y29" s="21">
        <f t="shared" si="24"/>
        <v>0</v>
      </c>
      <c r="Z29" s="21"/>
      <c r="AA29" s="21"/>
      <c r="AB29" s="21"/>
      <c r="AC29" s="21">
        <f>SUM(V29:AB29)</f>
        <v>3</v>
      </c>
    </row>
    <row r="30" spans="1:29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22"/>
        <v>1</v>
      </c>
      <c r="J30" s="11"/>
      <c r="L30" s="21">
        <v>2</v>
      </c>
      <c r="M30" s="21"/>
      <c r="N30" s="21"/>
      <c r="O30" s="21"/>
      <c r="P30" s="21"/>
      <c r="Q30" s="21"/>
      <c r="R30" s="21"/>
      <c r="S30" s="21">
        <f t="shared" ref="S30:S32" si="27">SUM(L30:R30)</f>
        <v>2</v>
      </c>
      <c r="T30" s="11"/>
      <c r="V30" s="21">
        <f t="shared" si="26"/>
        <v>3</v>
      </c>
      <c r="W30" s="21">
        <f t="shared" si="24"/>
        <v>0</v>
      </c>
      <c r="X30" s="21">
        <f t="shared" si="24"/>
        <v>0</v>
      </c>
      <c r="Y30" s="21">
        <f t="shared" si="24"/>
        <v>0</v>
      </c>
      <c r="Z30" s="21"/>
      <c r="AA30" s="21"/>
      <c r="AB30" s="21"/>
      <c r="AC30" s="21">
        <f t="shared" ref="AC30:AC32" si="28">SUM(V30:AB30)</f>
        <v>3</v>
      </c>
    </row>
    <row r="31" spans="1:29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22"/>
        <v>1</v>
      </c>
      <c r="J31" s="11"/>
      <c r="L31" s="21">
        <v>2</v>
      </c>
      <c r="M31" s="21"/>
      <c r="N31" s="21"/>
      <c r="O31" s="21"/>
      <c r="P31" s="21"/>
      <c r="Q31" s="21"/>
      <c r="R31" s="21"/>
      <c r="S31" s="21">
        <f t="shared" si="27"/>
        <v>2</v>
      </c>
      <c r="T31" s="11"/>
      <c r="V31" s="21">
        <f t="shared" si="26"/>
        <v>3</v>
      </c>
      <c r="W31" s="21">
        <f t="shared" si="24"/>
        <v>0</v>
      </c>
      <c r="X31" s="21">
        <f t="shared" si="24"/>
        <v>0</v>
      </c>
      <c r="Y31" s="21">
        <f t="shared" si="24"/>
        <v>0</v>
      </c>
      <c r="Z31" s="21"/>
      <c r="AA31" s="21"/>
      <c r="AB31" s="21"/>
      <c r="AC31" s="21">
        <f t="shared" si="28"/>
        <v>3</v>
      </c>
    </row>
    <row r="32" spans="1:29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22"/>
        <v>0</v>
      </c>
      <c r="J32" s="11"/>
      <c r="L32" s="21">
        <v>0</v>
      </c>
      <c r="M32" s="21"/>
      <c r="N32" s="21"/>
      <c r="O32" s="21"/>
      <c r="P32" s="21"/>
      <c r="Q32" s="21"/>
      <c r="R32" s="21"/>
      <c r="S32" s="21">
        <f t="shared" si="27"/>
        <v>0</v>
      </c>
      <c r="T32" s="11"/>
      <c r="V32" s="21">
        <f t="shared" si="26"/>
        <v>0</v>
      </c>
      <c r="W32" s="21">
        <f t="shared" si="24"/>
        <v>0</v>
      </c>
      <c r="X32" s="21">
        <f t="shared" si="24"/>
        <v>0</v>
      </c>
      <c r="Y32" s="21">
        <f t="shared" si="24"/>
        <v>0</v>
      </c>
      <c r="Z32" s="21"/>
      <c r="AA32" s="21"/>
      <c r="AB32" s="21"/>
      <c r="AC32" s="21">
        <f t="shared" si="28"/>
        <v>0</v>
      </c>
    </row>
    <row r="33" spans="1:29" x14ac:dyDescent="0.35">
      <c r="A33" s="100" t="s">
        <v>32</v>
      </c>
      <c r="B33" s="21">
        <v>0</v>
      </c>
      <c r="C33" s="21"/>
      <c r="D33" s="21"/>
      <c r="E33" s="21"/>
      <c r="F33" s="21"/>
      <c r="G33" s="21"/>
      <c r="H33" s="21"/>
      <c r="I33" s="21">
        <f>SUM(B33:H33)</f>
        <v>0</v>
      </c>
      <c r="J33" s="11"/>
      <c r="L33" s="21">
        <v>0</v>
      </c>
      <c r="M33" s="21"/>
      <c r="N33" s="21"/>
      <c r="O33" s="21"/>
      <c r="P33" s="21"/>
      <c r="Q33" s="21"/>
      <c r="R33" s="21"/>
      <c r="S33" s="21">
        <f>SUM(L33:R33)</f>
        <v>0</v>
      </c>
      <c r="T33" s="11"/>
      <c r="V33" s="21">
        <f t="shared" si="26"/>
        <v>0</v>
      </c>
      <c r="W33" s="21">
        <f t="shared" si="24"/>
        <v>0</v>
      </c>
      <c r="X33" s="21">
        <f t="shared" si="24"/>
        <v>0</v>
      </c>
      <c r="Y33" s="21">
        <f t="shared" si="24"/>
        <v>0</v>
      </c>
      <c r="Z33" s="21"/>
      <c r="AA33" s="21"/>
      <c r="AB33" s="21"/>
      <c r="AC33" s="21">
        <f>SUM(V33:AB33)</f>
        <v>0</v>
      </c>
    </row>
    <row r="34" spans="1:29" x14ac:dyDescent="0.35">
      <c r="A34" s="100" t="s">
        <v>33</v>
      </c>
      <c r="B34" s="21">
        <v>0</v>
      </c>
      <c r="C34" s="21"/>
      <c r="D34" s="21"/>
      <c r="E34" s="21"/>
      <c r="F34" s="21"/>
      <c r="G34" s="21"/>
      <c r="H34" s="21"/>
      <c r="I34" s="21">
        <f>SUM(B34:H34)</f>
        <v>0</v>
      </c>
      <c r="J34" s="11"/>
      <c r="L34" s="21">
        <v>1</v>
      </c>
      <c r="M34" s="21"/>
      <c r="N34" s="21"/>
      <c r="O34" s="21"/>
      <c r="P34" s="21"/>
      <c r="Q34" s="21"/>
      <c r="R34" s="21"/>
      <c r="S34" s="21">
        <f>SUM(L34:R34)</f>
        <v>1</v>
      </c>
      <c r="T34" s="11"/>
      <c r="V34" s="21">
        <f t="shared" si="26"/>
        <v>1</v>
      </c>
      <c r="W34" s="21">
        <f t="shared" si="24"/>
        <v>0</v>
      </c>
      <c r="X34" s="21">
        <f t="shared" si="24"/>
        <v>0</v>
      </c>
      <c r="Y34" s="21">
        <f t="shared" si="24"/>
        <v>0</v>
      </c>
      <c r="Z34" s="21"/>
      <c r="AA34" s="21"/>
      <c r="AB34" s="21"/>
      <c r="AC34" s="21">
        <f>SUM(V34:AB34)</f>
        <v>1</v>
      </c>
    </row>
    <row r="35" spans="1:29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  <c r="L35" s="21">
        <v>0</v>
      </c>
      <c r="M35" s="21"/>
      <c r="N35" s="21"/>
      <c r="O35" s="21"/>
      <c r="P35" s="21"/>
      <c r="Q35" s="21"/>
      <c r="R35" s="21"/>
      <c r="S35" s="21">
        <f>SUM(L35:R35)</f>
        <v>0</v>
      </c>
      <c r="T35" s="11"/>
      <c r="V35" s="21">
        <f t="shared" si="26"/>
        <v>0</v>
      </c>
      <c r="W35" s="21">
        <f t="shared" si="24"/>
        <v>0</v>
      </c>
      <c r="X35" s="21">
        <f t="shared" si="24"/>
        <v>0</v>
      </c>
      <c r="Y35" s="21">
        <f t="shared" si="24"/>
        <v>0</v>
      </c>
      <c r="Z35" s="21"/>
      <c r="AA35" s="21"/>
      <c r="AB35" s="21"/>
      <c r="AC35" s="21">
        <f>SUM(V35:AB35)</f>
        <v>0</v>
      </c>
    </row>
    <row r="36" spans="1:29" x14ac:dyDescent="0.35">
      <c r="A36" s="20" t="s">
        <v>37</v>
      </c>
      <c r="B36" s="24">
        <f>SUM(B27:B35)</f>
        <v>21</v>
      </c>
      <c r="C36" s="24">
        <f t="shared" ref="C36:H36" si="29">SUM(C27:C35)</f>
        <v>3</v>
      </c>
      <c r="D36" s="24">
        <f t="shared" si="29"/>
        <v>0</v>
      </c>
      <c r="E36" s="24"/>
      <c r="F36" s="24">
        <f t="shared" si="29"/>
        <v>0</v>
      </c>
      <c r="G36" s="24">
        <f t="shared" si="29"/>
        <v>0</v>
      </c>
      <c r="H36" s="24">
        <f t="shared" si="29"/>
        <v>0</v>
      </c>
      <c r="I36" s="24">
        <f>SUM(I27:I35)</f>
        <v>24</v>
      </c>
      <c r="J36" s="7"/>
      <c r="L36" s="24">
        <f>SUM(L27:L35)</f>
        <v>48</v>
      </c>
      <c r="M36" s="24">
        <f t="shared" ref="M36:N36" si="30">SUM(M27:M35)</f>
        <v>4.5</v>
      </c>
      <c r="N36" s="24">
        <f t="shared" si="30"/>
        <v>0</v>
      </c>
      <c r="O36" s="24"/>
      <c r="P36" s="24">
        <f t="shared" ref="P36:R36" si="31">SUM(P27:P35)</f>
        <v>0</v>
      </c>
      <c r="Q36" s="24">
        <f t="shared" si="31"/>
        <v>0</v>
      </c>
      <c r="R36" s="24">
        <f t="shared" si="31"/>
        <v>0</v>
      </c>
      <c r="S36" s="24">
        <f>SUM(S27:S35)</f>
        <v>52.5</v>
      </c>
      <c r="T36" s="7"/>
      <c r="V36" s="24">
        <f>SUM(V27:V35)</f>
        <v>69</v>
      </c>
      <c r="W36" s="24">
        <f t="shared" ref="W36:X36" si="32">SUM(W27:W35)</f>
        <v>7.5</v>
      </c>
      <c r="X36" s="24">
        <f t="shared" si="32"/>
        <v>0</v>
      </c>
      <c r="Y36" s="24"/>
      <c r="Z36" s="24">
        <f t="shared" ref="Z36:AB36" si="33">SUM(Z27:Z35)</f>
        <v>0</v>
      </c>
      <c r="AA36" s="24">
        <f t="shared" si="33"/>
        <v>0</v>
      </c>
      <c r="AB36" s="24">
        <f t="shared" si="33"/>
        <v>0</v>
      </c>
      <c r="AC36" s="24">
        <f>SUM(AC27:AC35)</f>
        <v>76.5</v>
      </c>
    </row>
    <row r="37" spans="1:29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  <c r="L37" s="5"/>
      <c r="M37" s="5"/>
      <c r="N37" s="5"/>
      <c r="O37" s="5"/>
      <c r="P37" s="5"/>
      <c r="Q37" s="5"/>
      <c r="R37" s="5"/>
      <c r="S37" s="5"/>
      <c r="T37" s="7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20" t="s">
        <v>39</v>
      </c>
      <c r="B38" s="15" t="str">
        <f t="shared" ref="B38:I38" si="34">B1</f>
        <v>Operating</v>
      </c>
      <c r="C38" s="15" t="str">
        <f t="shared" si="34"/>
        <v>SPED</v>
      </c>
      <c r="D38" s="15" t="str">
        <f t="shared" si="34"/>
        <v>NSLP</v>
      </c>
      <c r="E38" s="15" t="str">
        <f t="shared" si="34"/>
        <v>Other</v>
      </c>
      <c r="F38" s="15" t="str">
        <f t="shared" si="34"/>
        <v>Title I</v>
      </c>
      <c r="G38" s="15" t="str">
        <f t="shared" si="34"/>
        <v>Title II</v>
      </c>
      <c r="H38" s="15" t="str">
        <f t="shared" si="34"/>
        <v>Title III</v>
      </c>
      <c r="I38" s="15" t="str">
        <f t="shared" si="34"/>
        <v>B&amp;G</v>
      </c>
      <c r="J38" s="16"/>
      <c r="L38" s="15" t="str">
        <f t="shared" ref="L38:S38" si="35">L1</f>
        <v>Operating</v>
      </c>
      <c r="M38" s="15" t="str">
        <f t="shared" si="35"/>
        <v>SPED</v>
      </c>
      <c r="N38" s="15" t="str">
        <f t="shared" si="35"/>
        <v>NSLP</v>
      </c>
      <c r="O38" s="15" t="str">
        <f t="shared" si="35"/>
        <v>Other</v>
      </c>
      <c r="P38" s="15" t="str">
        <f t="shared" si="35"/>
        <v>Title I</v>
      </c>
      <c r="Q38" s="15" t="str">
        <f t="shared" si="35"/>
        <v>Title II</v>
      </c>
      <c r="R38" s="15" t="str">
        <f t="shared" si="35"/>
        <v>Title III</v>
      </c>
      <c r="S38" s="15" t="str">
        <f t="shared" si="35"/>
        <v>New</v>
      </c>
      <c r="T38" s="16"/>
      <c r="V38" s="15" t="str">
        <f t="shared" ref="V38:AC38" si="36">V1</f>
        <v>Operating</v>
      </c>
      <c r="W38" s="15" t="str">
        <f t="shared" si="36"/>
        <v>SPED</v>
      </c>
      <c r="X38" s="15" t="str">
        <f t="shared" si="36"/>
        <v>NSLP</v>
      </c>
      <c r="Y38" s="15" t="str">
        <f t="shared" si="36"/>
        <v>Other</v>
      </c>
      <c r="Z38" s="15" t="str">
        <f t="shared" si="36"/>
        <v>Title I</v>
      </c>
      <c r="AA38" s="15" t="str">
        <f t="shared" si="36"/>
        <v>Title II</v>
      </c>
      <c r="AB38" s="15" t="str">
        <f t="shared" si="36"/>
        <v>Title III</v>
      </c>
      <c r="AC38" s="15" t="str">
        <f t="shared" si="36"/>
        <v>MANN</v>
      </c>
    </row>
    <row r="39" spans="1:29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37">SUM(B39:H39)</f>
        <v>1</v>
      </c>
      <c r="J39" s="11"/>
      <c r="L39" s="22">
        <v>1</v>
      </c>
      <c r="M39" s="22"/>
      <c r="N39" s="22"/>
      <c r="O39" s="22"/>
      <c r="P39" s="22"/>
      <c r="Q39" s="22"/>
      <c r="R39" s="22"/>
      <c r="S39" s="21">
        <f t="shared" ref="S39" si="38">SUM(L39:R39)</f>
        <v>1</v>
      </c>
      <c r="T39" s="11"/>
      <c r="V39" s="22">
        <f>B39+L39</f>
        <v>2</v>
      </c>
      <c r="W39" s="22">
        <f t="shared" ref="W39:Y54" si="39">C39+M39</f>
        <v>0</v>
      </c>
      <c r="X39" s="22">
        <f t="shared" si="39"/>
        <v>0</v>
      </c>
      <c r="Y39" s="22">
        <f t="shared" si="39"/>
        <v>0</v>
      </c>
      <c r="Z39" s="22"/>
      <c r="AA39" s="22"/>
      <c r="AB39" s="22"/>
      <c r="AC39" s="21">
        <f t="shared" ref="AC39" si="40">SUM(V39:AB39)</f>
        <v>2</v>
      </c>
    </row>
    <row r="40" spans="1:29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  <c r="L40" s="22">
        <v>2</v>
      </c>
      <c r="M40" s="22"/>
      <c r="N40" s="22"/>
      <c r="O40" s="22"/>
      <c r="P40" s="22"/>
      <c r="Q40" s="22"/>
      <c r="R40" s="22"/>
      <c r="S40" s="21">
        <f>SUM(L40:R40)</f>
        <v>2</v>
      </c>
      <c r="T40" s="11"/>
      <c r="V40" s="22">
        <f t="shared" ref="V40:Y60" si="41">B40+L40</f>
        <v>3</v>
      </c>
      <c r="W40" s="22">
        <f t="shared" si="39"/>
        <v>0</v>
      </c>
      <c r="X40" s="22">
        <f t="shared" si="39"/>
        <v>0</v>
      </c>
      <c r="Y40" s="22">
        <f t="shared" si="39"/>
        <v>0</v>
      </c>
      <c r="Z40" s="22"/>
      <c r="AA40" s="22"/>
      <c r="AB40" s="22"/>
      <c r="AC40" s="21">
        <f>SUM(V40:AB40)</f>
        <v>3</v>
      </c>
    </row>
    <row r="41" spans="1:29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  <c r="L41" s="22">
        <v>1</v>
      </c>
      <c r="M41" s="22"/>
      <c r="N41" s="22"/>
      <c r="O41" s="22"/>
      <c r="P41" s="22"/>
      <c r="Q41" s="22"/>
      <c r="R41" s="22"/>
      <c r="S41" s="21">
        <f>SUM(L41:R41)</f>
        <v>1</v>
      </c>
      <c r="T41" s="11"/>
      <c r="V41" s="22">
        <f t="shared" si="41"/>
        <v>1</v>
      </c>
      <c r="W41" s="22">
        <f t="shared" si="39"/>
        <v>0</v>
      </c>
      <c r="X41" s="22">
        <f t="shared" si="39"/>
        <v>0</v>
      </c>
      <c r="Y41" s="22">
        <f t="shared" si="39"/>
        <v>0</v>
      </c>
      <c r="Z41" s="22"/>
      <c r="AA41" s="22"/>
      <c r="AB41" s="22"/>
      <c r="AC41" s="21">
        <f>SUM(V41:AB41)</f>
        <v>1</v>
      </c>
    </row>
    <row r="42" spans="1:29" x14ac:dyDescent="0.35">
      <c r="A42" s="27" t="s">
        <v>36</v>
      </c>
      <c r="B42" s="22">
        <v>0</v>
      </c>
      <c r="C42" s="22"/>
      <c r="D42" s="22"/>
      <c r="E42" s="22"/>
      <c r="F42" s="22"/>
      <c r="G42" s="22"/>
      <c r="H42" s="22"/>
      <c r="I42" s="21">
        <f>SUM(B42:H42)</f>
        <v>0</v>
      </c>
      <c r="J42" s="11"/>
      <c r="L42" s="22">
        <v>0</v>
      </c>
      <c r="M42" s="22"/>
      <c r="N42" s="22"/>
      <c r="O42" s="22"/>
      <c r="P42" s="22"/>
      <c r="Q42" s="22"/>
      <c r="R42" s="22"/>
      <c r="S42" s="21">
        <f>SUM(L42:R42)</f>
        <v>0</v>
      </c>
      <c r="T42" s="11"/>
      <c r="V42" s="22">
        <f t="shared" si="41"/>
        <v>0</v>
      </c>
      <c r="W42" s="22">
        <f t="shared" si="39"/>
        <v>0</v>
      </c>
      <c r="X42" s="22">
        <f t="shared" si="39"/>
        <v>0</v>
      </c>
      <c r="Y42" s="22">
        <f t="shared" si="39"/>
        <v>0</v>
      </c>
      <c r="Z42" s="22"/>
      <c r="AA42" s="22"/>
      <c r="AB42" s="22"/>
      <c r="AC42" s="21">
        <f>SUM(V42:AB42)</f>
        <v>0</v>
      </c>
    </row>
    <row r="43" spans="1:29" x14ac:dyDescent="0.35">
      <c r="A43" s="27" t="s">
        <v>38</v>
      </c>
      <c r="B43" s="22">
        <v>1</v>
      </c>
      <c r="C43" s="22"/>
      <c r="D43" s="22"/>
      <c r="E43" s="22"/>
      <c r="F43" s="22"/>
      <c r="G43" s="22"/>
      <c r="H43" s="22"/>
      <c r="I43" s="21">
        <f>SUM(B43:H43)</f>
        <v>1</v>
      </c>
      <c r="J43" s="11"/>
      <c r="L43" s="22">
        <v>2</v>
      </c>
      <c r="M43" s="22"/>
      <c r="N43" s="22"/>
      <c r="O43" s="22"/>
      <c r="P43" s="22"/>
      <c r="Q43" s="22"/>
      <c r="R43" s="22"/>
      <c r="S43" s="21">
        <f>SUM(L43:R43)</f>
        <v>2</v>
      </c>
      <c r="T43" s="11"/>
      <c r="V43" s="22">
        <f t="shared" si="41"/>
        <v>3</v>
      </c>
      <c r="W43" s="22">
        <f t="shared" si="39"/>
        <v>0</v>
      </c>
      <c r="X43" s="22">
        <f t="shared" si="39"/>
        <v>0</v>
      </c>
      <c r="Y43" s="22">
        <f t="shared" si="39"/>
        <v>0</v>
      </c>
      <c r="Z43" s="22"/>
      <c r="AA43" s="22"/>
      <c r="AB43" s="22"/>
      <c r="AC43" s="21">
        <f>SUM(V43:AB43)</f>
        <v>3</v>
      </c>
    </row>
    <row r="44" spans="1:29" x14ac:dyDescent="0.35">
      <c r="A44" s="27" t="s">
        <v>46</v>
      </c>
      <c r="B44" s="22">
        <v>1</v>
      </c>
      <c r="C44" s="22"/>
      <c r="D44" s="22"/>
      <c r="E44" s="22"/>
      <c r="F44" s="22"/>
      <c r="G44" s="22"/>
      <c r="H44" s="22"/>
      <c r="I44" s="21">
        <f>SUM(B44:H44)</f>
        <v>1</v>
      </c>
      <c r="J44" s="11"/>
      <c r="L44" s="22">
        <v>2</v>
      </c>
      <c r="M44" s="22"/>
      <c r="N44" s="22"/>
      <c r="O44" s="22"/>
      <c r="P44" s="22"/>
      <c r="Q44" s="22"/>
      <c r="R44" s="22"/>
      <c r="S44" s="21">
        <f>SUM(L44:R44)</f>
        <v>2</v>
      </c>
      <c r="T44" s="11"/>
      <c r="V44" s="22">
        <f t="shared" si="41"/>
        <v>3</v>
      </c>
      <c r="W44" s="22">
        <f t="shared" si="39"/>
        <v>0</v>
      </c>
      <c r="X44" s="22">
        <f t="shared" si="39"/>
        <v>0</v>
      </c>
      <c r="Y44" s="22">
        <f t="shared" si="39"/>
        <v>0</v>
      </c>
      <c r="Z44" s="22"/>
      <c r="AA44" s="22"/>
      <c r="AB44" s="22"/>
      <c r="AC44" s="21">
        <f>SUM(V44:AB44)</f>
        <v>3</v>
      </c>
    </row>
    <row r="45" spans="1:29" x14ac:dyDescent="0.35">
      <c r="A45" s="27" t="s">
        <v>48</v>
      </c>
      <c r="B45" s="22">
        <v>0</v>
      </c>
      <c r="C45" s="22"/>
      <c r="D45" s="22"/>
      <c r="E45" s="22"/>
      <c r="F45" s="22"/>
      <c r="G45" s="22"/>
      <c r="H45" s="22"/>
      <c r="I45" s="21">
        <f t="shared" si="37"/>
        <v>0</v>
      </c>
      <c r="J45" s="11"/>
      <c r="L45" s="22">
        <v>1</v>
      </c>
      <c r="M45" s="22"/>
      <c r="N45" s="22"/>
      <c r="O45" s="22"/>
      <c r="P45" s="22"/>
      <c r="Q45" s="22"/>
      <c r="R45" s="22"/>
      <c r="S45" s="21">
        <f t="shared" ref="S45:S46" si="42">SUM(L45:R45)</f>
        <v>1</v>
      </c>
      <c r="T45" s="11"/>
      <c r="V45" s="22">
        <f t="shared" si="41"/>
        <v>1</v>
      </c>
      <c r="W45" s="22">
        <f t="shared" si="39"/>
        <v>0</v>
      </c>
      <c r="X45" s="22">
        <f t="shared" si="39"/>
        <v>0</v>
      </c>
      <c r="Y45" s="22">
        <f t="shared" si="39"/>
        <v>0</v>
      </c>
      <c r="Z45" s="22"/>
      <c r="AA45" s="22"/>
      <c r="AB45" s="22"/>
      <c r="AC45" s="21">
        <f t="shared" ref="AC45:AC46" si="43">SUM(V45:AB45)</f>
        <v>1</v>
      </c>
    </row>
    <row r="46" spans="1:29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37"/>
        <v>1</v>
      </c>
      <c r="J46" s="11"/>
      <c r="L46" s="22">
        <v>1.5</v>
      </c>
      <c r="M46" s="22"/>
      <c r="N46" s="22"/>
      <c r="O46" s="22"/>
      <c r="P46" s="22"/>
      <c r="Q46" s="22"/>
      <c r="R46" s="22"/>
      <c r="S46" s="21">
        <f t="shared" si="42"/>
        <v>1.5</v>
      </c>
      <c r="T46" s="11"/>
      <c r="V46" s="22">
        <f t="shared" si="41"/>
        <v>2.5</v>
      </c>
      <c r="W46" s="22">
        <f t="shared" si="39"/>
        <v>0</v>
      </c>
      <c r="X46" s="22">
        <f t="shared" si="39"/>
        <v>0</v>
      </c>
      <c r="Y46" s="22">
        <f t="shared" si="39"/>
        <v>0</v>
      </c>
      <c r="Z46" s="22"/>
      <c r="AA46" s="22"/>
      <c r="AB46" s="22"/>
      <c r="AC46" s="21">
        <f t="shared" si="43"/>
        <v>2.5</v>
      </c>
    </row>
    <row r="47" spans="1:29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  <c r="L47" s="22">
        <v>1</v>
      </c>
      <c r="M47" s="22"/>
      <c r="N47" s="22"/>
      <c r="O47" s="22"/>
      <c r="P47" s="22"/>
      <c r="Q47" s="22"/>
      <c r="R47" s="22"/>
      <c r="S47" s="21">
        <f>SUM(L47:R47)</f>
        <v>1</v>
      </c>
      <c r="T47" s="11"/>
      <c r="V47" s="22">
        <f t="shared" si="41"/>
        <v>2</v>
      </c>
      <c r="W47" s="22">
        <f t="shared" si="39"/>
        <v>0</v>
      </c>
      <c r="X47" s="22">
        <f t="shared" si="39"/>
        <v>0</v>
      </c>
      <c r="Y47" s="22">
        <f t="shared" si="39"/>
        <v>0</v>
      </c>
      <c r="Z47" s="22"/>
      <c r="AA47" s="22"/>
      <c r="AB47" s="22"/>
      <c r="AC47" s="21">
        <f>SUM(V47:AB47)</f>
        <v>2</v>
      </c>
    </row>
    <row r="48" spans="1:29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37"/>
        <v>1</v>
      </c>
      <c r="J48" s="11"/>
      <c r="L48" s="22">
        <v>1</v>
      </c>
      <c r="M48" s="22"/>
      <c r="N48" s="22"/>
      <c r="O48" s="22"/>
      <c r="P48" s="22"/>
      <c r="Q48" s="22"/>
      <c r="R48" s="22"/>
      <c r="S48" s="21">
        <f t="shared" ref="S48" si="44">SUM(L48:R48)</f>
        <v>1</v>
      </c>
      <c r="T48" s="11"/>
      <c r="V48" s="22">
        <f t="shared" si="41"/>
        <v>2</v>
      </c>
      <c r="W48" s="22">
        <f t="shared" si="39"/>
        <v>0</v>
      </c>
      <c r="X48" s="22">
        <f t="shared" si="39"/>
        <v>0</v>
      </c>
      <c r="Y48" s="22">
        <f t="shared" si="39"/>
        <v>0</v>
      </c>
      <c r="Z48" s="22"/>
      <c r="AA48" s="22"/>
      <c r="AB48" s="22"/>
      <c r="AC48" s="21">
        <f t="shared" ref="AC48" si="45">SUM(V48:AB48)</f>
        <v>2</v>
      </c>
    </row>
    <row r="49" spans="1:29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  <c r="L49" s="22">
        <v>1.5</v>
      </c>
      <c r="M49" s="22"/>
      <c r="N49" s="22"/>
      <c r="O49" s="22"/>
      <c r="P49" s="22"/>
      <c r="Q49" s="22"/>
      <c r="R49" s="22"/>
      <c r="S49" s="21">
        <f>SUM(L49:R49)</f>
        <v>1.5</v>
      </c>
      <c r="T49" s="11"/>
      <c r="V49" s="22">
        <f t="shared" si="41"/>
        <v>1.5</v>
      </c>
      <c r="W49" s="22">
        <f t="shared" si="39"/>
        <v>0</v>
      </c>
      <c r="X49" s="22">
        <f t="shared" si="39"/>
        <v>0</v>
      </c>
      <c r="Y49" s="22">
        <f t="shared" si="39"/>
        <v>0</v>
      </c>
      <c r="Z49" s="22"/>
      <c r="AA49" s="22"/>
      <c r="AB49" s="22"/>
      <c r="AC49" s="21">
        <f>SUM(V49:AB49)</f>
        <v>1.5</v>
      </c>
    </row>
    <row r="50" spans="1:29" x14ac:dyDescent="0.35">
      <c r="A50" s="25" t="s">
        <v>51</v>
      </c>
      <c r="B50" s="22">
        <v>5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10</v>
      </c>
      <c r="J50" s="11"/>
      <c r="L50" s="22">
        <v>5</v>
      </c>
      <c r="M50" s="22">
        <v>4</v>
      </c>
      <c r="N50" s="22">
        <v>3</v>
      </c>
      <c r="O50" s="22"/>
      <c r="P50" s="22"/>
      <c r="Q50" s="22"/>
      <c r="R50" s="22"/>
      <c r="S50" s="21">
        <f>SUM(L50:R50)</f>
        <v>12</v>
      </c>
      <c r="T50" s="11"/>
      <c r="V50" s="22">
        <f t="shared" si="41"/>
        <v>10</v>
      </c>
      <c r="W50" s="22">
        <f t="shared" si="39"/>
        <v>7</v>
      </c>
      <c r="X50" s="22">
        <f t="shared" si="39"/>
        <v>5</v>
      </c>
      <c r="Y50" s="22">
        <f t="shared" si="39"/>
        <v>0</v>
      </c>
      <c r="Z50" s="22"/>
      <c r="AA50" s="22"/>
      <c r="AB50" s="22"/>
      <c r="AC50" s="21">
        <f>SUM(V50:AB50)</f>
        <v>22</v>
      </c>
    </row>
    <row r="51" spans="1:29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37"/>
        <v>0</v>
      </c>
      <c r="J51" s="11"/>
      <c r="L51" s="22">
        <v>3</v>
      </c>
      <c r="M51" s="22"/>
      <c r="N51" s="22"/>
      <c r="O51" s="22"/>
      <c r="P51" s="22"/>
      <c r="Q51" s="22"/>
      <c r="R51" s="22"/>
      <c r="S51" s="21">
        <f t="shared" ref="S51" si="46">SUM(L51:R51)</f>
        <v>3</v>
      </c>
      <c r="T51" s="11"/>
      <c r="V51" s="22">
        <f t="shared" si="41"/>
        <v>3</v>
      </c>
      <c r="W51" s="22">
        <f t="shared" si="39"/>
        <v>0</v>
      </c>
      <c r="X51" s="22">
        <f t="shared" si="39"/>
        <v>0</v>
      </c>
      <c r="Y51" s="22">
        <f t="shared" si="39"/>
        <v>0</v>
      </c>
      <c r="Z51" s="22"/>
      <c r="AA51" s="22"/>
      <c r="AB51" s="22"/>
      <c r="AC51" s="21">
        <f t="shared" ref="AC51" si="47">SUM(V51:AB51)</f>
        <v>3</v>
      </c>
    </row>
    <row r="52" spans="1:29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  <c r="L52" s="22"/>
      <c r="M52" s="22"/>
      <c r="N52" s="22">
        <v>1</v>
      </c>
      <c r="O52" s="22"/>
      <c r="P52" s="22"/>
      <c r="Q52" s="22"/>
      <c r="R52" s="22"/>
      <c r="S52" s="21">
        <f>SUM(L52:R52)</f>
        <v>1</v>
      </c>
      <c r="T52" s="11"/>
      <c r="V52" s="22">
        <f t="shared" si="41"/>
        <v>0</v>
      </c>
      <c r="W52" s="22">
        <f t="shared" si="39"/>
        <v>0</v>
      </c>
      <c r="X52" s="22">
        <f t="shared" si="39"/>
        <v>1</v>
      </c>
      <c r="Y52" s="22">
        <f t="shared" si="39"/>
        <v>0</v>
      </c>
      <c r="Z52" s="22"/>
      <c r="AA52" s="22"/>
      <c r="AB52" s="22"/>
      <c r="AC52" s="21">
        <f>SUM(V52:AB52)</f>
        <v>1</v>
      </c>
    </row>
    <row r="53" spans="1:29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37"/>
        <v>0</v>
      </c>
      <c r="J53" s="6"/>
      <c r="L53" s="22">
        <v>0</v>
      </c>
      <c r="M53" s="22"/>
      <c r="N53" s="22"/>
      <c r="O53" s="22"/>
      <c r="P53" s="22"/>
      <c r="Q53" s="22"/>
      <c r="R53" s="22"/>
      <c r="S53" s="21">
        <f t="shared" ref="S53:S55" si="48">SUM(L53:R53)</f>
        <v>0</v>
      </c>
      <c r="T53" s="6"/>
      <c r="V53" s="22">
        <f t="shared" si="41"/>
        <v>0</v>
      </c>
      <c r="W53" s="22">
        <f t="shared" si="39"/>
        <v>0</v>
      </c>
      <c r="X53" s="22">
        <f t="shared" si="39"/>
        <v>0</v>
      </c>
      <c r="Y53" s="22">
        <f t="shared" si="39"/>
        <v>0</v>
      </c>
      <c r="Z53" s="22"/>
      <c r="AA53" s="22"/>
      <c r="AB53" s="22"/>
      <c r="AC53" s="21">
        <f t="shared" ref="AC53:AC55" si="49">SUM(V53:AB53)</f>
        <v>0</v>
      </c>
    </row>
    <row r="54" spans="1:29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37"/>
        <v>0</v>
      </c>
      <c r="J54" s="6"/>
      <c r="L54" s="22"/>
      <c r="M54" s="22">
        <v>0</v>
      </c>
      <c r="N54" s="22"/>
      <c r="O54" s="22"/>
      <c r="P54" s="22"/>
      <c r="Q54" s="22"/>
      <c r="R54" s="22"/>
      <c r="S54" s="21">
        <f t="shared" si="48"/>
        <v>0</v>
      </c>
      <c r="T54" s="6"/>
      <c r="V54" s="22">
        <f t="shared" si="41"/>
        <v>0</v>
      </c>
      <c r="W54" s="22">
        <f t="shared" si="39"/>
        <v>0</v>
      </c>
      <c r="X54" s="22">
        <f t="shared" si="39"/>
        <v>0</v>
      </c>
      <c r="Y54" s="22">
        <f t="shared" si="39"/>
        <v>0</v>
      </c>
      <c r="Z54" s="22"/>
      <c r="AA54" s="22"/>
      <c r="AB54" s="22"/>
      <c r="AC54" s="21">
        <f t="shared" si="49"/>
        <v>0</v>
      </c>
    </row>
    <row r="55" spans="1:29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37"/>
        <v>1</v>
      </c>
      <c r="J55" s="6"/>
      <c r="L55" s="22"/>
      <c r="M55" s="22">
        <v>0</v>
      </c>
      <c r="N55" s="22"/>
      <c r="O55" s="22"/>
      <c r="P55" s="22"/>
      <c r="Q55" s="22"/>
      <c r="R55" s="22"/>
      <c r="S55" s="21">
        <f t="shared" si="48"/>
        <v>0</v>
      </c>
      <c r="T55" s="6"/>
      <c r="V55" s="22">
        <f t="shared" si="41"/>
        <v>0</v>
      </c>
      <c r="W55" s="22">
        <f t="shared" si="41"/>
        <v>1</v>
      </c>
      <c r="X55" s="22">
        <f t="shared" si="41"/>
        <v>0</v>
      </c>
      <c r="Y55" s="22">
        <f t="shared" si="41"/>
        <v>0</v>
      </c>
      <c r="Z55" s="22"/>
      <c r="AA55" s="22"/>
      <c r="AB55" s="22"/>
      <c r="AC55" s="21">
        <f t="shared" si="49"/>
        <v>1</v>
      </c>
    </row>
    <row r="56" spans="1:29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  <c r="L56" s="22"/>
      <c r="M56" s="22">
        <v>0</v>
      </c>
      <c r="N56" s="22"/>
      <c r="O56" s="22"/>
      <c r="P56" s="22"/>
      <c r="Q56" s="22"/>
      <c r="R56" s="22"/>
      <c r="S56" s="21">
        <f>SUM(L56:R56)</f>
        <v>0</v>
      </c>
      <c r="T56" s="6"/>
      <c r="V56" s="22">
        <f t="shared" si="41"/>
        <v>0</v>
      </c>
      <c r="W56" s="22">
        <f t="shared" si="41"/>
        <v>0</v>
      </c>
      <c r="X56" s="22">
        <f t="shared" si="41"/>
        <v>0</v>
      </c>
      <c r="Y56" s="22">
        <f t="shared" si="41"/>
        <v>0</v>
      </c>
      <c r="Z56" s="22"/>
      <c r="AA56" s="22"/>
      <c r="AB56" s="22"/>
      <c r="AC56" s="21">
        <f>SUM(V56:AB56)</f>
        <v>0</v>
      </c>
    </row>
    <row r="57" spans="1:29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37"/>
        <v>0</v>
      </c>
      <c r="J57" s="6"/>
      <c r="L57" s="22"/>
      <c r="M57" s="22"/>
      <c r="N57" s="22"/>
      <c r="O57" s="22"/>
      <c r="P57" s="22"/>
      <c r="Q57" s="22"/>
      <c r="R57" s="22"/>
      <c r="S57" s="21">
        <f t="shared" ref="S57" si="50">SUM(L57:R57)</f>
        <v>0</v>
      </c>
      <c r="T57" s="6"/>
      <c r="V57" s="22">
        <f t="shared" si="41"/>
        <v>0</v>
      </c>
      <c r="W57" s="22">
        <f t="shared" si="41"/>
        <v>0</v>
      </c>
      <c r="X57" s="22">
        <f t="shared" si="41"/>
        <v>0</v>
      </c>
      <c r="Y57" s="22">
        <f t="shared" si="41"/>
        <v>0</v>
      </c>
      <c r="Z57" s="22"/>
      <c r="AA57" s="22"/>
      <c r="AB57" s="22"/>
      <c r="AC57" s="21">
        <f t="shared" ref="AC57" si="51">SUM(V57:AB57)</f>
        <v>0</v>
      </c>
    </row>
    <row r="58" spans="1:29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  <c r="L58" s="22">
        <v>0</v>
      </c>
      <c r="M58" s="22"/>
      <c r="N58" s="22"/>
      <c r="O58" s="22"/>
      <c r="P58" s="22"/>
      <c r="Q58" s="22"/>
      <c r="R58" s="22"/>
      <c r="S58" s="21">
        <f>SUM(L58:R58)</f>
        <v>0</v>
      </c>
      <c r="T58" s="6"/>
      <c r="V58" s="22">
        <f t="shared" si="41"/>
        <v>0</v>
      </c>
      <c r="W58" s="22">
        <f t="shared" si="41"/>
        <v>0</v>
      </c>
      <c r="X58" s="22">
        <f t="shared" si="41"/>
        <v>0</v>
      </c>
      <c r="Y58" s="22">
        <f t="shared" si="41"/>
        <v>0</v>
      </c>
      <c r="Z58" s="22"/>
      <c r="AA58" s="22"/>
      <c r="AB58" s="22"/>
      <c r="AC58" s="21">
        <f>SUM(V58:AB58)</f>
        <v>0</v>
      </c>
    </row>
    <row r="59" spans="1:29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37"/>
        <v>0</v>
      </c>
      <c r="J59" s="6"/>
      <c r="L59" s="22">
        <v>0</v>
      </c>
      <c r="M59" s="22"/>
      <c r="N59" s="22"/>
      <c r="O59" s="22"/>
      <c r="P59" s="22"/>
      <c r="Q59" s="22"/>
      <c r="R59" s="22"/>
      <c r="S59" s="21">
        <f t="shared" ref="S59:S60" si="52">SUM(L59:R59)</f>
        <v>0</v>
      </c>
      <c r="T59" s="6"/>
      <c r="V59" s="22">
        <f t="shared" si="41"/>
        <v>0</v>
      </c>
      <c r="W59" s="22">
        <f t="shared" si="41"/>
        <v>0</v>
      </c>
      <c r="X59" s="22">
        <f t="shared" si="41"/>
        <v>0</v>
      </c>
      <c r="Y59" s="22">
        <f t="shared" si="41"/>
        <v>0</v>
      </c>
      <c r="Z59" s="22"/>
      <c r="AA59" s="22"/>
      <c r="AB59" s="22"/>
      <c r="AC59" s="21">
        <f t="shared" ref="AC59:AC60" si="53">SUM(V59:AB59)</f>
        <v>0</v>
      </c>
    </row>
    <row r="60" spans="1:29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37"/>
        <v>0</v>
      </c>
      <c r="J60" s="6"/>
      <c r="L60" s="21"/>
      <c r="M60" s="21"/>
      <c r="N60" s="21"/>
      <c r="O60" s="21"/>
      <c r="P60" s="21"/>
      <c r="Q60" s="21"/>
      <c r="R60" s="21"/>
      <c r="S60" s="21">
        <f t="shared" si="52"/>
        <v>0</v>
      </c>
      <c r="T60" s="6"/>
      <c r="V60" s="22">
        <f t="shared" si="41"/>
        <v>0</v>
      </c>
      <c r="W60" s="22">
        <f t="shared" si="41"/>
        <v>0</v>
      </c>
      <c r="X60" s="22">
        <f t="shared" si="41"/>
        <v>0</v>
      </c>
      <c r="Y60" s="22">
        <f t="shared" si="41"/>
        <v>0</v>
      </c>
      <c r="Z60" s="21"/>
      <c r="AA60" s="21"/>
      <c r="AB60" s="21"/>
      <c r="AC60" s="21">
        <f t="shared" si="53"/>
        <v>0</v>
      </c>
    </row>
    <row r="61" spans="1:29" x14ac:dyDescent="0.35">
      <c r="A61" s="20" t="s">
        <v>58</v>
      </c>
      <c r="B61" s="28">
        <f t="shared" ref="B61:I61" si="54">SUM(B39:B60)</f>
        <v>12</v>
      </c>
      <c r="C61" s="28">
        <f t="shared" si="54"/>
        <v>4</v>
      </c>
      <c r="D61" s="28">
        <f t="shared" si="54"/>
        <v>2</v>
      </c>
      <c r="E61" s="28">
        <f t="shared" si="54"/>
        <v>0</v>
      </c>
      <c r="F61" s="28">
        <f t="shared" si="54"/>
        <v>0</v>
      </c>
      <c r="G61" s="28">
        <f t="shared" si="54"/>
        <v>0</v>
      </c>
      <c r="H61" s="28">
        <f t="shared" si="54"/>
        <v>0</v>
      </c>
      <c r="I61" s="28">
        <f t="shared" si="54"/>
        <v>18</v>
      </c>
      <c r="J61" s="7"/>
      <c r="L61" s="28">
        <f t="shared" ref="L61:S61" si="55">SUM(L39:L60)</f>
        <v>22</v>
      </c>
      <c r="M61" s="28">
        <f t="shared" si="55"/>
        <v>4</v>
      </c>
      <c r="N61" s="28">
        <f t="shared" si="55"/>
        <v>4</v>
      </c>
      <c r="O61" s="28">
        <f t="shared" si="55"/>
        <v>0</v>
      </c>
      <c r="P61" s="28">
        <f t="shared" si="55"/>
        <v>0</v>
      </c>
      <c r="Q61" s="28">
        <f t="shared" si="55"/>
        <v>0</v>
      </c>
      <c r="R61" s="28">
        <f t="shared" si="55"/>
        <v>0</v>
      </c>
      <c r="S61" s="28">
        <f t="shared" si="55"/>
        <v>30</v>
      </c>
      <c r="T61" s="7"/>
      <c r="V61" s="28">
        <f t="shared" ref="V61:AC61" si="56">SUM(V39:V60)</f>
        <v>34</v>
      </c>
      <c r="W61" s="28">
        <f t="shared" si="56"/>
        <v>8</v>
      </c>
      <c r="X61" s="28">
        <f t="shared" si="56"/>
        <v>6</v>
      </c>
      <c r="Y61" s="28">
        <f t="shared" si="56"/>
        <v>0</v>
      </c>
      <c r="Z61" s="28">
        <f t="shared" si="56"/>
        <v>0</v>
      </c>
      <c r="AA61" s="28">
        <f t="shared" si="56"/>
        <v>0</v>
      </c>
      <c r="AB61" s="28">
        <f t="shared" si="56"/>
        <v>0</v>
      </c>
      <c r="AC61" s="28">
        <f t="shared" si="56"/>
        <v>48</v>
      </c>
    </row>
    <row r="62" spans="1:29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  <c r="L62" s="30"/>
      <c r="M62" s="30"/>
      <c r="N62" s="30"/>
      <c r="O62" s="30"/>
      <c r="P62" s="30"/>
      <c r="Q62" s="30"/>
      <c r="R62" s="30"/>
      <c r="S62" s="30"/>
      <c r="T62" s="7"/>
      <c r="V62" s="30"/>
      <c r="W62" s="30"/>
      <c r="X62" s="30"/>
      <c r="Y62" s="30"/>
      <c r="Z62" s="30"/>
      <c r="AA62" s="30"/>
      <c r="AB62" s="30"/>
      <c r="AC62" s="30"/>
    </row>
    <row r="63" spans="1:29" x14ac:dyDescent="0.35">
      <c r="A63" s="31" t="s">
        <v>59</v>
      </c>
      <c r="B63" s="32">
        <f t="shared" ref="B63:I63" si="57">B36</f>
        <v>21</v>
      </c>
      <c r="C63" s="32">
        <f t="shared" si="57"/>
        <v>3</v>
      </c>
      <c r="D63" s="32">
        <f t="shared" si="57"/>
        <v>0</v>
      </c>
      <c r="E63" s="32">
        <f t="shared" si="57"/>
        <v>0</v>
      </c>
      <c r="F63" s="32">
        <f t="shared" si="57"/>
        <v>0</v>
      </c>
      <c r="G63" s="32">
        <f t="shared" si="57"/>
        <v>0</v>
      </c>
      <c r="H63" s="32">
        <f t="shared" si="57"/>
        <v>0</v>
      </c>
      <c r="I63" s="32">
        <f t="shared" si="57"/>
        <v>24</v>
      </c>
      <c r="J63" s="7"/>
      <c r="L63" s="32">
        <f t="shared" ref="L63:S63" si="58">L36</f>
        <v>48</v>
      </c>
      <c r="M63" s="32">
        <f t="shared" si="58"/>
        <v>4.5</v>
      </c>
      <c r="N63" s="32">
        <f t="shared" si="58"/>
        <v>0</v>
      </c>
      <c r="O63" s="32">
        <f t="shared" si="58"/>
        <v>0</v>
      </c>
      <c r="P63" s="32">
        <f t="shared" si="58"/>
        <v>0</v>
      </c>
      <c r="Q63" s="32">
        <f t="shared" si="58"/>
        <v>0</v>
      </c>
      <c r="R63" s="32">
        <f t="shared" si="58"/>
        <v>0</v>
      </c>
      <c r="S63" s="32">
        <f t="shared" si="58"/>
        <v>52.5</v>
      </c>
      <c r="T63" s="7"/>
      <c r="V63" s="32">
        <f t="shared" ref="V63:AC63" si="59">V36</f>
        <v>69</v>
      </c>
      <c r="W63" s="32">
        <f t="shared" si="59"/>
        <v>7.5</v>
      </c>
      <c r="X63" s="32">
        <f t="shared" si="59"/>
        <v>0</v>
      </c>
      <c r="Y63" s="32">
        <f t="shared" si="59"/>
        <v>0</v>
      </c>
      <c r="Z63" s="32">
        <f t="shared" si="59"/>
        <v>0</v>
      </c>
      <c r="AA63" s="32">
        <f t="shared" si="59"/>
        <v>0</v>
      </c>
      <c r="AB63" s="32">
        <f t="shared" si="59"/>
        <v>0</v>
      </c>
      <c r="AC63" s="32">
        <f t="shared" si="59"/>
        <v>76.5</v>
      </c>
    </row>
    <row r="64" spans="1:29" x14ac:dyDescent="0.35">
      <c r="A64" s="33" t="s">
        <v>60</v>
      </c>
      <c r="B64" s="34">
        <f>B61</f>
        <v>12</v>
      </c>
      <c r="C64" s="34">
        <f t="shared" ref="C64:I64" si="60">C61</f>
        <v>4</v>
      </c>
      <c r="D64" s="34">
        <f t="shared" si="60"/>
        <v>2</v>
      </c>
      <c r="E64" s="34">
        <f t="shared" si="60"/>
        <v>0</v>
      </c>
      <c r="F64" s="34">
        <f t="shared" si="60"/>
        <v>0</v>
      </c>
      <c r="G64" s="34">
        <f t="shared" si="60"/>
        <v>0</v>
      </c>
      <c r="H64" s="34">
        <f t="shared" si="60"/>
        <v>0</v>
      </c>
      <c r="I64" s="34">
        <f t="shared" si="60"/>
        <v>18</v>
      </c>
      <c r="J64" s="7"/>
      <c r="L64" s="34">
        <f>L61</f>
        <v>22</v>
      </c>
      <c r="M64" s="34">
        <f t="shared" ref="M64:S64" si="61">M61</f>
        <v>4</v>
      </c>
      <c r="N64" s="34">
        <f t="shared" si="61"/>
        <v>4</v>
      </c>
      <c r="O64" s="34">
        <f t="shared" si="61"/>
        <v>0</v>
      </c>
      <c r="P64" s="34">
        <f t="shared" si="61"/>
        <v>0</v>
      </c>
      <c r="Q64" s="34">
        <f t="shared" si="61"/>
        <v>0</v>
      </c>
      <c r="R64" s="34">
        <f t="shared" si="61"/>
        <v>0</v>
      </c>
      <c r="S64" s="34">
        <f t="shared" si="61"/>
        <v>30</v>
      </c>
      <c r="T64" s="7"/>
      <c r="V64" s="34">
        <f>V61</f>
        <v>34</v>
      </c>
      <c r="W64" s="34">
        <f t="shared" ref="W64:AC64" si="62">W61</f>
        <v>8</v>
      </c>
      <c r="X64" s="34">
        <f t="shared" si="62"/>
        <v>6</v>
      </c>
      <c r="Y64" s="34">
        <f t="shared" si="62"/>
        <v>0</v>
      </c>
      <c r="Z64" s="34">
        <f t="shared" si="62"/>
        <v>0</v>
      </c>
      <c r="AA64" s="34">
        <f t="shared" si="62"/>
        <v>0</v>
      </c>
      <c r="AB64" s="34">
        <f t="shared" si="62"/>
        <v>0</v>
      </c>
      <c r="AC64" s="34">
        <f t="shared" si="62"/>
        <v>48</v>
      </c>
    </row>
    <row r="65" spans="1:29" ht="15" thickBot="1" x14ac:dyDescent="0.4">
      <c r="A65" s="35" t="s">
        <v>61</v>
      </c>
      <c r="B65" s="36">
        <f>SUM(B63:B64)</f>
        <v>33</v>
      </c>
      <c r="C65" s="36">
        <f t="shared" ref="C65:H65" si="63">SUM(C63:C64)</f>
        <v>7</v>
      </c>
      <c r="D65" s="36">
        <f t="shared" si="63"/>
        <v>2</v>
      </c>
      <c r="E65" s="36">
        <f t="shared" si="63"/>
        <v>0</v>
      </c>
      <c r="F65" s="36">
        <f t="shared" si="63"/>
        <v>0</v>
      </c>
      <c r="G65" s="36">
        <f t="shared" si="63"/>
        <v>0</v>
      </c>
      <c r="H65" s="36">
        <f t="shared" si="63"/>
        <v>0</v>
      </c>
      <c r="I65" s="36">
        <f>SUM(I63:I64)</f>
        <v>42</v>
      </c>
      <c r="J65" s="7"/>
      <c r="L65" s="36">
        <f>SUM(L63:L64)</f>
        <v>70</v>
      </c>
      <c r="M65" s="36">
        <f t="shared" ref="M65:R65" si="64">SUM(M63:M64)</f>
        <v>8.5</v>
      </c>
      <c r="N65" s="36">
        <f t="shared" si="64"/>
        <v>4</v>
      </c>
      <c r="O65" s="36">
        <f t="shared" si="64"/>
        <v>0</v>
      </c>
      <c r="P65" s="36">
        <f t="shared" si="64"/>
        <v>0</v>
      </c>
      <c r="Q65" s="36">
        <f t="shared" si="64"/>
        <v>0</v>
      </c>
      <c r="R65" s="36">
        <f t="shared" si="64"/>
        <v>0</v>
      </c>
      <c r="S65" s="36">
        <f>SUM(S63:S64)</f>
        <v>82.5</v>
      </c>
      <c r="T65" s="7"/>
      <c r="V65" s="36">
        <f>SUM(V63:V64)</f>
        <v>103</v>
      </c>
      <c r="W65" s="36">
        <f t="shared" ref="W65:AB65" si="65">SUM(W63:W64)</f>
        <v>15.5</v>
      </c>
      <c r="X65" s="36">
        <f t="shared" si="65"/>
        <v>6</v>
      </c>
      <c r="Y65" s="36">
        <f t="shared" si="65"/>
        <v>0</v>
      </c>
      <c r="Z65" s="36">
        <f t="shared" si="65"/>
        <v>0</v>
      </c>
      <c r="AA65" s="36">
        <f t="shared" si="65"/>
        <v>0</v>
      </c>
      <c r="AB65" s="36">
        <f t="shared" si="65"/>
        <v>0</v>
      </c>
      <c r="AC65" s="36">
        <f>SUM(AC63:AC64)</f>
        <v>124.5</v>
      </c>
    </row>
    <row r="66" spans="1:29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  <c r="L66" s="37"/>
      <c r="M66" s="37"/>
      <c r="N66" s="37"/>
      <c r="O66" s="37"/>
      <c r="P66" s="37"/>
      <c r="Q66" s="37"/>
      <c r="R66" s="37"/>
      <c r="S66" s="37"/>
      <c r="T66" s="7"/>
      <c r="V66" s="37"/>
      <c r="W66" s="37"/>
      <c r="X66" s="37"/>
      <c r="Y66" s="37"/>
      <c r="Z66" s="37"/>
      <c r="AA66" s="37"/>
      <c r="AB66" s="37"/>
      <c r="AC66" s="37"/>
    </row>
    <row r="67" spans="1:29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0.64174109785216904</v>
      </c>
      <c r="J67" s="7"/>
      <c r="L67" s="39"/>
      <c r="M67" s="39"/>
      <c r="N67" s="39"/>
      <c r="O67" s="39"/>
      <c r="P67" s="39"/>
      <c r="Q67" s="39"/>
      <c r="R67" s="39"/>
      <c r="S67" s="40">
        <f>S142/(S210+S212+S213+S214+S215+S216)</f>
        <v>0.52963175894452064</v>
      </c>
      <c r="T67" s="7"/>
      <c r="V67" s="39"/>
      <c r="W67" s="39"/>
      <c r="X67" s="39"/>
      <c r="Y67" s="39"/>
      <c r="Z67" s="39"/>
      <c r="AA67" s="39"/>
      <c r="AB67" s="39"/>
      <c r="AC67" s="40">
        <f>AC142/(AC210+AC212+AC213+AC214+AC215+AC216)</f>
        <v>0.56280860959471257</v>
      </c>
    </row>
    <row r="68" spans="1:29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0.74866455652909458</v>
      </c>
      <c r="J68" s="7"/>
      <c r="L68" s="39"/>
      <c r="M68" s="39"/>
      <c r="N68" s="39"/>
      <c r="O68" s="39"/>
      <c r="P68" s="39"/>
      <c r="Q68" s="39"/>
      <c r="R68" s="39"/>
      <c r="S68" s="40">
        <f>(S114+S115+S118+S128)/S132</f>
        <v>0.74882754303070787</v>
      </c>
      <c r="T68" s="7"/>
      <c r="V68" s="39"/>
      <c r="W68" s="39"/>
      <c r="X68" s="39"/>
      <c r="Y68" s="39"/>
      <c r="Z68" s="39"/>
      <c r="AA68" s="39"/>
      <c r="AB68" s="39"/>
      <c r="AC68" s="40">
        <f>(AC114+AC115+AC118+AC128)/AC132</f>
        <v>0.74877309454447494</v>
      </c>
    </row>
    <row r="69" spans="1:29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0.21574268958895629</v>
      </c>
      <c r="J69" s="7"/>
      <c r="L69" s="39"/>
      <c r="M69" s="39"/>
      <c r="N69" s="39"/>
      <c r="O69" s="39"/>
      <c r="P69" s="39"/>
      <c r="Q69" s="39"/>
      <c r="R69" s="39"/>
      <c r="S69" s="40">
        <f>(S107+S108+S109+S112+S116+S117+S119+S120++S123+S124+S125+S126+S127+S129+S130)/S132</f>
        <v>0.20249909141519137</v>
      </c>
      <c r="T69" s="7"/>
      <c r="V69" s="39"/>
      <c r="W69" s="39"/>
      <c r="X69" s="39"/>
      <c r="Y69" s="39"/>
      <c r="Z69" s="39"/>
      <c r="AA69" s="39"/>
      <c r="AB69" s="39"/>
      <c r="AC69" s="40">
        <f>(AC107+AC108+AC109+AC112+AC116+AC117+AC119+AC120++AC123+AC124+AC125+AC126+AC127+AC129+AC130)/AC132</f>
        <v>0.20692334658788344</v>
      </c>
    </row>
    <row r="70" spans="1:29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(I213+I214+I215+I216+I212)/(I97-I83-I84)</f>
        <v>0.10610683173434525</v>
      </c>
      <c r="J70" s="7"/>
      <c r="L70" s="39"/>
      <c r="M70" s="39"/>
      <c r="N70" s="39"/>
      <c r="O70" s="39"/>
      <c r="P70" s="39"/>
      <c r="Q70" s="39"/>
      <c r="R70" s="39"/>
      <c r="S70" s="40">
        <f>(S213+S214+S215+S216+S212)/(S97-S83-S84)</f>
        <v>0.17424696776035425</v>
      </c>
      <c r="T70" s="7"/>
      <c r="V70" s="39"/>
      <c r="W70" s="39"/>
      <c r="X70" s="39"/>
      <c r="Y70" s="39"/>
      <c r="Z70" s="39"/>
      <c r="AA70" s="39"/>
      <c r="AB70" s="39"/>
      <c r="AC70" s="40">
        <f>(AC213+AC214+AC215+AC216+AC212)/(AC97-AC83-AC84)</f>
        <v>0.15400886110400275</v>
      </c>
    </row>
    <row r="71" spans="1:29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  <c r="L71" s="37"/>
      <c r="M71" s="37"/>
      <c r="N71" s="37"/>
      <c r="O71" s="37"/>
      <c r="P71" s="37"/>
      <c r="Q71" s="37"/>
      <c r="R71" s="37"/>
      <c r="S71" s="37"/>
      <c r="T71" s="7"/>
      <c r="V71" s="37"/>
      <c r="W71" s="37"/>
      <c r="X71" s="37"/>
      <c r="Y71" s="37"/>
      <c r="Z71" s="37"/>
      <c r="AA71" s="37"/>
      <c r="AB71" s="37"/>
      <c r="AC71" s="37"/>
    </row>
    <row r="72" spans="1:29" ht="15" thickBot="1" x14ac:dyDescent="0.4">
      <c r="A72" s="41" t="s">
        <v>66</v>
      </c>
      <c r="B72" s="42" t="str">
        <f t="shared" ref="B72:I72" si="66">B1</f>
        <v>Operating</v>
      </c>
      <c r="C72" s="42" t="str">
        <f t="shared" si="66"/>
        <v>SPED</v>
      </c>
      <c r="D72" s="42" t="str">
        <f t="shared" si="66"/>
        <v>NSLP</v>
      </c>
      <c r="E72" s="42" t="str">
        <f t="shared" si="66"/>
        <v>Other</v>
      </c>
      <c r="F72" s="42" t="str">
        <f t="shared" si="66"/>
        <v>Title I</v>
      </c>
      <c r="G72" s="42" t="str">
        <f t="shared" si="66"/>
        <v>Title II</v>
      </c>
      <c r="H72" s="42" t="str">
        <f t="shared" si="66"/>
        <v>Title III</v>
      </c>
      <c r="I72" s="42" t="str">
        <f t="shared" si="66"/>
        <v>B&amp;G</v>
      </c>
      <c r="J72" s="7"/>
      <c r="L72" s="42" t="str">
        <f t="shared" ref="L72:S72" si="67">L1</f>
        <v>Operating</v>
      </c>
      <c r="M72" s="42" t="str">
        <f t="shared" si="67"/>
        <v>SPED</v>
      </c>
      <c r="N72" s="42" t="str">
        <f t="shared" si="67"/>
        <v>NSLP</v>
      </c>
      <c r="O72" s="42" t="str">
        <f t="shared" si="67"/>
        <v>Other</v>
      </c>
      <c r="P72" s="42" t="str">
        <f t="shared" si="67"/>
        <v>Title I</v>
      </c>
      <c r="Q72" s="42" t="str">
        <f t="shared" si="67"/>
        <v>Title II</v>
      </c>
      <c r="R72" s="42" t="str">
        <f t="shared" si="67"/>
        <v>Title III</v>
      </c>
      <c r="S72" s="42" t="str">
        <f t="shared" si="67"/>
        <v>New</v>
      </c>
      <c r="T72" s="7"/>
      <c r="V72" s="42" t="str">
        <f t="shared" ref="V72:AC72" si="68">V1</f>
        <v>Operating</v>
      </c>
      <c r="W72" s="42" t="str">
        <f t="shared" si="68"/>
        <v>SPED</v>
      </c>
      <c r="X72" s="42" t="str">
        <f t="shared" si="68"/>
        <v>NSLP</v>
      </c>
      <c r="Y72" s="42" t="str">
        <f t="shared" si="68"/>
        <v>Other</v>
      </c>
      <c r="Z72" s="42" t="str">
        <f t="shared" si="68"/>
        <v>Title I</v>
      </c>
      <c r="AA72" s="42" t="str">
        <f t="shared" si="68"/>
        <v>Title II</v>
      </c>
      <c r="AB72" s="42" t="str">
        <f t="shared" si="68"/>
        <v>Title III</v>
      </c>
      <c r="AC72" s="42" t="str">
        <f t="shared" si="68"/>
        <v>MANN</v>
      </c>
    </row>
    <row r="73" spans="1:29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  <c r="L73" s="44"/>
      <c r="M73" s="44"/>
      <c r="N73" s="44"/>
      <c r="O73" s="44"/>
      <c r="P73" s="44"/>
      <c r="Q73" s="44"/>
      <c r="R73" s="44"/>
      <c r="S73" s="45"/>
      <c r="T73" s="7"/>
      <c r="V73" s="44"/>
      <c r="W73" s="44"/>
      <c r="X73" s="44"/>
      <c r="Y73" s="44"/>
      <c r="Z73" s="44"/>
      <c r="AA73" s="44"/>
      <c r="AB73" s="44"/>
      <c r="AC73" s="45"/>
    </row>
    <row r="74" spans="1:29" x14ac:dyDescent="0.35">
      <c r="A74" s="26" t="s">
        <v>68</v>
      </c>
      <c r="B74" s="46">
        <f>(B2*B3)</f>
        <v>4575600</v>
      </c>
      <c r="C74" s="46"/>
      <c r="D74" s="46"/>
      <c r="E74" s="46"/>
      <c r="F74" s="46"/>
      <c r="G74" s="46"/>
      <c r="H74" s="46"/>
      <c r="I74" s="47">
        <f t="shared" ref="I74:I79" si="69">SUM(B74:H74)</f>
        <v>4575600</v>
      </c>
      <c r="J74" s="11"/>
      <c r="L74" s="46">
        <f>(L2*L3)</f>
        <v>11266800</v>
      </c>
      <c r="M74" s="46"/>
      <c r="N74" s="46"/>
      <c r="O74" s="46"/>
      <c r="P74" s="46"/>
      <c r="Q74" s="46"/>
      <c r="R74" s="46"/>
      <c r="S74" s="47">
        <f t="shared" ref="S74:S79" si="70">SUM(L74:R74)</f>
        <v>11266800</v>
      </c>
      <c r="T74" s="11"/>
      <c r="V74" s="46">
        <f>B74+L74</f>
        <v>15842400</v>
      </c>
      <c r="W74" s="46">
        <f t="shared" ref="W74:Y79" si="71">C74+M74</f>
        <v>0</v>
      </c>
      <c r="X74" s="46">
        <f t="shared" si="71"/>
        <v>0</v>
      </c>
      <c r="Y74" s="46">
        <f t="shared" si="71"/>
        <v>0</v>
      </c>
      <c r="Z74" s="46"/>
      <c r="AA74" s="46"/>
      <c r="AB74" s="46"/>
      <c r="AC74" s="47">
        <f t="shared" ref="AC74:AC79" si="72">SUM(V74:AB74)</f>
        <v>15842400</v>
      </c>
    </row>
    <row r="75" spans="1:29" x14ac:dyDescent="0.35">
      <c r="A75" s="26" t="s">
        <v>69</v>
      </c>
      <c r="B75" s="30">
        <f>4428*B21</f>
        <v>637632</v>
      </c>
      <c r="C75" s="30"/>
      <c r="D75" s="30"/>
      <c r="E75" s="30"/>
      <c r="F75" s="30"/>
      <c r="G75" s="30"/>
      <c r="H75" s="30"/>
      <c r="I75" s="5">
        <f t="shared" si="69"/>
        <v>637632</v>
      </c>
      <c r="J75" s="6">
        <v>4428</v>
      </c>
      <c r="L75" s="30">
        <f>4428*L21</f>
        <v>1292976</v>
      </c>
      <c r="M75" s="30"/>
      <c r="N75" s="30"/>
      <c r="O75" s="30"/>
      <c r="P75" s="30"/>
      <c r="Q75" s="30"/>
      <c r="R75" s="30"/>
      <c r="S75" s="5">
        <f t="shared" si="70"/>
        <v>1292976</v>
      </c>
      <c r="T75" s="6">
        <v>4428</v>
      </c>
      <c r="V75" s="46">
        <f t="shared" ref="V75:V79" si="73">B75+L75</f>
        <v>1930608</v>
      </c>
      <c r="W75" s="46">
        <f t="shared" si="71"/>
        <v>0</v>
      </c>
      <c r="X75" s="46">
        <f t="shared" si="71"/>
        <v>0</v>
      </c>
      <c r="Y75" s="46">
        <f t="shared" si="71"/>
        <v>0</v>
      </c>
      <c r="Z75" s="30"/>
      <c r="AA75" s="30"/>
      <c r="AB75" s="30"/>
      <c r="AC75" s="5">
        <f t="shared" si="72"/>
        <v>1930608</v>
      </c>
    </row>
    <row r="76" spans="1:29" x14ac:dyDescent="0.35">
      <c r="A76" s="26" t="s">
        <v>70</v>
      </c>
      <c r="B76" s="5">
        <f>1180*B22</f>
        <v>0</v>
      </c>
      <c r="C76" s="5"/>
      <c r="D76" s="5"/>
      <c r="E76" s="5"/>
      <c r="F76" s="5"/>
      <c r="G76" s="5"/>
      <c r="H76" s="5"/>
      <c r="I76" s="5">
        <f t="shared" si="69"/>
        <v>0</v>
      </c>
      <c r="J76" s="6">
        <v>1180</v>
      </c>
      <c r="L76" s="5">
        <f>1180*L22</f>
        <v>0</v>
      </c>
      <c r="M76" s="5"/>
      <c r="N76" s="5"/>
      <c r="O76" s="5"/>
      <c r="P76" s="5"/>
      <c r="Q76" s="5"/>
      <c r="R76" s="5"/>
      <c r="S76" s="5">
        <f t="shared" si="70"/>
        <v>0</v>
      </c>
      <c r="T76" s="6">
        <v>1180</v>
      </c>
      <c r="V76" s="46">
        <f t="shared" si="73"/>
        <v>0</v>
      </c>
      <c r="W76" s="46">
        <f t="shared" si="71"/>
        <v>0</v>
      </c>
      <c r="X76" s="46">
        <f t="shared" si="71"/>
        <v>0</v>
      </c>
      <c r="Y76" s="46">
        <f t="shared" si="71"/>
        <v>0</v>
      </c>
      <c r="Z76" s="5"/>
      <c r="AA76" s="5"/>
      <c r="AB76" s="5"/>
      <c r="AC76" s="5">
        <f t="shared" si="72"/>
        <v>0</v>
      </c>
    </row>
    <row r="77" spans="1:29" x14ac:dyDescent="0.35">
      <c r="A77" s="26" t="s">
        <v>71</v>
      </c>
      <c r="B77" s="5">
        <f>3444*B24</f>
        <v>13776</v>
      </c>
      <c r="C77" s="5"/>
      <c r="D77" s="5"/>
      <c r="E77" s="5"/>
      <c r="F77" s="5"/>
      <c r="G77" s="5"/>
      <c r="H77" s="5"/>
      <c r="I77" s="5">
        <f t="shared" si="69"/>
        <v>13776</v>
      </c>
      <c r="J77" s="6">
        <v>3444</v>
      </c>
      <c r="L77" s="5">
        <f>3444*L24</f>
        <v>34440</v>
      </c>
      <c r="M77" s="5"/>
      <c r="N77" s="5"/>
      <c r="O77" s="5"/>
      <c r="P77" s="5"/>
      <c r="Q77" s="5"/>
      <c r="R77" s="5"/>
      <c r="S77" s="5">
        <f t="shared" si="70"/>
        <v>34440</v>
      </c>
      <c r="T77" s="6">
        <v>3444</v>
      </c>
      <c r="V77" s="46">
        <f t="shared" si="73"/>
        <v>48216</v>
      </c>
      <c r="W77" s="46">
        <f t="shared" si="71"/>
        <v>0</v>
      </c>
      <c r="X77" s="46">
        <f t="shared" si="71"/>
        <v>0</v>
      </c>
      <c r="Y77" s="46">
        <f t="shared" si="71"/>
        <v>0</v>
      </c>
      <c r="Z77" s="5"/>
      <c r="AA77" s="5"/>
      <c r="AB77" s="5"/>
      <c r="AC77" s="5">
        <f t="shared" si="72"/>
        <v>48216</v>
      </c>
    </row>
    <row r="78" spans="1:29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69"/>
        <v>53862</v>
      </c>
      <c r="J78" s="48"/>
      <c r="L78" s="30">
        <v>0</v>
      </c>
      <c r="M78" s="30">
        <v>0</v>
      </c>
      <c r="N78" s="30"/>
      <c r="O78" s="30"/>
      <c r="P78" s="30"/>
      <c r="Q78" s="30"/>
      <c r="R78" s="30"/>
      <c r="S78" s="30">
        <f t="shared" si="70"/>
        <v>0</v>
      </c>
      <c r="T78" s="48"/>
      <c r="V78" s="46">
        <f t="shared" si="73"/>
        <v>0</v>
      </c>
      <c r="W78" s="46">
        <f t="shared" si="71"/>
        <v>53862</v>
      </c>
      <c r="X78" s="46">
        <f t="shared" si="71"/>
        <v>0</v>
      </c>
      <c r="Y78" s="46">
        <f t="shared" si="71"/>
        <v>0</v>
      </c>
      <c r="Z78" s="30"/>
      <c r="AA78" s="30"/>
      <c r="AB78" s="30"/>
      <c r="AC78" s="30">
        <f t="shared" si="72"/>
        <v>53862</v>
      </c>
    </row>
    <row r="79" spans="1:29" x14ac:dyDescent="0.35">
      <c r="A79" s="26" t="s">
        <v>72</v>
      </c>
      <c r="B79" s="30">
        <v>0</v>
      </c>
      <c r="C79" s="30">
        <f>3900*C20</f>
        <v>218400</v>
      </c>
      <c r="D79" s="30"/>
      <c r="E79" s="30"/>
      <c r="F79" s="30"/>
      <c r="G79" s="30"/>
      <c r="H79" s="30"/>
      <c r="I79" s="30">
        <f t="shared" si="69"/>
        <v>218400</v>
      </c>
      <c r="J79" s="6">
        <v>3900</v>
      </c>
      <c r="L79" s="30">
        <v>0</v>
      </c>
      <c r="M79" s="30">
        <f>3900*M20</f>
        <v>440700</v>
      </c>
      <c r="N79" s="30"/>
      <c r="O79" s="30"/>
      <c r="P79" s="30"/>
      <c r="Q79" s="30"/>
      <c r="R79" s="30"/>
      <c r="S79" s="30">
        <f t="shared" si="70"/>
        <v>440700</v>
      </c>
      <c r="T79" s="6">
        <v>3900</v>
      </c>
      <c r="V79" s="46">
        <f t="shared" si="73"/>
        <v>0</v>
      </c>
      <c r="W79" s="46">
        <f t="shared" si="71"/>
        <v>659100</v>
      </c>
      <c r="X79" s="46">
        <f t="shared" si="71"/>
        <v>0</v>
      </c>
      <c r="Y79" s="46">
        <f t="shared" si="71"/>
        <v>0</v>
      </c>
      <c r="Z79" s="30"/>
      <c r="AA79" s="30"/>
      <c r="AB79" s="30"/>
      <c r="AC79" s="30">
        <f t="shared" si="72"/>
        <v>659100</v>
      </c>
    </row>
    <row r="80" spans="1:29" x14ac:dyDescent="0.35">
      <c r="A80" s="49" t="s">
        <v>74</v>
      </c>
      <c r="B80" s="50">
        <f t="shared" ref="B80:I80" si="74">SUM(B74:B79)</f>
        <v>5227008</v>
      </c>
      <c r="C80" s="50">
        <f t="shared" si="74"/>
        <v>272262</v>
      </c>
      <c r="D80" s="50">
        <f t="shared" si="74"/>
        <v>0</v>
      </c>
      <c r="E80" s="50"/>
      <c r="F80" s="50">
        <f t="shared" si="74"/>
        <v>0</v>
      </c>
      <c r="G80" s="50">
        <f t="shared" si="74"/>
        <v>0</v>
      </c>
      <c r="H80" s="50">
        <f t="shared" si="74"/>
        <v>0</v>
      </c>
      <c r="I80" s="50">
        <f t="shared" si="74"/>
        <v>5499270</v>
      </c>
      <c r="J80" s="7"/>
      <c r="L80" s="50">
        <f t="shared" ref="L80:N80" si="75">SUM(L74:L79)</f>
        <v>12594216</v>
      </c>
      <c r="M80" s="50">
        <f t="shared" si="75"/>
        <v>440700</v>
      </c>
      <c r="N80" s="50">
        <f t="shared" si="75"/>
        <v>0</v>
      </c>
      <c r="O80" s="50"/>
      <c r="P80" s="50">
        <f t="shared" ref="P80:S80" si="76">SUM(P74:P79)</f>
        <v>0</v>
      </c>
      <c r="Q80" s="50">
        <f t="shared" si="76"/>
        <v>0</v>
      </c>
      <c r="R80" s="50">
        <f t="shared" si="76"/>
        <v>0</v>
      </c>
      <c r="S80" s="50">
        <f t="shared" si="76"/>
        <v>13034916</v>
      </c>
      <c r="T80" s="7"/>
      <c r="V80" s="50">
        <f t="shared" ref="V80:X80" si="77">SUM(V74:V79)</f>
        <v>17821224</v>
      </c>
      <c r="W80" s="50">
        <f t="shared" si="77"/>
        <v>712962</v>
      </c>
      <c r="X80" s="50">
        <f t="shared" si="77"/>
        <v>0</v>
      </c>
      <c r="Y80" s="50"/>
      <c r="Z80" s="50">
        <f t="shared" ref="Z80:AC80" si="78">SUM(Z74:Z79)</f>
        <v>0</v>
      </c>
      <c r="AA80" s="50">
        <f t="shared" si="78"/>
        <v>0</v>
      </c>
      <c r="AB80" s="50">
        <f t="shared" si="78"/>
        <v>0</v>
      </c>
      <c r="AC80" s="50">
        <f t="shared" si="78"/>
        <v>18534186</v>
      </c>
    </row>
    <row r="81" spans="1:29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  <c r="L81" s="44"/>
      <c r="M81" s="44"/>
      <c r="N81" s="44"/>
      <c r="O81" s="44"/>
      <c r="P81" s="44"/>
      <c r="Q81" s="44"/>
      <c r="R81" s="44"/>
      <c r="S81" s="45"/>
      <c r="T81" s="7"/>
      <c r="V81" s="44"/>
      <c r="W81" s="44"/>
      <c r="X81" s="44"/>
      <c r="Y81" s="44"/>
      <c r="Z81" s="44"/>
      <c r="AA81" s="44"/>
      <c r="AB81" s="44"/>
      <c r="AC81" s="45"/>
    </row>
    <row r="82" spans="1:29" x14ac:dyDescent="0.35">
      <c r="A82" s="26" t="s">
        <v>76</v>
      </c>
      <c r="B82" s="5"/>
      <c r="C82" s="5">
        <f>950*C20</f>
        <v>53200</v>
      </c>
      <c r="D82" s="5"/>
      <c r="E82" s="5"/>
      <c r="F82" s="5"/>
      <c r="G82" s="5"/>
      <c r="H82" s="5"/>
      <c r="I82" s="5">
        <f>SUM(B82:H82)</f>
        <v>53200</v>
      </c>
      <c r="J82" s="6"/>
      <c r="L82" s="5"/>
      <c r="M82" s="5">
        <f>950*M20</f>
        <v>107350</v>
      </c>
      <c r="N82" s="5"/>
      <c r="O82" s="5"/>
      <c r="P82" s="5"/>
      <c r="Q82" s="5"/>
      <c r="R82" s="5"/>
      <c r="S82" s="5">
        <f>SUM(L82:R82)</f>
        <v>107350</v>
      </c>
      <c r="T82" s="6"/>
      <c r="V82" s="5">
        <f>B82+L82</f>
        <v>0</v>
      </c>
      <c r="W82" s="5">
        <f t="shared" ref="W82:Y89" si="79">C82+M82</f>
        <v>160550</v>
      </c>
      <c r="X82" s="5">
        <f t="shared" si="79"/>
        <v>0</v>
      </c>
      <c r="Y82" s="5">
        <f t="shared" si="79"/>
        <v>0</v>
      </c>
      <c r="Z82" s="5"/>
      <c r="AA82" s="5"/>
      <c r="AB82" s="5"/>
      <c r="AC82" s="5">
        <f>SUM(V82:AB82)</f>
        <v>160550</v>
      </c>
    </row>
    <row r="83" spans="1:29" x14ac:dyDescent="0.35">
      <c r="A83" s="26" t="s">
        <v>77</v>
      </c>
      <c r="B83" s="5"/>
      <c r="C83" s="5"/>
      <c r="D83" s="10">
        <f>((B17*0.95)*2.8*180)</f>
        <v>222641.99999999997</v>
      </c>
      <c r="E83" s="10"/>
      <c r="F83" s="10"/>
      <c r="G83" s="10"/>
      <c r="H83" s="10"/>
      <c r="I83" s="5">
        <f t="shared" ref="I83:I95" si="80">SUM(B83:H83)</f>
        <v>222641.99999999997</v>
      </c>
      <c r="J83" s="52">
        <v>2.8</v>
      </c>
      <c r="L83" s="5"/>
      <c r="M83" s="5"/>
      <c r="N83" s="10">
        <f>((L17*0.95)*2.8*180)</f>
        <v>548226</v>
      </c>
      <c r="O83" s="10"/>
      <c r="P83" s="10"/>
      <c r="Q83" s="10"/>
      <c r="R83" s="10"/>
      <c r="S83" s="5">
        <f t="shared" ref="S83:S88" si="81">SUM(L83:R83)</f>
        <v>548226</v>
      </c>
      <c r="T83" s="52">
        <v>2.8</v>
      </c>
      <c r="V83" s="5">
        <f t="shared" ref="V83:V89" si="82">B83+L83</f>
        <v>0</v>
      </c>
      <c r="W83" s="5">
        <f t="shared" si="79"/>
        <v>0</v>
      </c>
      <c r="X83" s="5">
        <f t="shared" si="79"/>
        <v>770868</v>
      </c>
      <c r="Y83" s="5">
        <f t="shared" si="79"/>
        <v>0</v>
      </c>
      <c r="Z83" s="10"/>
      <c r="AA83" s="10"/>
      <c r="AB83" s="10"/>
      <c r="AC83" s="5">
        <f t="shared" ref="AC83:AC88" si="83">SUM(V83:AB83)</f>
        <v>770868</v>
      </c>
    </row>
    <row r="84" spans="1:29" x14ac:dyDescent="0.35">
      <c r="A84" s="26" t="s">
        <v>78</v>
      </c>
      <c r="B84" s="30"/>
      <c r="C84" s="30"/>
      <c r="D84" s="10">
        <f>((B17*0.95)*4.42*180)</f>
        <v>351456.3</v>
      </c>
      <c r="E84" s="10"/>
      <c r="F84" s="10"/>
      <c r="G84" s="10"/>
      <c r="H84" s="10"/>
      <c r="I84" s="5">
        <f t="shared" si="80"/>
        <v>351456.3</v>
      </c>
      <c r="J84" s="52">
        <v>4.42</v>
      </c>
      <c r="L84" s="30"/>
      <c r="M84" s="30"/>
      <c r="N84" s="10">
        <f>((L17*0.95)*4.42*180)</f>
        <v>865413.89999999991</v>
      </c>
      <c r="O84" s="10"/>
      <c r="P84" s="10"/>
      <c r="Q84" s="10"/>
      <c r="R84" s="10"/>
      <c r="S84" s="5">
        <f t="shared" si="81"/>
        <v>865413.89999999991</v>
      </c>
      <c r="T84" s="52">
        <v>4.42</v>
      </c>
      <c r="V84" s="5">
        <f t="shared" si="82"/>
        <v>0</v>
      </c>
      <c r="W84" s="5">
        <f t="shared" si="79"/>
        <v>0</v>
      </c>
      <c r="X84" s="5">
        <f t="shared" si="79"/>
        <v>1216870.2</v>
      </c>
      <c r="Y84" s="5">
        <f t="shared" si="79"/>
        <v>0</v>
      </c>
      <c r="Z84" s="10"/>
      <c r="AA84" s="10"/>
      <c r="AB84" s="10"/>
      <c r="AC84" s="5">
        <f t="shared" si="83"/>
        <v>1216870.2</v>
      </c>
    </row>
    <row r="85" spans="1:29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80"/>
        <v>0</v>
      </c>
      <c r="J85" s="6"/>
      <c r="L85" s="30"/>
      <c r="M85" s="30"/>
      <c r="N85" s="30"/>
      <c r="O85" s="30"/>
      <c r="P85" s="30"/>
      <c r="Q85" s="30"/>
      <c r="R85" s="30"/>
      <c r="S85" s="5">
        <f t="shared" si="81"/>
        <v>0</v>
      </c>
      <c r="T85" s="6"/>
      <c r="V85" s="5">
        <f t="shared" si="82"/>
        <v>0</v>
      </c>
      <c r="W85" s="5">
        <f t="shared" si="79"/>
        <v>0</v>
      </c>
      <c r="X85" s="5">
        <f t="shared" si="79"/>
        <v>0</v>
      </c>
      <c r="Y85" s="5">
        <f t="shared" si="79"/>
        <v>0</v>
      </c>
      <c r="Z85" s="30"/>
      <c r="AA85" s="30"/>
      <c r="AB85" s="30"/>
      <c r="AC85" s="5">
        <f t="shared" si="83"/>
        <v>0</v>
      </c>
    </row>
    <row r="86" spans="1:29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80"/>
        <v>0</v>
      </c>
      <c r="J86" s="6"/>
      <c r="L86" s="30"/>
      <c r="M86" s="30"/>
      <c r="N86" s="30"/>
      <c r="O86" s="30"/>
      <c r="P86" s="30"/>
      <c r="Q86" s="30"/>
      <c r="R86" s="30"/>
      <c r="S86" s="5">
        <f t="shared" si="81"/>
        <v>0</v>
      </c>
      <c r="T86" s="6"/>
      <c r="V86" s="5">
        <f t="shared" si="82"/>
        <v>0</v>
      </c>
      <c r="W86" s="5">
        <f t="shared" si="79"/>
        <v>0</v>
      </c>
      <c r="X86" s="5">
        <f t="shared" si="79"/>
        <v>0</v>
      </c>
      <c r="Y86" s="5">
        <f t="shared" si="79"/>
        <v>0</v>
      </c>
      <c r="Z86" s="30"/>
      <c r="AA86" s="30"/>
      <c r="AB86" s="30"/>
      <c r="AC86" s="5">
        <f t="shared" si="83"/>
        <v>0</v>
      </c>
    </row>
    <row r="87" spans="1:29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80"/>
        <v>0</v>
      </c>
      <c r="J87" s="6"/>
      <c r="L87" s="30"/>
      <c r="M87" s="30"/>
      <c r="N87" s="30"/>
      <c r="O87" s="30"/>
      <c r="P87" s="30"/>
      <c r="Q87" s="30"/>
      <c r="R87" s="30"/>
      <c r="S87" s="5">
        <f t="shared" si="81"/>
        <v>0</v>
      </c>
      <c r="T87" s="6"/>
      <c r="V87" s="5">
        <f t="shared" si="82"/>
        <v>0</v>
      </c>
      <c r="W87" s="5">
        <f t="shared" si="79"/>
        <v>0</v>
      </c>
      <c r="X87" s="5">
        <f t="shared" si="79"/>
        <v>0</v>
      </c>
      <c r="Y87" s="5">
        <f t="shared" si="79"/>
        <v>0</v>
      </c>
      <c r="Z87" s="30"/>
      <c r="AA87" s="30"/>
      <c r="AB87" s="30"/>
      <c r="AC87" s="5">
        <f t="shared" si="83"/>
        <v>0</v>
      </c>
    </row>
    <row r="88" spans="1:29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80"/>
        <v>0</v>
      </c>
      <c r="J88" s="6"/>
      <c r="L88" s="30"/>
      <c r="M88" s="30"/>
      <c r="N88" s="30"/>
      <c r="O88" s="30"/>
      <c r="P88" s="30"/>
      <c r="Q88" s="30"/>
      <c r="R88" s="30"/>
      <c r="S88" s="5">
        <f t="shared" si="81"/>
        <v>0</v>
      </c>
      <c r="T88" s="6"/>
      <c r="V88" s="5">
        <f t="shared" si="82"/>
        <v>0</v>
      </c>
      <c r="W88" s="5">
        <f t="shared" si="79"/>
        <v>0</v>
      </c>
      <c r="X88" s="5">
        <f t="shared" si="79"/>
        <v>0</v>
      </c>
      <c r="Y88" s="5">
        <f t="shared" si="79"/>
        <v>0</v>
      </c>
      <c r="Z88" s="30"/>
      <c r="AA88" s="30"/>
      <c r="AB88" s="30"/>
      <c r="AC88" s="5">
        <f t="shared" si="83"/>
        <v>0</v>
      </c>
    </row>
    <row r="89" spans="1:29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  <c r="L89" s="30"/>
      <c r="M89" s="30"/>
      <c r="N89" s="30"/>
      <c r="O89" s="30"/>
      <c r="P89" s="30"/>
      <c r="Q89" s="30"/>
      <c r="R89" s="30"/>
      <c r="S89" s="5"/>
      <c r="T89" s="53"/>
      <c r="V89" s="5">
        <f t="shared" si="82"/>
        <v>0</v>
      </c>
      <c r="W89" s="5">
        <f t="shared" si="79"/>
        <v>0</v>
      </c>
      <c r="X89" s="5">
        <f t="shared" si="79"/>
        <v>0</v>
      </c>
      <c r="Y89" s="5">
        <f t="shared" si="79"/>
        <v>0</v>
      </c>
      <c r="Z89" s="30"/>
      <c r="AA89" s="30"/>
      <c r="AB89" s="30"/>
      <c r="AC89" s="5"/>
    </row>
    <row r="90" spans="1:29" x14ac:dyDescent="0.35">
      <c r="A90" s="49" t="s">
        <v>84</v>
      </c>
      <c r="B90" s="50">
        <f>SUM(B82:B88)</f>
        <v>0</v>
      </c>
      <c r="C90" s="50">
        <f t="shared" ref="C90:I90" si="84">SUM(C82:C88)</f>
        <v>53200</v>
      </c>
      <c r="D90" s="50">
        <f t="shared" si="84"/>
        <v>574098.29999999993</v>
      </c>
      <c r="E90" s="50"/>
      <c r="F90" s="50">
        <f t="shared" si="84"/>
        <v>0</v>
      </c>
      <c r="G90" s="50">
        <f t="shared" si="84"/>
        <v>0</v>
      </c>
      <c r="H90" s="50">
        <f t="shared" si="84"/>
        <v>0</v>
      </c>
      <c r="I90" s="50">
        <f t="shared" si="84"/>
        <v>627298.30000000005</v>
      </c>
      <c r="J90" s="7"/>
      <c r="L90" s="50">
        <f>SUM(L82:L88)</f>
        <v>0</v>
      </c>
      <c r="M90" s="50">
        <f t="shared" ref="M90:N90" si="85">SUM(M82:M88)</f>
        <v>107350</v>
      </c>
      <c r="N90" s="50">
        <f t="shared" si="85"/>
        <v>1413639.9</v>
      </c>
      <c r="O90" s="50"/>
      <c r="P90" s="50">
        <f t="shared" ref="P90:S90" si="86">SUM(P82:P88)</f>
        <v>0</v>
      </c>
      <c r="Q90" s="50">
        <f t="shared" si="86"/>
        <v>0</v>
      </c>
      <c r="R90" s="50">
        <f t="shared" si="86"/>
        <v>0</v>
      </c>
      <c r="S90" s="50">
        <f t="shared" si="86"/>
        <v>1520989.9</v>
      </c>
      <c r="T90" s="7"/>
      <c r="V90" s="50">
        <f>SUM(V82:V88)</f>
        <v>0</v>
      </c>
      <c r="W90" s="50">
        <f t="shared" ref="W90:X90" si="87">SUM(W82:W88)</f>
        <v>160550</v>
      </c>
      <c r="X90" s="50">
        <f t="shared" si="87"/>
        <v>1987738.2</v>
      </c>
      <c r="Y90" s="50"/>
      <c r="Z90" s="50">
        <f t="shared" ref="Z90:AC90" si="88">SUM(Z82:Z88)</f>
        <v>0</v>
      </c>
      <c r="AA90" s="50">
        <f t="shared" si="88"/>
        <v>0</v>
      </c>
      <c r="AB90" s="50">
        <f t="shared" si="88"/>
        <v>0</v>
      </c>
      <c r="AC90" s="50">
        <f t="shared" si="88"/>
        <v>2148288.2000000002</v>
      </c>
    </row>
    <row r="91" spans="1:29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  <c r="L91" s="44"/>
      <c r="M91" s="44"/>
      <c r="N91" s="44"/>
      <c r="O91" s="44"/>
      <c r="P91" s="44"/>
      <c r="Q91" s="44"/>
      <c r="R91" s="44"/>
      <c r="S91" s="45"/>
      <c r="T91" s="7"/>
      <c r="V91" s="44"/>
      <c r="W91" s="44"/>
      <c r="X91" s="44"/>
      <c r="Y91" s="44"/>
      <c r="Z91" s="44"/>
      <c r="AA91" s="44"/>
      <c r="AB91" s="44"/>
      <c r="AC91" s="45"/>
    </row>
    <row r="92" spans="1:29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80"/>
        <v>0</v>
      </c>
      <c r="J92" s="11"/>
      <c r="L92" s="5">
        <v>0</v>
      </c>
      <c r="M92" s="5"/>
      <c r="N92" s="5"/>
      <c r="O92" s="5"/>
      <c r="P92" s="5"/>
      <c r="Q92" s="5"/>
      <c r="R92" s="5"/>
      <c r="S92" s="5">
        <f t="shared" ref="S92:S95" si="89">SUM(L92:R92)</f>
        <v>0</v>
      </c>
      <c r="T92" s="11"/>
      <c r="V92" s="5">
        <f>B92+L92</f>
        <v>0</v>
      </c>
      <c r="W92" s="5">
        <f t="shared" ref="W92:Y95" si="90">C92+M92</f>
        <v>0</v>
      </c>
      <c r="X92" s="5">
        <f t="shared" si="90"/>
        <v>0</v>
      </c>
      <c r="Y92" s="5">
        <f t="shared" si="90"/>
        <v>0</v>
      </c>
      <c r="Z92" s="5"/>
      <c r="AA92" s="5"/>
      <c r="AB92" s="5"/>
      <c r="AC92" s="5">
        <f t="shared" ref="AC92:AC95" si="91">SUM(V92:AB92)</f>
        <v>0</v>
      </c>
    </row>
    <row r="93" spans="1:29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92">F161</f>
        <v>0</v>
      </c>
      <c r="G93" s="10">
        <f t="shared" si="92"/>
        <v>0</v>
      </c>
      <c r="H93" s="10">
        <f t="shared" si="92"/>
        <v>0</v>
      </c>
      <c r="I93" s="5">
        <f t="shared" si="80"/>
        <v>0</v>
      </c>
      <c r="J93" s="11"/>
      <c r="L93" s="10">
        <v>0</v>
      </c>
      <c r="M93" s="10">
        <v>0</v>
      </c>
      <c r="N93" s="10">
        <v>0</v>
      </c>
      <c r="O93" s="10"/>
      <c r="P93" s="10">
        <f t="shared" ref="P93:R93" si="93">P161</f>
        <v>0</v>
      </c>
      <c r="Q93" s="10">
        <f t="shared" si="93"/>
        <v>0</v>
      </c>
      <c r="R93" s="10">
        <f t="shared" si="93"/>
        <v>0</v>
      </c>
      <c r="S93" s="5">
        <f t="shared" si="89"/>
        <v>0</v>
      </c>
      <c r="T93" s="11"/>
      <c r="V93" s="5">
        <f t="shared" ref="V93:V95" si="94">B93+L93</f>
        <v>0</v>
      </c>
      <c r="W93" s="5">
        <f t="shared" si="90"/>
        <v>0</v>
      </c>
      <c r="X93" s="5">
        <f t="shared" si="90"/>
        <v>0</v>
      </c>
      <c r="Y93" s="5">
        <f t="shared" si="90"/>
        <v>0</v>
      </c>
      <c r="Z93" s="10">
        <f t="shared" ref="Z93:AB93" si="95">Z161</f>
        <v>0</v>
      </c>
      <c r="AA93" s="10">
        <f t="shared" si="95"/>
        <v>0</v>
      </c>
      <c r="AB93" s="10">
        <f t="shared" si="95"/>
        <v>0</v>
      </c>
      <c r="AC93" s="5">
        <f t="shared" si="91"/>
        <v>0</v>
      </c>
    </row>
    <row r="94" spans="1:29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80"/>
        <v>0</v>
      </c>
      <c r="J94" s="11"/>
      <c r="L94" s="30"/>
      <c r="M94" s="30"/>
      <c r="N94" s="30"/>
      <c r="O94" s="30"/>
      <c r="P94" s="30"/>
      <c r="Q94" s="30"/>
      <c r="R94" s="30"/>
      <c r="S94" s="30">
        <f t="shared" si="89"/>
        <v>0</v>
      </c>
      <c r="T94" s="11"/>
      <c r="V94" s="5">
        <f t="shared" si="94"/>
        <v>0</v>
      </c>
      <c r="W94" s="5">
        <f t="shared" si="90"/>
        <v>0</v>
      </c>
      <c r="X94" s="5">
        <f t="shared" si="90"/>
        <v>0</v>
      </c>
      <c r="Y94" s="5">
        <f t="shared" si="90"/>
        <v>0</v>
      </c>
      <c r="Z94" s="30"/>
      <c r="AA94" s="30"/>
      <c r="AB94" s="30"/>
      <c r="AC94" s="30">
        <f t="shared" si="91"/>
        <v>0</v>
      </c>
    </row>
    <row r="95" spans="1:29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80"/>
        <v>0</v>
      </c>
      <c r="J95" s="11"/>
      <c r="L95" s="30">
        <v>0</v>
      </c>
      <c r="M95" s="30"/>
      <c r="N95" s="30"/>
      <c r="O95" s="30"/>
      <c r="P95" s="30"/>
      <c r="Q95" s="30"/>
      <c r="R95" s="30"/>
      <c r="S95" s="30">
        <f t="shared" si="89"/>
        <v>0</v>
      </c>
      <c r="T95" s="11"/>
      <c r="V95" s="5">
        <f t="shared" si="94"/>
        <v>0</v>
      </c>
      <c r="W95" s="5">
        <f t="shared" si="90"/>
        <v>0</v>
      </c>
      <c r="X95" s="5">
        <f t="shared" si="90"/>
        <v>0</v>
      </c>
      <c r="Y95" s="5">
        <f t="shared" si="90"/>
        <v>0</v>
      </c>
      <c r="Z95" s="30"/>
      <c r="AA95" s="30"/>
      <c r="AB95" s="30"/>
      <c r="AC95" s="30">
        <f t="shared" si="91"/>
        <v>0</v>
      </c>
    </row>
    <row r="96" spans="1:29" x14ac:dyDescent="0.35">
      <c r="A96" s="49" t="s">
        <v>87</v>
      </c>
      <c r="B96" s="50">
        <f>SUM(B92:B95)</f>
        <v>0</v>
      </c>
      <c r="C96" s="50">
        <f t="shared" ref="C96:H96" si="96">SUM(C92:C95)</f>
        <v>0</v>
      </c>
      <c r="D96" s="50">
        <f t="shared" si="96"/>
        <v>0</v>
      </c>
      <c r="E96" s="50"/>
      <c r="F96" s="50">
        <f t="shared" si="96"/>
        <v>0</v>
      </c>
      <c r="G96" s="50">
        <f t="shared" si="96"/>
        <v>0</v>
      </c>
      <c r="H96" s="50">
        <f t="shared" si="96"/>
        <v>0</v>
      </c>
      <c r="I96" s="50">
        <f>SUM(I92:I95)</f>
        <v>0</v>
      </c>
      <c r="J96" s="7"/>
      <c r="L96" s="50">
        <f>SUM(L92:L95)</f>
        <v>0</v>
      </c>
      <c r="M96" s="50">
        <f t="shared" ref="M96:N96" si="97">SUM(M92:M95)</f>
        <v>0</v>
      </c>
      <c r="N96" s="50">
        <f t="shared" si="97"/>
        <v>0</v>
      </c>
      <c r="O96" s="50"/>
      <c r="P96" s="50">
        <f t="shared" ref="P96:R96" si="98">SUM(P92:P95)</f>
        <v>0</v>
      </c>
      <c r="Q96" s="50">
        <f t="shared" si="98"/>
        <v>0</v>
      </c>
      <c r="R96" s="50">
        <f t="shared" si="98"/>
        <v>0</v>
      </c>
      <c r="S96" s="50">
        <f>SUM(S92:S95)</f>
        <v>0</v>
      </c>
      <c r="T96" s="7"/>
      <c r="V96" s="50">
        <f>SUM(V92:V95)</f>
        <v>0</v>
      </c>
      <c r="W96" s="50">
        <f t="shared" ref="W96:X96" si="99">SUM(W92:W95)</f>
        <v>0</v>
      </c>
      <c r="X96" s="50">
        <f t="shared" si="99"/>
        <v>0</v>
      </c>
      <c r="Y96" s="50"/>
      <c r="Z96" s="50">
        <f t="shared" ref="Z96:AB96" si="100">SUM(Z92:Z95)</f>
        <v>0</v>
      </c>
      <c r="AA96" s="50">
        <f t="shared" si="100"/>
        <v>0</v>
      </c>
      <c r="AB96" s="50">
        <f t="shared" si="100"/>
        <v>0</v>
      </c>
      <c r="AC96" s="50">
        <f>SUM(AC92:AC95)</f>
        <v>0</v>
      </c>
    </row>
    <row r="97" spans="1:29" x14ac:dyDescent="0.35">
      <c r="A97" s="150" t="s">
        <v>88</v>
      </c>
      <c r="B97" s="151">
        <f t="shared" ref="B97:H97" si="101">B80+B90+B96</f>
        <v>5227008</v>
      </c>
      <c r="C97" s="151">
        <f t="shared" si="101"/>
        <v>325462</v>
      </c>
      <c r="D97" s="151">
        <f t="shared" si="101"/>
        <v>574098.29999999993</v>
      </c>
      <c r="E97" s="151"/>
      <c r="F97" s="151">
        <f t="shared" si="101"/>
        <v>0</v>
      </c>
      <c r="G97" s="151">
        <f t="shared" si="101"/>
        <v>0</v>
      </c>
      <c r="H97" s="151">
        <f t="shared" si="101"/>
        <v>0</v>
      </c>
      <c r="I97" s="151">
        <f>I80+I90+I96</f>
        <v>6126568.2999999998</v>
      </c>
      <c r="J97" s="7"/>
      <c r="L97" s="151">
        <f>L80+L90+L96</f>
        <v>12594216</v>
      </c>
      <c r="M97" s="151">
        <f t="shared" ref="M97:N97" si="102">M80+M90+M96</f>
        <v>548050</v>
      </c>
      <c r="N97" s="151">
        <f t="shared" si="102"/>
        <v>1413639.9</v>
      </c>
      <c r="O97" s="151"/>
      <c r="P97" s="151">
        <f t="shared" ref="P97:R97" si="103">P80+P90+P96</f>
        <v>0</v>
      </c>
      <c r="Q97" s="151">
        <f t="shared" si="103"/>
        <v>0</v>
      </c>
      <c r="R97" s="151">
        <f t="shared" si="103"/>
        <v>0</v>
      </c>
      <c r="S97" s="151">
        <f>S80+S90+S96</f>
        <v>14555905.9</v>
      </c>
      <c r="T97" s="7"/>
      <c r="V97" s="151">
        <f>V80+V90+V96</f>
        <v>17821224</v>
      </c>
      <c r="W97" s="151">
        <f t="shared" ref="W97:X97" si="104">W80+W90+W96</f>
        <v>873512</v>
      </c>
      <c r="X97" s="151">
        <f t="shared" si="104"/>
        <v>1987738.2</v>
      </c>
      <c r="Y97" s="151"/>
      <c r="Z97" s="151">
        <f t="shared" ref="Z97:AB97" si="105">Z80+Z90+Z96</f>
        <v>0</v>
      </c>
      <c r="AA97" s="151">
        <f t="shared" si="105"/>
        <v>0</v>
      </c>
      <c r="AB97" s="151">
        <f t="shared" si="105"/>
        <v>0</v>
      </c>
      <c r="AC97" s="151">
        <f>AC80+AC90+AC96</f>
        <v>20682474.199999999</v>
      </c>
    </row>
    <row r="98" spans="1:29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  <c r="L98" s="44"/>
      <c r="M98" s="44"/>
      <c r="N98" s="44"/>
      <c r="O98" s="44"/>
      <c r="P98" s="44"/>
      <c r="Q98" s="44"/>
      <c r="R98" s="44"/>
      <c r="S98" s="45"/>
      <c r="T98" s="7"/>
      <c r="V98" s="44"/>
      <c r="W98" s="44"/>
      <c r="X98" s="44"/>
      <c r="Y98" s="44"/>
      <c r="Z98" s="44"/>
      <c r="AA98" s="44"/>
      <c r="AB98" s="44"/>
      <c r="AC98" s="45"/>
    </row>
    <row r="99" spans="1:29" x14ac:dyDescent="0.35">
      <c r="A99" s="26" t="s">
        <v>281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11"/>
      <c r="L99" s="5">
        <v>0</v>
      </c>
      <c r="M99" s="5"/>
      <c r="N99" s="5"/>
      <c r="O99" s="5"/>
      <c r="P99" s="5"/>
      <c r="Q99" s="5"/>
      <c r="R99" s="5"/>
      <c r="S99" s="5">
        <f>SUM(L99:R99)</f>
        <v>0</v>
      </c>
      <c r="T99" s="11"/>
      <c r="V99" s="5">
        <f>B99+L99</f>
        <v>0</v>
      </c>
      <c r="W99" s="5">
        <f t="shared" ref="W99:Y102" si="106">C99+M99</f>
        <v>0</v>
      </c>
      <c r="X99" s="5">
        <f t="shared" si="106"/>
        <v>0</v>
      </c>
      <c r="Y99" s="5">
        <f t="shared" si="106"/>
        <v>0</v>
      </c>
      <c r="Z99" s="5"/>
      <c r="AA99" s="5"/>
      <c r="AB99" s="5"/>
      <c r="AC99" s="5">
        <f>SUM(V99:AB99)</f>
        <v>0</v>
      </c>
    </row>
    <row r="100" spans="1:29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107">F168</f>
        <v>0</v>
      </c>
      <c r="G100" s="10">
        <f t="shared" si="107"/>
        <v>0</v>
      </c>
      <c r="H100" s="10">
        <f t="shared" si="107"/>
        <v>0</v>
      </c>
      <c r="I100" s="5">
        <f t="shared" ref="I100:I102" si="108">SUM(B100:H100)</f>
        <v>0</v>
      </c>
      <c r="J100" s="11"/>
      <c r="L100" s="10">
        <v>0</v>
      </c>
      <c r="M100" s="10">
        <v>0</v>
      </c>
      <c r="N100" s="10">
        <v>0</v>
      </c>
      <c r="O100" s="10"/>
      <c r="P100" s="10">
        <f t="shared" ref="P100:R100" si="109">P168</f>
        <v>0</v>
      </c>
      <c r="Q100" s="10">
        <f t="shared" si="109"/>
        <v>0</v>
      </c>
      <c r="R100" s="10">
        <f t="shared" si="109"/>
        <v>0</v>
      </c>
      <c r="S100" s="5">
        <f t="shared" ref="S100:S102" si="110">SUM(L100:R100)</f>
        <v>0</v>
      </c>
      <c r="T100" s="11"/>
      <c r="V100" s="5">
        <f t="shared" ref="V100:V102" si="111">B100+L100</f>
        <v>0</v>
      </c>
      <c r="W100" s="5">
        <f t="shared" si="106"/>
        <v>0</v>
      </c>
      <c r="X100" s="5">
        <f t="shared" si="106"/>
        <v>0</v>
      </c>
      <c r="Y100" s="5">
        <f t="shared" si="106"/>
        <v>0</v>
      </c>
      <c r="Z100" s="10">
        <f t="shared" ref="Z100:AB100" si="112">Z168</f>
        <v>0</v>
      </c>
      <c r="AA100" s="10">
        <f t="shared" si="112"/>
        <v>0</v>
      </c>
      <c r="AB100" s="10">
        <f t="shared" si="112"/>
        <v>0</v>
      </c>
      <c r="AC100" s="5">
        <f t="shared" ref="AC100:AC102" si="113">SUM(V100:AB100)</f>
        <v>0</v>
      </c>
    </row>
    <row r="101" spans="1:29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108"/>
        <v>0</v>
      </c>
      <c r="J101" s="11"/>
      <c r="L101" s="30"/>
      <c r="M101" s="30"/>
      <c r="N101" s="30"/>
      <c r="O101" s="30"/>
      <c r="P101" s="30"/>
      <c r="Q101" s="30"/>
      <c r="R101" s="30"/>
      <c r="S101" s="5">
        <f t="shared" si="110"/>
        <v>0</v>
      </c>
      <c r="T101" s="11"/>
      <c r="V101" s="5">
        <f t="shared" si="111"/>
        <v>0</v>
      </c>
      <c r="W101" s="5">
        <f t="shared" si="106"/>
        <v>0</v>
      </c>
      <c r="X101" s="5">
        <f t="shared" si="106"/>
        <v>0</v>
      </c>
      <c r="Y101" s="5">
        <f t="shared" si="106"/>
        <v>0</v>
      </c>
      <c r="Z101" s="30"/>
      <c r="AA101" s="30"/>
      <c r="AB101" s="30"/>
      <c r="AC101" s="5">
        <f t="shared" si="113"/>
        <v>0</v>
      </c>
    </row>
    <row r="102" spans="1:29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108"/>
        <v>0</v>
      </c>
      <c r="J102" s="11"/>
      <c r="L102" s="30"/>
      <c r="M102" s="30"/>
      <c r="N102" s="30"/>
      <c r="O102" s="30"/>
      <c r="P102" s="30"/>
      <c r="Q102" s="30"/>
      <c r="R102" s="30"/>
      <c r="S102" s="5">
        <f t="shared" si="110"/>
        <v>0</v>
      </c>
      <c r="T102" s="11"/>
      <c r="V102" s="5">
        <f t="shared" si="111"/>
        <v>0</v>
      </c>
      <c r="W102" s="5">
        <f t="shared" si="106"/>
        <v>0</v>
      </c>
      <c r="X102" s="5">
        <f t="shared" si="106"/>
        <v>0</v>
      </c>
      <c r="Y102" s="5">
        <f t="shared" si="106"/>
        <v>0</v>
      </c>
      <c r="Z102" s="30"/>
      <c r="AA102" s="30"/>
      <c r="AB102" s="30"/>
      <c r="AC102" s="5">
        <f t="shared" si="113"/>
        <v>0</v>
      </c>
    </row>
    <row r="103" spans="1:29" x14ac:dyDescent="0.35">
      <c r="A103" s="49" t="s">
        <v>280</v>
      </c>
      <c r="B103" s="50">
        <f>SUM(B99:B102)</f>
        <v>0</v>
      </c>
      <c r="C103" s="50">
        <f t="shared" ref="C103:I103" si="114">SUM(C99:C102)</f>
        <v>0</v>
      </c>
      <c r="D103" s="50">
        <f t="shared" si="114"/>
        <v>0</v>
      </c>
      <c r="E103" s="50">
        <f t="shared" si="114"/>
        <v>0</v>
      </c>
      <c r="F103" s="50">
        <f t="shared" si="114"/>
        <v>0</v>
      </c>
      <c r="G103" s="50">
        <f t="shared" si="114"/>
        <v>0</v>
      </c>
      <c r="H103" s="50">
        <f t="shared" si="114"/>
        <v>0</v>
      </c>
      <c r="I103" s="50">
        <f t="shared" si="114"/>
        <v>0</v>
      </c>
      <c r="J103" s="7"/>
      <c r="L103" s="50">
        <f>SUM(L99:L102)</f>
        <v>0</v>
      </c>
      <c r="M103" s="50">
        <f t="shared" ref="M103:S103" si="115">SUM(M99:M102)</f>
        <v>0</v>
      </c>
      <c r="N103" s="50">
        <f t="shared" si="115"/>
        <v>0</v>
      </c>
      <c r="O103" s="50">
        <f t="shared" si="115"/>
        <v>0</v>
      </c>
      <c r="P103" s="50">
        <f t="shared" si="115"/>
        <v>0</v>
      </c>
      <c r="Q103" s="50">
        <f t="shared" si="115"/>
        <v>0</v>
      </c>
      <c r="R103" s="50">
        <f t="shared" si="115"/>
        <v>0</v>
      </c>
      <c r="S103" s="50">
        <f t="shared" si="115"/>
        <v>0</v>
      </c>
      <c r="T103" s="7"/>
      <c r="V103" s="50">
        <f>SUM(V99:V102)</f>
        <v>0</v>
      </c>
      <c r="W103" s="50">
        <f t="shared" ref="W103:AC103" si="116">SUM(W99:W102)</f>
        <v>0</v>
      </c>
      <c r="X103" s="50">
        <f t="shared" si="116"/>
        <v>0</v>
      </c>
      <c r="Y103" s="50">
        <f t="shared" si="116"/>
        <v>0</v>
      </c>
      <c r="Z103" s="50">
        <f t="shared" si="116"/>
        <v>0</v>
      </c>
      <c r="AA103" s="50">
        <f t="shared" si="116"/>
        <v>0</v>
      </c>
      <c r="AB103" s="50">
        <f t="shared" si="116"/>
        <v>0</v>
      </c>
      <c r="AC103" s="50">
        <f t="shared" si="116"/>
        <v>0</v>
      </c>
    </row>
    <row r="104" spans="1:29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  <c r="L104" s="37"/>
      <c r="M104" s="37"/>
      <c r="N104" s="37"/>
      <c r="O104" s="37"/>
      <c r="P104" s="37"/>
      <c r="Q104" s="37"/>
      <c r="R104" s="37"/>
      <c r="S104" s="37"/>
      <c r="T104" s="7"/>
      <c r="V104" s="37"/>
      <c r="W104" s="37"/>
      <c r="X104" s="37"/>
      <c r="Y104" s="37"/>
      <c r="Z104" s="37"/>
      <c r="AA104" s="37"/>
      <c r="AB104" s="37"/>
      <c r="AC104" s="37"/>
    </row>
    <row r="105" spans="1:29" ht="15" thickBot="1" x14ac:dyDescent="0.4">
      <c r="A105" s="55" t="s">
        <v>89</v>
      </c>
      <c r="B105" s="56" t="str">
        <f t="shared" ref="B105:I105" si="117">B1</f>
        <v>Operating</v>
      </c>
      <c r="C105" s="56" t="str">
        <f t="shared" si="117"/>
        <v>SPED</v>
      </c>
      <c r="D105" s="56" t="str">
        <f t="shared" si="117"/>
        <v>NSLP</v>
      </c>
      <c r="E105" s="56" t="str">
        <f t="shared" si="117"/>
        <v>Other</v>
      </c>
      <c r="F105" s="56" t="str">
        <f t="shared" si="117"/>
        <v>Title I</v>
      </c>
      <c r="G105" s="56" t="str">
        <f t="shared" si="117"/>
        <v>Title II</v>
      </c>
      <c r="H105" s="56" t="str">
        <f t="shared" si="117"/>
        <v>Title III</v>
      </c>
      <c r="I105" s="56" t="str">
        <f t="shared" si="117"/>
        <v>B&amp;G</v>
      </c>
      <c r="J105" s="7"/>
      <c r="L105" s="56" t="str">
        <f t="shared" ref="L105:S105" si="118">L1</f>
        <v>Operating</v>
      </c>
      <c r="M105" s="56" t="str">
        <f t="shared" si="118"/>
        <v>SPED</v>
      </c>
      <c r="N105" s="56" t="str">
        <f t="shared" si="118"/>
        <v>NSLP</v>
      </c>
      <c r="O105" s="56" t="str">
        <f t="shared" si="118"/>
        <v>Other</v>
      </c>
      <c r="P105" s="56" t="str">
        <f t="shared" si="118"/>
        <v>Title I</v>
      </c>
      <c r="Q105" s="56" t="str">
        <f t="shared" si="118"/>
        <v>Title II</v>
      </c>
      <c r="R105" s="56" t="str">
        <f t="shared" si="118"/>
        <v>Title III</v>
      </c>
      <c r="S105" s="56" t="str">
        <f t="shared" si="118"/>
        <v>New</v>
      </c>
      <c r="T105" s="7"/>
      <c r="V105" s="56" t="str">
        <f t="shared" ref="V105:AC105" si="119">V1</f>
        <v>Operating</v>
      </c>
      <c r="W105" s="56" t="str">
        <f t="shared" si="119"/>
        <v>SPED</v>
      </c>
      <c r="X105" s="56" t="str">
        <f t="shared" si="119"/>
        <v>NSLP</v>
      </c>
      <c r="Y105" s="56" t="str">
        <f t="shared" si="119"/>
        <v>Other</v>
      </c>
      <c r="Z105" s="56" t="str">
        <f t="shared" si="119"/>
        <v>Title I</v>
      </c>
      <c r="AA105" s="56" t="str">
        <f t="shared" si="119"/>
        <v>Title II</v>
      </c>
      <c r="AB105" s="56" t="str">
        <f t="shared" si="119"/>
        <v>Title III</v>
      </c>
      <c r="AC105" s="56" t="str">
        <f t="shared" si="119"/>
        <v>MANN</v>
      </c>
    </row>
    <row r="106" spans="1:29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  <c r="L106" s="44"/>
      <c r="M106" s="44"/>
      <c r="N106" s="44"/>
      <c r="O106" s="44"/>
      <c r="P106" s="44"/>
      <c r="Q106" s="44"/>
      <c r="R106" s="44"/>
      <c r="S106" s="45"/>
      <c r="T106" s="7"/>
      <c r="V106" s="44"/>
      <c r="W106" s="44"/>
      <c r="X106" s="44"/>
      <c r="Y106" s="44"/>
      <c r="Z106" s="44"/>
      <c r="AA106" s="44"/>
      <c r="AB106" s="44"/>
      <c r="AC106" s="45"/>
    </row>
    <row r="107" spans="1:29" x14ac:dyDescent="0.35">
      <c r="A107" s="26" t="s">
        <v>40</v>
      </c>
      <c r="B107" s="72">
        <f>120000*1.03*1.015*1.015</f>
        <v>127335.80999999997</v>
      </c>
      <c r="C107" s="10"/>
      <c r="D107" s="5"/>
      <c r="E107" s="5"/>
      <c r="F107" s="5"/>
      <c r="G107" s="5"/>
      <c r="H107" s="5"/>
      <c r="I107" s="5">
        <f t="shared" ref="I107:I120" si="120">SUM(B107:H107)</f>
        <v>127335.80999999997</v>
      </c>
      <c r="J107" s="11"/>
      <c r="L107" s="72">
        <f>140000*1.015*1.05</f>
        <v>149205</v>
      </c>
      <c r="M107" s="10"/>
      <c r="N107" s="5"/>
      <c r="O107" s="5"/>
      <c r="P107" s="5"/>
      <c r="Q107" s="5"/>
      <c r="R107" s="5"/>
      <c r="S107" s="5">
        <f t="shared" ref="S107:S120" si="121">SUM(L107:R107)</f>
        <v>149205</v>
      </c>
      <c r="T107" s="11"/>
      <c r="V107" s="72">
        <f>B107+L107</f>
        <v>276540.80999999994</v>
      </c>
      <c r="W107" s="72">
        <f t="shared" ref="W107:Y120" si="122">C107+M107</f>
        <v>0</v>
      </c>
      <c r="X107" s="72">
        <f t="shared" si="122"/>
        <v>0</v>
      </c>
      <c r="Y107" s="72">
        <f t="shared" si="122"/>
        <v>0</v>
      </c>
      <c r="Z107" s="5"/>
      <c r="AA107" s="5"/>
      <c r="AB107" s="5"/>
      <c r="AC107" s="5">
        <f t="shared" ref="AC107:AC120" si="123">SUM(V107:AB107)</f>
        <v>276540.80999999994</v>
      </c>
    </row>
    <row r="108" spans="1:29" x14ac:dyDescent="0.35">
      <c r="A108" s="26" t="s">
        <v>91</v>
      </c>
      <c r="B108" s="72">
        <f>100000*1.015*1.015</f>
        <v>103022.49999999997</v>
      </c>
      <c r="C108" s="10"/>
      <c r="D108" s="5"/>
      <c r="E108" s="5"/>
      <c r="F108" s="5"/>
      <c r="G108" s="5"/>
      <c r="H108" s="5"/>
      <c r="I108" s="5">
        <f t="shared" si="120"/>
        <v>103022.49999999997</v>
      </c>
      <c r="J108" s="11"/>
      <c r="L108" s="72">
        <f>(95000+100000)*1.015*1.02*1.015*1.015</f>
        <v>207985.42878749993</v>
      </c>
      <c r="M108" s="10"/>
      <c r="N108" s="5"/>
      <c r="O108" s="5"/>
      <c r="P108" s="5"/>
      <c r="Q108" s="5"/>
      <c r="R108" s="5"/>
      <c r="S108" s="5">
        <f t="shared" si="121"/>
        <v>207985.42878749993</v>
      </c>
      <c r="T108" s="11"/>
      <c r="V108" s="72">
        <f t="shared" ref="V108:V120" si="124">B108+L108</f>
        <v>311007.9287874999</v>
      </c>
      <c r="W108" s="72">
        <f t="shared" si="122"/>
        <v>0</v>
      </c>
      <c r="X108" s="72">
        <f t="shared" si="122"/>
        <v>0</v>
      </c>
      <c r="Y108" s="72">
        <f t="shared" si="122"/>
        <v>0</v>
      </c>
      <c r="Z108" s="5"/>
      <c r="AA108" s="5"/>
      <c r="AB108" s="5"/>
      <c r="AC108" s="5">
        <f t="shared" si="123"/>
        <v>311007.9287874999</v>
      </c>
    </row>
    <row r="109" spans="1:29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120"/>
        <v>0</v>
      </c>
      <c r="J109" s="11"/>
      <c r="L109" s="72">
        <f>(80000*L41)*1.015*1.015*1.015</f>
        <v>83654.26999999996</v>
      </c>
      <c r="M109" s="10"/>
      <c r="N109" s="5"/>
      <c r="O109" s="5"/>
      <c r="P109" s="5"/>
      <c r="Q109" s="5"/>
      <c r="R109" s="5"/>
      <c r="S109" s="5">
        <f t="shared" si="121"/>
        <v>83654.26999999996</v>
      </c>
      <c r="T109" s="11"/>
      <c r="V109" s="72">
        <f t="shared" si="124"/>
        <v>83654.26999999996</v>
      </c>
      <c r="W109" s="72">
        <f t="shared" si="122"/>
        <v>0</v>
      </c>
      <c r="X109" s="72">
        <f t="shared" si="122"/>
        <v>0</v>
      </c>
      <c r="Y109" s="72">
        <f t="shared" si="122"/>
        <v>0</v>
      </c>
      <c r="Z109" s="5"/>
      <c r="AA109" s="5"/>
      <c r="AB109" s="5"/>
      <c r="AC109" s="5">
        <f t="shared" si="123"/>
        <v>83654.26999999996</v>
      </c>
    </row>
    <row r="110" spans="1:29" x14ac:dyDescent="0.35">
      <c r="A110" s="27" t="s">
        <v>36</v>
      </c>
      <c r="B110" s="72">
        <v>0</v>
      </c>
      <c r="C110" s="10"/>
      <c r="D110" s="5"/>
      <c r="E110" s="5"/>
      <c r="F110" s="5"/>
      <c r="G110" s="5"/>
      <c r="H110" s="5"/>
      <c r="I110" s="5">
        <f t="shared" si="120"/>
        <v>0</v>
      </c>
      <c r="J110" s="11"/>
      <c r="L110" s="72">
        <v>0</v>
      </c>
      <c r="M110" s="10"/>
      <c r="N110" s="5"/>
      <c r="O110" s="5"/>
      <c r="P110" s="5"/>
      <c r="Q110" s="5"/>
      <c r="R110" s="5"/>
      <c r="S110" s="5">
        <f t="shared" si="121"/>
        <v>0</v>
      </c>
      <c r="T110" s="11"/>
      <c r="V110" s="72">
        <f t="shared" si="124"/>
        <v>0</v>
      </c>
      <c r="W110" s="72">
        <f t="shared" si="122"/>
        <v>0</v>
      </c>
      <c r="X110" s="72">
        <f t="shared" si="122"/>
        <v>0</v>
      </c>
      <c r="Y110" s="72">
        <f t="shared" si="122"/>
        <v>0</v>
      </c>
      <c r="Z110" s="5"/>
      <c r="AA110" s="5"/>
      <c r="AB110" s="5"/>
      <c r="AC110" s="5">
        <f t="shared" si="123"/>
        <v>0</v>
      </c>
    </row>
    <row r="111" spans="1:29" x14ac:dyDescent="0.35">
      <c r="A111" s="27" t="s">
        <v>38</v>
      </c>
      <c r="B111" s="72">
        <f>87500*1.015*1.015</f>
        <v>90144.687499999971</v>
      </c>
      <c r="C111" s="10"/>
      <c r="D111" s="5"/>
      <c r="E111" s="5"/>
      <c r="F111" s="5"/>
      <c r="G111" s="5"/>
      <c r="H111" s="5"/>
      <c r="I111" s="5">
        <f t="shared" si="120"/>
        <v>90144.687499999971</v>
      </c>
      <c r="J111" s="11"/>
      <c r="L111" s="72">
        <f>(L43*80000)*1.015*1.015*1.015</f>
        <v>167308.53999999992</v>
      </c>
      <c r="M111" s="10"/>
      <c r="N111" s="5"/>
      <c r="O111" s="5"/>
      <c r="P111" s="5"/>
      <c r="Q111" s="5"/>
      <c r="R111" s="5"/>
      <c r="S111" s="5">
        <f t="shared" si="121"/>
        <v>167308.53999999992</v>
      </c>
      <c r="T111" s="11"/>
      <c r="V111" s="72">
        <f t="shared" si="124"/>
        <v>257453.22749999989</v>
      </c>
      <c r="W111" s="72">
        <f t="shared" si="122"/>
        <v>0</v>
      </c>
      <c r="X111" s="72">
        <f t="shared" si="122"/>
        <v>0</v>
      </c>
      <c r="Y111" s="72">
        <f t="shared" si="122"/>
        <v>0</v>
      </c>
      <c r="Z111" s="5"/>
      <c r="AA111" s="5"/>
      <c r="AB111" s="5"/>
      <c r="AC111" s="5">
        <f t="shared" si="123"/>
        <v>257453.22749999989</v>
      </c>
    </row>
    <row r="112" spans="1:29" x14ac:dyDescent="0.35">
      <c r="A112" s="26" t="s">
        <v>92</v>
      </c>
      <c r="B112" s="72">
        <f>87500*1.015*1.015</f>
        <v>90144.687499999971</v>
      </c>
      <c r="C112" s="10"/>
      <c r="D112" s="5"/>
      <c r="E112" s="5"/>
      <c r="F112" s="5"/>
      <c r="G112" s="5"/>
      <c r="H112" s="5"/>
      <c r="I112" s="5">
        <f t="shared" si="120"/>
        <v>90144.687499999971</v>
      </c>
      <c r="J112" s="11"/>
      <c r="L112" s="72">
        <f>(80000*L44)*1.015*1.015*1.015</f>
        <v>167308.53999999992</v>
      </c>
      <c r="M112" s="10"/>
      <c r="N112" s="5"/>
      <c r="O112" s="5"/>
      <c r="P112" s="5"/>
      <c r="Q112" s="5"/>
      <c r="R112" s="5"/>
      <c r="S112" s="5">
        <f t="shared" si="121"/>
        <v>167308.53999999992</v>
      </c>
      <c r="T112" s="11"/>
      <c r="V112" s="72">
        <f t="shared" si="124"/>
        <v>257453.22749999989</v>
      </c>
      <c r="W112" s="72">
        <f t="shared" si="122"/>
        <v>0</v>
      </c>
      <c r="X112" s="72">
        <f t="shared" si="122"/>
        <v>0</v>
      </c>
      <c r="Y112" s="72">
        <f t="shared" si="122"/>
        <v>0</v>
      </c>
      <c r="Z112" s="5"/>
      <c r="AA112" s="5"/>
      <c r="AB112" s="5"/>
      <c r="AC112" s="5">
        <f t="shared" si="123"/>
        <v>257453.22749999989</v>
      </c>
    </row>
    <row r="113" spans="1:29" x14ac:dyDescent="0.35">
      <c r="A113" s="26" t="s">
        <v>93</v>
      </c>
      <c r="B113" s="10">
        <v>0</v>
      </c>
      <c r="C113" s="10"/>
      <c r="D113" s="5"/>
      <c r="E113" s="5"/>
      <c r="F113" s="5"/>
      <c r="G113" s="5"/>
      <c r="H113" s="5"/>
      <c r="I113" s="5">
        <f t="shared" si="120"/>
        <v>0</v>
      </c>
      <c r="J113" s="11"/>
      <c r="L113" s="72">
        <f>(75000*L45)*1.015*1.015*1.015</f>
        <v>78425.878124999959</v>
      </c>
      <c r="M113" s="10"/>
      <c r="N113" s="5"/>
      <c r="O113" s="5"/>
      <c r="P113" s="5"/>
      <c r="Q113" s="5"/>
      <c r="R113" s="5"/>
      <c r="S113" s="5">
        <f t="shared" si="121"/>
        <v>78425.878124999959</v>
      </c>
      <c r="T113" s="11"/>
      <c r="V113" s="72">
        <f t="shared" si="124"/>
        <v>78425.878124999959</v>
      </c>
      <c r="W113" s="72">
        <f t="shared" si="122"/>
        <v>0</v>
      </c>
      <c r="X113" s="72">
        <f t="shared" si="122"/>
        <v>0</v>
      </c>
      <c r="Y113" s="72">
        <f t="shared" si="122"/>
        <v>0</v>
      </c>
      <c r="Z113" s="5"/>
      <c r="AA113" s="5"/>
      <c r="AB113" s="5"/>
      <c r="AC113" s="5">
        <f t="shared" si="123"/>
        <v>78425.878124999959</v>
      </c>
    </row>
    <row r="114" spans="1:29" x14ac:dyDescent="0.35">
      <c r="A114" s="26" t="s">
        <v>94</v>
      </c>
      <c r="B114" s="10">
        <f>64605*(B36-B35)</f>
        <v>1356705</v>
      </c>
      <c r="C114" s="10"/>
      <c r="D114" s="5"/>
      <c r="E114" s="5"/>
      <c r="F114" s="5"/>
      <c r="G114" s="5"/>
      <c r="H114" s="5"/>
      <c r="I114" s="5">
        <f t="shared" si="120"/>
        <v>1356705</v>
      </c>
      <c r="J114" s="6">
        <v>64605</v>
      </c>
      <c r="L114" s="10">
        <f>64605*(L36-L35)</f>
        <v>3101040</v>
      </c>
      <c r="M114" s="10"/>
      <c r="N114" s="5"/>
      <c r="O114" s="5"/>
      <c r="P114" s="5"/>
      <c r="Q114" s="5"/>
      <c r="R114" s="5"/>
      <c r="S114" s="5">
        <f t="shared" si="121"/>
        <v>3101040</v>
      </c>
      <c r="T114" s="6">
        <v>64605</v>
      </c>
      <c r="V114" s="72">
        <f t="shared" si="124"/>
        <v>4457745</v>
      </c>
      <c r="W114" s="72">
        <f t="shared" si="122"/>
        <v>0</v>
      </c>
      <c r="X114" s="72">
        <f t="shared" si="122"/>
        <v>0</v>
      </c>
      <c r="Y114" s="72">
        <f t="shared" si="122"/>
        <v>0</v>
      </c>
      <c r="Z114" s="5"/>
      <c r="AA114" s="5"/>
      <c r="AB114" s="5"/>
      <c r="AC114" s="5">
        <f t="shared" si="123"/>
        <v>4457745</v>
      </c>
    </row>
    <row r="115" spans="1:29" x14ac:dyDescent="0.35">
      <c r="A115" s="26" t="s">
        <v>27</v>
      </c>
      <c r="B115" s="10"/>
      <c r="C115" s="10">
        <f>64605*C36</f>
        <v>193815</v>
      </c>
      <c r="D115" s="5"/>
      <c r="E115" s="5"/>
      <c r="F115" s="5"/>
      <c r="G115" s="5"/>
      <c r="H115" s="5"/>
      <c r="I115" s="5">
        <f t="shared" si="120"/>
        <v>193815</v>
      </c>
      <c r="J115" s="11"/>
      <c r="L115" s="10"/>
      <c r="M115" s="10">
        <f>64605*M36</f>
        <v>290722.5</v>
      </c>
      <c r="N115" s="5"/>
      <c r="O115" s="5"/>
      <c r="P115" s="5"/>
      <c r="Q115" s="5"/>
      <c r="R115" s="5"/>
      <c r="S115" s="5">
        <f t="shared" si="121"/>
        <v>290722.5</v>
      </c>
      <c r="T115" s="11"/>
      <c r="V115" s="72">
        <f t="shared" si="124"/>
        <v>0</v>
      </c>
      <c r="W115" s="72">
        <f t="shared" si="122"/>
        <v>484537.5</v>
      </c>
      <c r="X115" s="72">
        <f t="shared" si="122"/>
        <v>0</v>
      </c>
      <c r="Y115" s="72">
        <f t="shared" si="122"/>
        <v>0</v>
      </c>
      <c r="Z115" s="5"/>
      <c r="AA115" s="5"/>
      <c r="AB115" s="5"/>
      <c r="AC115" s="5">
        <f t="shared" si="123"/>
        <v>484537.5</v>
      </c>
    </row>
    <row r="116" spans="1:29" x14ac:dyDescent="0.35">
      <c r="A116" s="26" t="s">
        <v>95</v>
      </c>
      <c r="B116" s="72">
        <f>(50000+67200)*1.03*1.015*1.015*1.015</f>
        <v>126230.11071649997</v>
      </c>
      <c r="C116" s="10"/>
      <c r="D116" s="5"/>
      <c r="E116" s="5"/>
      <c r="F116" s="5"/>
      <c r="G116" s="5"/>
      <c r="H116" s="5"/>
      <c r="I116" s="5">
        <f t="shared" si="120"/>
        <v>126230.11071649997</v>
      </c>
      <c r="J116" s="11"/>
      <c r="L116" s="72">
        <f>(52000+45000)*1.015*1.015*1.015*1.015+(24*7.5*190*1)</f>
        <v>137152.26441062498</v>
      </c>
      <c r="M116" s="10"/>
      <c r="N116" s="5"/>
      <c r="O116" s="5"/>
      <c r="P116" s="5"/>
      <c r="Q116" s="5"/>
      <c r="R116" s="5"/>
      <c r="S116" s="5">
        <f t="shared" si="121"/>
        <v>137152.26441062498</v>
      </c>
      <c r="T116" s="11" t="s">
        <v>351</v>
      </c>
      <c r="V116" s="72">
        <f t="shared" si="124"/>
        <v>263382.37512712495</v>
      </c>
      <c r="W116" s="72">
        <f t="shared" si="122"/>
        <v>0</v>
      </c>
      <c r="X116" s="72">
        <f t="shared" si="122"/>
        <v>0</v>
      </c>
      <c r="Y116" s="72">
        <f t="shared" si="122"/>
        <v>0</v>
      </c>
      <c r="Z116" s="5"/>
      <c r="AA116" s="5"/>
      <c r="AB116" s="5"/>
      <c r="AC116" s="5">
        <f t="shared" si="123"/>
        <v>263382.37512712495</v>
      </c>
    </row>
    <row r="117" spans="1:29" x14ac:dyDescent="0.35">
      <c r="A117" s="26" t="s">
        <v>96</v>
      </c>
      <c r="B117" s="10">
        <f>33120*1.03*1.015*1.015*1.015</f>
        <v>35671.85381339999</v>
      </c>
      <c r="C117" s="10"/>
      <c r="D117" s="5"/>
      <c r="E117" s="5"/>
      <c r="F117" s="5"/>
      <c r="G117" s="5"/>
      <c r="H117" s="5"/>
      <c r="I117" s="5">
        <f t="shared" si="120"/>
        <v>35671.85381339999</v>
      </c>
      <c r="J117" s="11"/>
      <c r="L117" s="10">
        <f>(24*8*185)*(L48+L49)</f>
        <v>88800</v>
      </c>
      <c r="M117" s="10"/>
      <c r="N117" s="5"/>
      <c r="O117" s="5"/>
      <c r="P117" s="5"/>
      <c r="Q117" s="5"/>
      <c r="R117" s="5"/>
      <c r="S117" s="5">
        <f t="shared" si="121"/>
        <v>88800</v>
      </c>
      <c r="T117" s="11"/>
      <c r="V117" s="72">
        <f t="shared" si="124"/>
        <v>124471.8538134</v>
      </c>
      <c r="W117" s="72">
        <f t="shared" si="122"/>
        <v>0</v>
      </c>
      <c r="X117" s="72">
        <f t="shared" si="122"/>
        <v>0</v>
      </c>
      <c r="Y117" s="72">
        <f t="shared" si="122"/>
        <v>0</v>
      </c>
      <c r="Z117" s="5"/>
      <c r="AA117" s="5"/>
      <c r="AB117" s="5"/>
      <c r="AC117" s="5">
        <f t="shared" si="123"/>
        <v>124471.8538134</v>
      </c>
    </row>
    <row r="118" spans="1:29" x14ac:dyDescent="0.35">
      <c r="A118" s="26" t="s">
        <v>292</v>
      </c>
      <c r="B118" s="10">
        <f>((24*8*180)*B50)</f>
        <v>172800</v>
      </c>
      <c r="C118" s="10">
        <f t="shared" ref="C118:D118" si="125">((24*8*180)*C50)</f>
        <v>103680</v>
      </c>
      <c r="D118" s="10">
        <f t="shared" si="125"/>
        <v>69120</v>
      </c>
      <c r="E118" s="5"/>
      <c r="F118" s="5">
        <f>(14*8*180)*F50</f>
        <v>0</v>
      </c>
      <c r="G118" s="5"/>
      <c r="H118" s="5"/>
      <c r="I118" s="5">
        <f t="shared" si="120"/>
        <v>345600</v>
      </c>
      <c r="J118" s="11"/>
      <c r="L118" s="10">
        <f>((24*7.5*180)*L50)</f>
        <v>162000</v>
      </c>
      <c r="M118" s="10">
        <f>((24*7.5*180)*M50)</f>
        <v>129600</v>
      </c>
      <c r="N118" s="10">
        <f>((24*7.5*180)*N50)</f>
        <v>97200</v>
      </c>
      <c r="O118" s="5"/>
      <c r="P118" s="5">
        <f>(14*8*180)*P50</f>
        <v>0</v>
      </c>
      <c r="Q118" s="5"/>
      <c r="R118" s="5"/>
      <c r="S118" s="5">
        <f t="shared" si="121"/>
        <v>388800</v>
      </c>
      <c r="T118" s="11"/>
      <c r="V118" s="72">
        <f t="shared" si="124"/>
        <v>334800</v>
      </c>
      <c r="W118" s="72">
        <f t="shared" si="122"/>
        <v>233280</v>
      </c>
      <c r="X118" s="72">
        <f t="shared" si="122"/>
        <v>166320</v>
      </c>
      <c r="Y118" s="72">
        <f t="shared" si="122"/>
        <v>0</v>
      </c>
      <c r="Z118" s="5">
        <f>(14*8*180)*Z50</f>
        <v>0</v>
      </c>
      <c r="AA118" s="5"/>
      <c r="AB118" s="5"/>
      <c r="AC118" s="5">
        <f t="shared" si="123"/>
        <v>734400</v>
      </c>
    </row>
    <row r="119" spans="1:29" x14ac:dyDescent="0.35">
      <c r="A119" s="26" t="s">
        <v>97</v>
      </c>
      <c r="B119" s="10">
        <f>(17.25*8*240)*B51</f>
        <v>0</v>
      </c>
      <c r="C119" s="10"/>
      <c r="D119" s="5"/>
      <c r="E119" s="5"/>
      <c r="F119" s="5"/>
      <c r="G119" s="5"/>
      <c r="H119" s="5"/>
      <c r="I119" s="5">
        <f t="shared" si="120"/>
        <v>0</v>
      </c>
      <c r="J119" s="11"/>
      <c r="L119" s="10">
        <f>(24*8*240)*L51</f>
        <v>138240</v>
      </c>
      <c r="M119" s="10"/>
      <c r="N119" s="5"/>
      <c r="O119" s="5"/>
      <c r="P119" s="5"/>
      <c r="Q119" s="5"/>
      <c r="R119" s="5"/>
      <c r="S119" s="5">
        <f t="shared" si="121"/>
        <v>138240</v>
      </c>
      <c r="T119" s="11"/>
      <c r="V119" s="72">
        <f t="shared" si="124"/>
        <v>138240</v>
      </c>
      <c r="W119" s="72">
        <f t="shared" si="122"/>
        <v>0</v>
      </c>
      <c r="X119" s="72">
        <f t="shared" si="122"/>
        <v>0</v>
      </c>
      <c r="Y119" s="72">
        <f t="shared" si="122"/>
        <v>0</v>
      </c>
      <c r="Z119" s="5"/>
      <c r="AA119" s="5"/>
      <c r="AB119" s="5"/>
      <c r="AC119" s="5">
        <f t="shared" si="123"/>
        <v>138240</v>
      </c>
    </row>
    <row r="120" spans="1:29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120"/>
        <v>0</v>
      </c>
      <c r="J120" s="11"/>
      <c r="L120" s="10"/>
      <c r="M120" s="10"/>
      <c r="N120" s="5">
        <v>50000</v>
      </c>
      <c r="O120" s="5"/>
      <c r="P120" s="5"/>
      <c r="Q120" s="5"/>
      <c r="R120" s="5"/>
      <c r="S120" s="5">
        <f t="shared" si="121"/>
        <v>50000</v>
      </c>
      <c r="T120" s="11"/>
      <c r="V120" s="72">
        <f t="shared" si="124"/>
        <v>0</v>
      </c>
      <c r="W120" s="72">
        <f t="shared" si="122"/>
        <v>0</v>
      </c>
      <c r="X120" s="72">
        <f t="shared" si="122"/>
        <v>50000</v>
      </c>
      <c r="Y120" s="72">
        <f t="shared" si="122"/>
        <v>0</v>
      </c>
      <c r="Z120" s="5"/>
      <c r="AA120" s="5"/>
      <c r="AB120" s="5"/>
      <c r="AC120" s="5">
        <f t="shared" si="123"/>
        <v>50000</v>
      </c>
    </row>
    <row r="121" spans="1:29" x14ac:dyDescent="0.35">
      <c r="A121" s="57" t="s">
        <v>98</v>
      </c>
      <c r="B121" s="58">
        <f>SUM(B107:B120)</f>
        <v>2102054.6495298999</v>
      </c>
      <c r="C121" s="58">
        <f t="shared" ref="C121:D121" si="126">SUM(C107:C120)</f>
        <v>297495</v>
      </c>
      <c r="D121" s="58">
        <f t="shared" si="126"/>
        <v>69120</v>
      </c>
      <c r="E121" s="58"/>
      <c r="F121" s="58">
        <f t="shared" ref="F121:I121" si="127">SUM(F107:F120)</f>
        <v>0</v>
      </c>
      <c r="G121" s="58">
        <f t="shared" si="127"/>
        <v>0</v>
      </c>
      <c r="H121" s="58">
        <f t="shared" si="127"/>
        <v>0</v>
      </c>
      <c r="I121" s="58">
        <f t="shared" si="127"/>
        <v>2468669.6495298999</v>
      </c>
      <c r="J121" s="7"/>
      <c r="L121" s="58">
        <f>SUM(L107:L120)</f>
        <v>4481119.9213231243</v>
      </c>
      <c r="M121" s="58">
        <f t="shared" ref="M121:N121" si="128">SUM(M107:M120)</f>
        <v>420322.5</v>
      </c>
      <c r="N121" s="58">
        <f t="shared" si="128"/>
        <v>147200</v>
      </c>
      <c r="O121" s="58"/>
      <c r="P121" s="58">
        <f t="shared" ref="P121:S121" si="129">SUM(P107:P120)</f>
        <v>0</v>
      </c>
      <c r="Q121" s="58">
        <f t="shared" si="129"/>
        <v>0</v>
      </c>
      <c r="R121" s="58">
        <f t="shared" si="129"/>
        <v>0</v>
      </c>
      <c r="S121" s="58">
        <f t="shared" si="129"/>
        <v>5048642.4213231253</v>
      </c>
      <c r="T121" s="7"/>
      <c r="V121" s="58">
        <f>SUM(V107:V120)</f>
        <v>6583174.5708530238</v>
      </c>
      <c r="W121" s="58">
        <f t="shared" ref="W121:X121" si="130">SUM(W107:W120)</f>
        <v>717817.5</v>
      </c>
      <c r="X121" s="58">
        <f t="shared" si="130"/>
        <v>216320</v>
      </c>
      <c r="Y121" s="58"/>
      <c r="Z121" s="58">
        <f t="shared" ref="Z121:AC121" si="131">SUM(Z107:Z120)</f>
        <v>0</v>
      </c>
      <c r="AA121" s="58">
        <f t="shared" si="131"/>
        <v>0</v>
      </c>
      <c r="AB121" s="58">
        <f t="shared" si="131"/>
        <v>0</v>
      </c>
      <c r="AC121" s="58">
        <f t="shared" si="131"/>
        <v>7517312.0708530238</v>
      </c>
    </row>
    <row r="122" spans="1:29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  <c r="L122" s="44"/>
      <c r="M122" s="44"/>
      <c r="N122" s="44"/>
      <c r="O122" s="44"/>
      <c r="P122" s="44"/>
      <c r="Q122" s="44"/>
      <c r="R122" s="44"/>
      <c r="S122" s="45"/>
      <c r="T122" s="7"/>
      <c r="V122" s="44"/>
      <c r="W122" s="44"/>
      <c r="X122" s="44"/>
      <c r="Y122" s="44"/>
      <c r="Z122" s="44"/>
      <c r="AA122" s="44"/>
      <c r="AB122" s="44"/>
      <c r="AC122" s="45"/>
    </row>
    <row r="123" spans="1:29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132">SUM(B123:H123)</f>
        <v>0</v>
      </c>
      <c r="J123" s="11"/>
      <c r="L123" s="10">
        <v>0</v>
      </c>
      <c r="M123" s="72">
        <v>0</v>
      </c>
      <c r="N123" s="10"/>
      <c r="O123" s="10"/>
      <c r="P123" s="5"/>
      <c r="Q123" s="5"/>
      <c r="R123" s="5"/>
      <c r="S123" s="5">
        <f t="shared" ref="S123:S128" si="133">SUM(L123:R123)</f>
        <v>0</v>
      </c>
      <c r="T123" s="11"/>
      <c r="V123" s="10">
        <f>B123+L123</f>
        <v>0</v>
      </c>
      <c r="W123" s="10">
        <f t="shared" ref="W123:Y130" si="134">C123+M123</f>
        <v>0</v>
      </c>
      <c r="X123" s="10">
        <f t="shared" si="134"/>
        <v>0</v>
      </c>
      <c r="Y123" s="10">
        <f t="shared" si="134"/>
        <v>0</v>
      </c>
      <c r="Z123" s="5"/>
      <c r="AA123" s="5"/>
      <c r="AB123" s="5"/>
      <c r="AC123" s="5">
        <f t="shared" ref="AC123:AC128" si="135">SUM(V123:AB123)</f>
        <v>0</v>
      </c>
    </row>
    <row r="124" spans="1:29" x14ac:dyDescent="0.35">
      <c r="A124" s="26" t="s">
        <v>43</v>
      </c>
      <c r="B124" s="10">
        <v>0</v>
      </c>
      <c r="C124" s="72">
        <v>64000</v>
      </c>
      <c r="D124" s="10"/>
      <c r="E124" s="10"/>
      <c r="F124" s="5"/>
      <c r="G124" s="5"/>
      <c r="H124" s="5"/>
      <c r="I124" s="5">
        <f t="shared" si="132"/>
        <v>64000</v>
      </c>
      <c r="J124" s="11"/>
      <c r="L124" s="10">
        <v>0</v>
      </c>
      <c r="M124" s="72">
        <v>0</v>
      </c>
      <c r="N124" s="10"/>
      <c r="O124" s="10"/>
      <c r="P124" s="5"/>
      <c r="Q124" s="5"/>
      <c r="R124" s="5"/>
      <c r="S124" s="5">
        <f t="shared" si="133"/>
        <v>0</v>
      </c>
      <c r="T124" s="11"/>
      <c r="V124" s="10">
        <f t="shared" ref="V124:V130" si="136">B124+L124</f>
        <v>0</v>
      </c>
      <c r="W124" s="10">
        <f t="shared" si="134"/>
        <v>64000</v>
      </c>
      <c r="X124" s="10">
        <f t="shared" si="134"/>
        <v>0</v>
      </c>
      <c r="Y124" s="10">
        <f t="shared" si="134"/>
        <v>0</v>
      </c>
      <c r="Z124" s="5"/>
      <c r="AA124" s="5"/>
      <c r="AB124" s="5"/>
      <c r="AC124" s="5">
        <f t="shared" si="135"/>
        <v>64000</v>
      </c>
    </row>
    <row r="125" spans="1:29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132"/>
        <v>0</v>
      </c>
      <c r="J125" s="11"/>
      <c r="L125" s="10">
        <v>0</v>
      </c>
      <c r="M125" s="10">
        <v>0</v>
      </c>
      <c r="N125" s="10"/>
      <c r="O125" s="10"/>
      <c r="P125" s="5"/>
      <c r="Q125" s="5"/>
      <c r="R125" s="5"/>
      <c r="S125" s="5">
        <f t="shared" si="133"/>
        <v>0</v>
      </c>
      <c r="T125" s="11"/>
      <c r="V125" s="10">
        <f t="shared" si="136"/>
        <v>0</v>
      </c>
      <c r="W125" s="10">
        <f t="shared" si="134"/>
        <v>0</v>
      </c>
      <c r="X125" s="10">
        <f t="shared" si="134"/>
        <v>0</v>
      </c>
      <c r="Y125" s="10">
        <f t="shared" si="134"/>
        <v>0</v>
      </c>
      <c r="Z125" s="5"/>
      <c r="AA125" s="5"/>
      <c r="AB125" s="5"/>
      <c r="AC125" s="5">
        <f t="shared" si="135"/>
        <v>0</v>
      </c>
    </row>
    <row r="126" spans="1:29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132"/>
        <v>0</v>
      </c>
      <c r="J126" s="11"/>
      <c r="L126" s="10">
        <v>0</v>
      </c>
      <c r="M126" s="10"/>
      <c r="N126" s="10"/>
      <c r="O126" s="10"/>
      <c r="P126" s="5"/>
      <c r="Q126" s="5"/>
      <c r="R126" s="5"/>
      <c r="S126" s="21">
        <f t="shared" si="133"/>
        <v>0</v>
      </c>
      <c r="T126" s="11"/>
      <c r="V126" s="10">
        <f t="shared" si="136"/>
        <v>0</v>
      </c>
      <c r="W126" s="10">
        <f t="shared" si="134"/>
        <v>0</v>
      </c>
      <c r="X126" s="10">
        <f t="shared" si="134"/>
        <v>0</v>
      </c>
      <c r="Y126" s="10">
        <f t="shared" si="134"/>
        <v>0</v>
      </c>
      <c r="Z126" s="5"/>
      <c r="AA126" s="5"/>
      <c r="AB126" s="5"/>
      <c r="AC126" s="21">
        <f t="shared" si="135"/>
        <v>0</v>
      </c>
    </row>
    <row r="127" spans="1:29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132"/>
        <v>0</v>
      </c>
      <c r="J127" s="11"/>
      <c r="L127" s="10">
        <v>0</v>
      </c>
      <c r="M127" s="10"/>
      <c r="N127" s="10"/>
      <c r="O127" s="10"/>
      <c r="P127" s="5"/>
      <c r="Q127" s="5"/>
      <c r="R127" s="5"/>
      <c r="S127" s="5">
        <f t="shared" si="133"/>
        <v>0</v>
      </c>
      <c r="T127" s="11"/>
      <c r="V127" s="10">
        <f t="shared" si="136"/>
        <v>0</v>
      </c>
      <c r="W127" s="10">
        <f t="shared" si="134"/>
        <v>0</v>
      </c>
      <c r="X127" s="10">
        <f t="shared" si="134"/>
        <v>0</v>
      </c>
      <c r="Y127" s="10">
        <f t="shared" si="134"/>
        <v>0</v>
      </c>
      <c r="Z127" s="5"/>
      <c r="AA127" s="5"/>
      <c r="AB127" s="5"/>
      <c r="AC127" s="5">
        <f t="shared" si="135"/>
        <v>0</v>
      </c>
    </row>
    <row r="128" spans="1:29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132"/>
        <v>0</v>
      </c>
      <c r="J128" s="11"/>
      <c r="L128" s="72">
        <v>0</v>
      </c>
      <c r="M128" s="10"/>
      <c r="N128" s="10"/>
      <c r="O128" s="10"/>
      <c r="P128" s="5"/>
      <c r="Q128" s="5"/>
      <c r="R128" s="5"/>
      <c r="S128" s="5">
        <f t="shared" si="133"/>
        <v>0</v>
      </c>
      <c r="T128" s="11"/>
      <c r="V128" s="10">
        <f t="shared" si="136"/>
        <v>0</v>
      </c>
      <c r="W128" s="10">
        <f t="shared" si="134"/>
        <v>0</v>
      </c>
      <c r="X128" s="10">
        <f t="shared" si="134"/>
        <v>0</v>
      </c>
      <c r="Y128" s="10">
        <f t="shared" si="134"/>
        <v>0</v>
      </c>
      <c r="Z128" s="5"/>
      <c r="AA128" s="5"/>
      <c r="AB128" s="5"/>
      <c r="AC128" s="5">
        <f t="shared" si="135"/>
        <v>0</v>
      </c>
    </row>
    <row r="129" spans="1:29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  <c r="L129" s="10"/>
      <c r="M129" s="10">
        <f>(12.5*6*185)*M52</f>
        <v>0</v>
      </c>
      <c r="N129" s="72"/>
      <c r="O129" s="72"/>
      <c r="P129" s="5"/>
      <c r="Q129" s="5"/>
      <c r="R129" s="5"/>
      <c r="S129" s="5">
        <f>SUM(L129:R129)</f>
        <v>0</v>
      </c>
      <c r="T129" s="11"/>
      <c r="V129" s="10">
        <f t="shared" si="136"/>
        <v>0</v>
      </c>
      <c r="W129" s="10">
        <f t="shared" si="134"/>
        <v>0</v>
      </c>
      <c r="X129" s="10">
        <f t="shared" si="134"/>
        <v>0</v>
      </c>
      <c r="Y129" s="10">
        <f t="shared" si="134"/>
        <v>0</v>
      </c>
      <c r="Z129" s="5"/>
      <c r="AA129" s="5"/>
      <c r="AB129" s="5"/>
      <c r="AC129" s="5">
        <f>SUM(V129:AB129)</f>
        <v>0</v>
      </c>
    </row>
    <row r="130" spans="1:29" x14ac:dyDescent="0.35">
      <c r="A130" s="26" t="s">
        <v>55</v>
      </c>
      <c r="B130" s="148">
        <f>150*180*B59</f>
        <v>0</v>
      </c>
      <c r="C130" s="148">
        <f t="shared" ref="C130:H130" si="137">150*180*C59</f>
        <v>0</v>
      </c>
      <c r="D130" s="148">
        <f t="shared" si="137"/>
        <v>0</v>
      </c>
      <c r="E130" s="148">
        <f t="shared" si="137"/>
        <v>0</v>
      </c>
      <c r="F130" s="148">
        <f t="shared" si="137"/>
        <v>0</v>
      </c>
      <c r="G130" s="148">
        <f t="shared" si="137"/>
        <v>0</v>
      </c>
      <c r="H130" s="148">
        <f t="shared" si="137"/>
        <v>0</v>
      </c>
      <c r="I130" s="5">
        <f>SUM(B130:H130)</f>
        <v>0</v>
      </c>
      <c r="J130" s="11"/>
      <c r="L130" s="148">
        <f>150*180*L59</f>
        <v>0</v>
      </c>
      <c r="M130" s="148">
        <f t="shared" ref="M130:R130" si="138">150*180*M59</f>
        <v>0</v>
      </c>
      <c r="N130" s="148">
        <f t="shared" si="138"/>
        <v>0</v>
      </c>
      <c r="O130" s="148">
        <f t="shared" si="138"/>
        <v>0</v>
      </c>
      <c r="P130" s="148">
        <f t="shared" si="138"/>
        <v>0</v>
      </c>
      <c r="Q130" s="148">
        <f t="shared" si="138"/>
        <v>0</v>
      </c>
      <c r="R130" s="148">
        <f t="shared" si="138"/>
        <v>0</v>
      </c>
      <c r="S130" s="5">
        <f>SUM(L130:R130)</f>
        <v>0</v>
      </c>
      <c r="T130" s="11"/>
      <c r="V130" s="10">
        <f t="shared" si="136"/>
        <v>0</v>
      </c>
      <c r="W130" s="10">
        <f t="shared" si="134"/>
        <v>0</v>
      </c>
      <c r="X130" s="10">
        <f t="shared" si="134"/>
        <v>0</v>
      </c>
      <c r="Y130" s="10">
        <f t="shared" si="134"/>
        <v>0</v>
      </c>
      <c r="Z130" s="148">
        <f t="shared" ref="Z130:AB130" si="139">150*180*Z59</f>
        <v>0</v>
      </c>
      <c r="AA130" s="148">
        <f t="shared" si="139"/>
        <v>0</v>
      </c>
      <c r="AB130" s="148">
        <f t="shared" si="139"/>
        <v>0</v>
      </c>
      <c r="AC130" s="5">
        <f>SUM(V130:AB130)</f>
        <v>0</v>
      </c>
    </row>
    <row r="131" spans="1:29" x14ac:dyDescent="0.35">
      <c r="A131" s="60" t="s">
        <v>101</v>
      </c>
      <c r="B131" s="61">
        <f>SUM(B123:B130)</f>
        <v>0</v>
      </c>
      <c r="C131" s="61">
        <f t="shared" ref="C131:I131" si="140">SUM(C123:C130)</f>
        <v>64000</v>
      </c>
      <c r="D131" s="61">
        <f t="shared" si="140"/>
        <v>0</v>
      </c>
      <c r="E131" s="61"/>
      <c r="F131" s="61">
        <f t="shared" si="140"/>
        <v>0</v>
      </c>
      <c r="G131" s="61">
        <f t="shared" si="140"/>
        <v>0</v>
      </c>
      <c r="H131" s="61">
        <f t="shared" si="140"/>
        <v>0</v>
      </c>
      <c r="I131" s="61">
        <f t="shared" si="140"/>
        <v>64000</v>
      </c>
      <c r="J131" s="7"/>
      <c r="L131" s="61">
        <f>SUM(L123:L130)</f>
        <v>0</v>
      </c>
      <c r="M131" s="61">
        <f t="shared" ref="M131:N131" si="141">SUM(M123:M130)</f>
        <v>0</v>
      </c>
      <c r="N131" s="61">
        <f t="shared" si="141"/>
        <v>0</v>
      </c>
      <c r="O131" s="61"/>
      <c r="P131" s="61">
        <f t="shared" ref="P131:S131" si="142">SUM(P123:P130)</f>
        <v>0</v>
      </c>
      <c r="Q131" s="61">
        <f t="shared" si="142"/>
        <v>0</v>
      </c>
      <c r="R131" s="61">
        <f t="shared" si="142"/>
        <v>0</v>
      </c>
      <c r="S131" s="61">
        <f t="shared" si="142"/>
        <v>0</v>
      </c>
      <c r="T131" s="7"/>
      <c r="V131" s="61">
        <f>SUM(V123:V130)</f>
        <v>0</v>
      </c>
      <c r="W131" s="61">
        <f t="shared" ref="W131:X131" si="143">SUM(W123:W130)</f>
        <v>64000</v>
      </c>
      <c r="X131" s="61">
        <f t="shared" si="143"/>
        <v>0</v>
      </c>
      <c r="Y131" s="61"/>
      <c r="Z131" s="61">
        <f t="shared" ref="Z131:AC131" si="144">SUM(Z123:Z130)</f>
        <v>0</v>
      </c>
      <c r="AA131" s="61">
        <f t="shared" si="144"/>
        <v>0</v>
      </c>
      <c r="AB131" s="61">
        <f t="shared" si="144"/>
        <v>0</v>
      </c>
      <c r="AC131" s="61">
        <f t="shared" si="144"/>
        <v>64000</v>
      </c>
    </row>
    <row r="132" spans="1:29" x14ac:dyDescent="0.35">
      <c r="A132" s="62" t="s">
        <v>102</v>
      </c>
      <c r="B132" s="63">
        <f t="shared" ref="B132:H132" si="145">B121+B131</f>
        <v>2102054.6495298999</v>
      </c>
      <c r="C132" s="63">
        <f t="shared" si="145"/>
        <v>361495</v>
      </c>
      <c r="D132" s="63">
        <f t="shared" si="145"/>
        <v>69120</v>
      </c>
      <c r="E132" s="63"/>
      <c r="F132" s="63">
        <f t="shared" si="145"/>
        <v>0</v>
      </c>
      <c r="G132" s="63">
        <f t="shared" si="145"/>
        <v>0</v>
      </c>
      <c r="H132" s="63">
        <f t="shared" si="145"/>
        <v>0</v>
      </c>
      <c r="I132" s="63">
        <f>I121+I131</f>
        <v>2532669.6495298999</v>
      </c>
      <c r="J132" s="7"/>
      <c r="L132" s="63">
        <f t="shared" ref="L132:N132" si="146">L121+L131</f>
        <v>4481119.9213231243</v>
      </c>
      <c r="M132" s="63">
        <f t="shared" si="146"/>
        <v>420322.5</v>
      </c>
      <c r="N132" s="63">
        <f t="shared" si="146"/>
        <v>147200</v>
      </c>
      <c r="O132" s="63"/>
      <c r="P132" s="63">
        <f t="shared" ref="P132:R132" si="147">P121+P131</f>
        <v>0</v>
      </c>
      <c r="Q132" s="63">
        <f t="shared" si="147"/>
        <v>0</v>
      </c>
      <c r="R132" s="63">
        <f t="shared" si="147"/>
        <v>0</v>
      </c>
      <c r="S132" s="63">
        <f>S121+S131</f>
        <v>5048642.4213231253</v>
      </c>
      <c r="T132" s="7"/>
      <c r="V132" s="63">
        <f t="shared" ref="V132:X132" si="148">V121+V131</f>
        <v>6583174.5708530238</v>
      </c>
      <c r="W132" s="63">
        <f t="shared" si="148"/>
        <v>781817.5</v>
      </c>
      <c r="X132" s="63">
        <f t="shared" si="148"/>
        <v>216320</v>
      </c>
      <c r="Y132" s="63"/>
      <c r="Z132" s="63">
        <f t="shared" ref="Z132:AB132" si="149">Z121+Z131</f>
        <v>0</v>
      </c>
      <c r="AA132" s="63">
        <f t="shared" si="149"/>
        <v>0</v>
      </c>
      <c r="AB132" s="63">
        <f t="shared" si="149"/>
        <v>0</v>
      </c>
      <c r="AC132" s="63">
        <f>AC121+AC131</f>
        <v>7581312.0708530238</v>
      </c>
    </row>
    <row r="133" spans="1:29" x14ac:dyDescent="0.35">
      <c r="A133" s="26" t="s">
        <v>258</v>
      </c>
      <c r="B133" s="47">
        <f>B132*0.335</f>
        <v>704188.30759251653</v>
      </c>
      <c r="C133" s="47">
        <f t="shared" ref="C133:H133" si="150">C132*0.335</f>
        <v>121100.82500000001</v>
      </c>
      <c r="D133" s="47">
        <f t="shared" si="150"/>
        <v>23155.200000000001</v>
      </c>
      <c r="E133" s="47"/>
      <c r="F133" s="47">
        <f t="shared" si="150"/>
        <v>0</v>
      </c>
      <c r="G133" s="47">
        <f t="shared" si="150"/>
        <v>0</v>
      </c>
      <c r="H133" s="47">
        <f t="shared" si="150"/>
        <v>0</v>
      </c>
      <c r="I133" s="10">
        <f>SUM(B133:H133)</f>
        <v>848444.33259251644</v>
      </c>
      <c r="J133" s="105">
        <f>I133/I132</f>
        <v>0.33499999999999996</v>
      </c>
      <c r="L133" s="47">
        <f>L132*0.335</f>
        <v>1501175.1736432468</v>
      </c>
      <c r="M133" s="47">
        <f t="shared" ref="M133:N133" si="151">M132*0.335</f>
        <v>140808.03750000001</v>
      </c>
      <c r="N133" s="47">
        <f t="shared" si="151"/>
        <v>49312</v>
      </c>
      <c r="O133" s="47"/>
      <c r="P133" s="47">
        <f t="shared" ref="P133:R133" si="152">P132*0.335</f>
        <v>0</v>
      </c>
      <c r="Q133" s="47">
        <f t="shared" si="152"/>
        <v>0</v>
      </c>
      <c r="R133" s="47">
        <f t="shared" si="152"/>
        <v>0</v>
      </c>
      <c r="S133" s="10">
        <f>SUM(L133:R133)</f>
        <v>1691295.2111432469</v>
      </c>
      <c r="T133" s="105">
        <f>S133/S132</f>
        <v>0.33499999999999996</v>
      </c>
      <c r="V133" s="47">
        <f>B133+L133</f>
        <v>2205363.4812357631</v>
      </c>
      <c r="W133" s="47">
        <f t="shared" ref="W133:Y140" si="153">C133+M133</f>
        <v>261908.86250000002</v>
      </c>
      <c r="X133" s="47">
        <f t="shared" si="153"/>
        <v>72467.199999999997</v>
      </c>
      <c r="Y133" s="47">
        <f t="shared" si="153"/>
        <v>0</v>
      </c>
      <c r="Z133" s="47">
        <f t="shared" ref="Z133:AB133" si="154">Z132*0.335</f>
        <v>0</v>
      </c>
      <c r="AA133" s="47">
        <f t="shared" si="154"/>
        <v>0</v>
      </c>
      <c r="AB133" s="47">
        <f t="shared" si="154"/>
        <v>0</v>
      </c>
      <c r="AC133" s="10">
        <f>SUM(V133:AB133)</f>
        <v>2539739.5437357631</v>
      </c>
    </row>
    <row r="134" spans="1:29" x14ac:dyDescent="0.35">
      <c r="A134" s="26" t="s">
        <v>103</v>
      </c>
      <c r="B134" s="10">
        <f>((7525*B65)*0.8)+((185*B65)*0.78)+((90*B65)*0.78)+(B132*0.015)+(B132*0.03)</f>
        <v>300330.95922884549</v>
      </c>
      <c r="C134" s="10">
        <f t="shared" ref="C134:E134" si="155">((7525*C65)*0.8)+((185*C65)*0.78)+((90*C65)*0.78)+(C132*0.015)+(C132*0.03)</f>
        <v>59908.775000000001</v>
      </c>
      <c r="D134" s="10">
        <f t="shared" si="155"/>
        <v>15579.4</v>
      </c>
      <c r="E134" s="10">
        <f t="shared" si="155"/>
        <v>0</v>
      </c>
      <c r="F134" s="10">
        <f t="shared" ref="F134:H134" si="156">((6450*F65)*0.78)+((160*F65)*0.78)+((65*F65)*0.78)+(F132*0.015)+(F132*0.03)</f>
        <v>0</v>
      </c>
      <c r="G134" s="10">
        <f t="shared" si="156"/>
        <v>0</v>
      </c>
      <c r="H134" s="10">
        <f t="shared" si="156"/>
        <v>0</v>
      </c>
      <c r="I134" s="10">
        <f>SUM(B134:H134)</f>
        <v>375819.13422884553</v>
      </c>
      <c r="J134" s="105">
        <f>I134/I132</f>
        <v>0.14838853314272668</v>
      </c>
      <c r="L134" s="10">
        <f>((7525*L65)*0.8)+((185*L65)*0.78)+((90*L65)*0.78)+(L132*0.015)+(L132*0.03)</f>
        <v>638065.39645954059</v>
      </c>
      <c r="M134" s="10">
        <f t="shared" ref="M134:O134" si="157">((7525*M65)*0.8)+((185*M65)*0.78)+((90*M65)*0.78)+(M132*0.015)+(M132*0.03)</f>
        <v>71907.762499999997</v>
      </c>
      <c r="N134" s="10">
        <f t="shared" si="157"/>
        <v>31562</v>
      </c>
      <c r="O134" s="10">
        <f t="shared" si="157"/>
        <v>0</v>
      </c>
      <c r="P134" s="10">
        <f t="shared" ref="P134:R134" si="158">((6450*P65)*0.78)+((160*P65)*0.78)+((65*P65)*0.78)+(P132*0.015)+(P132*0.03)</f>
        <v>0</v>
      </c>
      <c r="Q134" s="10">
        <f t="shared" si="158"/>
        <v>0</v>
      </c>
      <c r="R134" s="10">
        <f t="shared" si="158"/>
        <v>0</v>
      </c>
      <c r="S134" s="10">
        <f>SUM(L134:R134)</f>
        <v>741535.15895954054</v>
      </c>
      <c r="T134" s="105">
        <f>S134/S132</f>
        <v>0.14687813021331037</v>
      </c>
      <c r="V134" s="47">
        <f t="shared" ref="V134:V140" si="159">B134+L134</f>
        <v>938396.35568838613</v>
      </c>
      <c r="W134" s="47">
        <f t="shared" si="153"/>
        <v>131816.53750000001</v>
      </c>
      <c r="X134" s="47">
        <f t="shared" si="153"/>
        <v>47141.4</v>
      </c>
      <c r="Y134" s="47">
        <f t="shared" si="153"/>
        <v>0</v>
      </c>
      <c r="Z134" s="10">
        <f t="shared" ref="Z134:AB134" si="160">((6450*Z65)*0.78)+((160*Z65)*0.78)+((65*Z65)*0.78)+(Z132*0.015)+(Z132*0.03)</f>
        <v>0</v>
      </c>
      <c r="AA134" s="10">
        <f t="shared" si="160"/>
        <v>0</v>
      </c>
      <c r="AB134" s="10">
        <f t="shared" si="160"/>
        <v>0</v>
      </c>
      <c r="AC134" s="10">
        <f>SUM(V134:AB134)</f>
        <v>1117354.2931883861</v>
      </c>
    </row>
    <row r="135" spans="1:29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</f>
        <v>32422.5</v>
      </c>
      <c r="C135" s="10">
        <f t="shared" ref="C135:H135" si="161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161"/>
        <v>990</v>
      </c>
      <c r="E135" s="10">
        <f t="shared" si="161"/>
        <v>0</v>
      </c>
      <c r="F135" s="10">
        <f t="shared" si="161"/>
        <v>0</v>
      </c>
      <c r="G135" s="10">
        <f t="shared" si="161"/>
        <v>0</v>
      </c>
      <c r="H135" s="10">
        <f t="shared" si="161"/>
        <v>0</v>
      </c>
      <c r="I135" s="10">
        <f t="shared" ref="I135:I140" si="162">SUM(B135:H135)</f>
        <v>38857.5</v>
      </c>
      <c r="J135" s="11"/>
      <c r="L135" s="10">
        <f>((2000*L39)+(1750*L40)+(1500*L41)+(1500*L42)+(1500*L43)+(1500*L44)+(1500*L45)+(1000*L46)+(1000*L47)+(500*L48)+(500*L49)+(500*L50)+(500*L51)+(500*L52)+(500*L53)+(1000*L54)+(1000*L55)+(1000*L56)+(1000*L57)+(1000*L58)+(500*L59)+(500*L60)+(1000*L36))*0.99</f>
        <v>69547.5</v>
      </c>
      <c r="M135" s="10">
        <f t="shared" ref="M135:R135" si="163">((2000*M39)+(1750*M40)+(1500*M41)+(1500*M42)+(1500*M43)+(1500*M44)+(1500*M45)+(1000*M46)+(1000*M47)+(500*M48)+(500*M49)+(500*M50)+(500*M51)+(500*M52)+(500*M53)+(1000*M54)+(1000*M55)+(1000*M56)+(1000*M57)+(1000*M58)+(500*M59)+(500*M60)+(1000*M36))*0.99</f>
        <v>6435</v>
      </c>
      <c r="N135" s="10">
        <f t="shared" si="163"/>
        <v>1980</v>
      </c>
      <c r="O135" s="10">
        <f t="shared" si="163"/>
        <v>0</v>
      </c>
      <c r="P135" s="10">
        <f t="shared" si="163"/>
        <v>0</v>
      </c>
      <c r="Q135" s="10">
        <f t="shared" si="163"/>
        <v>0</v>
      </c>
      <c r="R135" s="10">
        <f t="shared" si="163"/>
        <v>0</v>
      </c>
      <c r="S135" s="10">
        <f t="shared" ref="S135:S140" si="164">SUM(L135:R135)</f>
        <v>77962.5</v>
      </c>
      <c r="T135" s="11"/>
      <c r="V135" s="47">
        <f t="shared" si="159"/>
        <v>101970</v>
      </c>
      <c r="W135" s="47">
        <f t="shared" si="153"/>
        <v>11880</v>
      </c>
      <c r="X135" s="47">
        <f t="shared" si="153"/>
        <v>2970</v>
      </c>
      <c r="Y135" s="47">
        <f t="shared" si="153"/>
        <v>0</v>
      </c>
      <c r="Z135" s="10">
        <f t="shared" ref="Z135:AB135" si="165">((2000*Z39)+(1750*Z40)+(1500*Z41)+(1500*Z42)+(1500*Z43)+(1500*Z44)+(1500*Z45)+(1000*Z46)+(1000*Z47)+(500*Z48)+(500*Z49)+(500*Z50)+(500*Z51)+(500*Z52)+(500*Z53)+(1000*Z54)+(1000*Z55)+(1000*Z56)+(1000*Z57)+(1000*Z58)+(500*Z59)+(500*Z60)+(1000*Z36))*0.99</f>
        <v>0</v>
      </c>
      <c r="AA135" s="10">
        <f t="shared" si="165"/>
        <v>0</v>
      </c>
      <c r="AB135" s="10">
        <f t="shared" si="165"/>
        <v>0</v>
      </c>
      <c r="AC135" s="10">
        <f t="shared" ref="AC135:AC140" si="166">SUM(V135:AB135)</f>
        <v>116820</v>
      </c>
    </row>
    <row r="136" spans="1:29" x14ac:dyDescent="0.35">
      <c r="A136" s="26" t="s">
        <v>105</v>
      </c>
      <c r="B136" s="10">
        <f>125*B65+(125*15)</f>
        <v>6000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162"/>
        <v>7125</v>
      </c>
      <c r="J136" s="11"/>
      <c r="L136" s="10">
        <f>125*L65+(125*15)</f>
        <v>10625</v>
      </c>
      <c r="M136" s="10">
        <f>125*M65</f>
        <v>1062.5</v>
      </c>
      <c r="N136" s="10">
        <f>125*N65</f>
        <v>500</v>
      </c>
      <c r="O136" s="10"/>
      <c r="P136" s="10">
        <f>125*P65</f>
        <v>0</v>
      </c>
      <c r="Q136" s="10">
        <f>125*Q65</f>
        <v>0</v>
      </c>
      <c r="R136" s="10">
        <f>125*R65</f>
        <v>0</v>
      </c>
      <c r="S136" s="10">
        <f t="shared" si="164"/>
        <v>12187.5</v>
      </c>
      <c r="T136" s="11"/>
      <c r="V136" s="47">
        <f t="shared" si="159"/>
        <v>16625</v>
      </c>
      <c r="W136" s="47">
        <f t="shared" si="153"/>
        <v>1937.5</v>
      </c>
      <c r="X136" s="47">
        <f t="shared" si="153"/>
        <v>750</v>
      </c>
      <c r="Y136" s="47">
        <f t="shared" si="153"/>
        <v>0</v>
      </c>
      <c r="Z136" s="10">
        <f>125*Z65</f>
        <v>0</v>
      </c>
      <c r="AA136" s="10">
        <f>125*AA65</f>
        <v>0</v>
      </c>
      <c r="AB136" s="10">
        <f>125*AB65</f>
        <v>0</v>
      </c>
      <c r="AC136" s="10">
        <f t="shared" si="166"/>
        <v>19312.5</v>
      </c>
    </row>
    <row r="137" spans="1:29" x14ac:dyDescent="0.35">
      <c r="A137" s="26" t="s">
        <v>106</v>
      </c>
      <c r="B137" s="10">
        <v>0</v>
      </c>
      <c r="C137" s="10">
        <f>50000*1.03*1.015*1.015*1.015</f>
        <v>53852.43631249998</v>
      </c>
      <c r="D137" s="10"/>
      <c r="E137" s="10"/>
      <c r="F137" s="10">
        <v>0</v>
      </c>
      <c r="G137" s="10"/>
      <c r="H137" s="10"/>
      <c r="I137" s="10">
        <f t="shared" si="162"/>
        <v>53852.43631249998</v>
      </c>
      <c r="J137" s="11"/>
      <c r="L137" s="10">
        <v>0</v>
      </c>
      <c r="M137" s="10">
        <v>0</v>
      </c>
      <c r="N137" s="10"/>
      <c r="O137" s="10"/>
      <c r="P137" s="10">
        <v>0</v>
      </c>
      <c r="Q137" s="10"/>
      <c r="R137" s="10"/>
      <c r="S137" s="10">
        <f t="shared" si="164"/>
        <v>0</v>
      </c>
      <c r="T137" s="11"/>
      <c r="V137" s="47">
        <f t="shared" si="159"/>
        <v>0</v>
      </c>
      <c r="W137" s="47">
        <f t="shared" si="153"/>
        <v>53852.43631249998</v>
      </c>
      <c r="X137" s="47">
        <f t="shared" si="153"/>
        <v>0</v>
      </c>
      <c r="Y137" s="47">
        <f t="shared" si="153"/>
        <v>0</v>
      </c>
      <c r="Z137" s="10">
        <v>0</v>
      </c>
      <c r="AA137" s="10"/>
      <c r="AB137" s="10"/>
      <c r="AC137" s="10">
        <f t="shared" si="166"/>
        <v>53852.43631249998</v>
      </c>
    </row>
    <row r="138" spans="1:29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162"/>
        <v>0</v>
      </c>
      <c r="J138" s="11"/>
      <c r="L138" s="10">
        <v>0</v>
      </c>
      <c r="M138" s="10">
        <v>0</v>
      </c>
      <c r="N138" s="10">
        <v>0</v>
      </c>
      <c r="O138" s="10"/>
      <c r="P138" s="10"/>
      <c r="Q138" s="10"/>
      <c r="R138" s="10"/>
      <c r="S138" s="10">
        <f t="shared" si="164"/>
        <v>0</v>
      </c>
      <c r="T138" s="11"/>
      <c r="V138" s="47">
        <f t="shared" si="159"/>
        <v>0</v>
      </c>
      <c r="W138" s="47">
        <f t="shared" si="153"/>
        <v>0</v>
      </c>
      <c r="X138" s="47">
        <f t="shared" si="153"/>
        <v>0</v>
      </c>
      <c r="Y138" s="47">
        <f t="shared" si="153"/>
        <v>0</v>
      </c>
      <c r="Z138" s="10"/>
      <c r="AA138" s="10"/>
      <c r="AB138" s="10"/>
      <c r="AC138" s="10">
        <f t="shared" si="166"/>
        <v>0</v>
      </c>
    </row>
    <row r="139" spans="1:29" x14ac:dyDescent="0.35">
      <c r="A139" s="26" t="s">
        <v>108</v>
      </c>
      <c r="B139" s="10">
        <v>13000</v>
      </c>
      <c r="C139" s="10"/>
      <c r="D139" s="10"/>
      <c r="E139" s="10"/>
      <c r="F139" s="10"/>
      <c r="G139" s="10"/>
      <c r="H139" s="10"/>
      <c r="I139" s="5">
        <f t="shared" si="162"/>
        <v>13000</v>
      </c>
      <c r="J139" s="11"/>
      <c r="L139" s="10">
        <v>15500</v>
      </c>
      <c r="M139" s="10"/>
      <c r="N139" s="10"/>
      <c r="O139" s="10"/>
      <c r="P139" s="10"/>
      <c r="Q139" s="10"/>
      <c r="R139" s="10"/>
      <c r="S139" s="5">
        <f t="shared" si="164"/>
        <v>15500</v>
      </c>
      <c r="T139" s="11"/>
      <c r="V139" s="47">
        <f t="shared" si="159"/>
        <v>28500</v>
      </c>
      <c r="W139" s="47">
        <f t="shared" si="153"/>
        <v>0</v>
      </c>
      <c r="X139" s="47">
        <f t="shared" si="153"/>
        <v>0</v>
      </c>
      <c r="Y139" s="47">
        <f t="shared" si="153"/>
        <v>0</v>
      </c>
      <c r="Z139" s="10"/>
      <c r="AA139" s="10"/>
      <c r="AB139" s="10"/>
      <c r="AC139" s="5">
        <f t="shared" si="166"/>
        <v>28500</v>
      </c>
    </row>
    <row r="140" spans="1:29" x14ac:dyDescent="0.35">
      <c r="A140" s="26" t="s">
        <v>322</v>
      </c>
      <c r="B140" s="30">
        <f>(190*11*(B36-B35))-B130</f>
        <v>43890</v>
      </c>
      <c r="C140" s="30">
        <f t="shared" ref="C140:E140" si="167">(190*11*(C36-C35))-C130</f>
        <v>6270</v>
      </c>
      <c r="D140" s="30">
        <f t="shared" si="167"/>
        <v>0</v>
      </c>
      <c r="E140" s="30">
        <f t="shared" si="167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162"/>
        <v>50160</v>
      </c>
      <c r="J140" s="11" t="s">
        <v>327</v>
      </c>
      <c r="L140" s="30">
        <f>(190*11*(L36-L35))-L130</f>
        <v>100320</v>
      </c>
      <c r="M140" s="30">
        <f t="shared" ref="M140:O140" si="168">(190*11*(M36-M35))-M130</f>
        <v>9405</v>
      </c>
      <c r="N140" s="30">
        <f t="shared" si="168"/>
        <v>0</v>
      </c>
      <c r="O140" s="30">
        <f t="shared" si="168"/>
        <v>0</v>
      </c>
      <c r="P140" s="30">
        <f>(175*10*P36)-P130</f>
        <v>0</v>
      </c>
      <c r="Q140" s="30">
        <f>(175*10*Q36)-Q130</f>
        <v>0</v>
      </c>
      <c r="R140" s="30">
        <f>(175*10*R36)-R130</f>
        <v>0</v>
      </c>
      <c r="S140" s="5">
        <f t="shared" si="164"/>
        <v>109725</v>
      </c>
      <c r="T140" s="11" t="s">
        <v>327</v>
      </c>
      <c r="V140" s="47">
        <f t="shared" si="159"/>
        <v>144210</v>
      </c>
      <c r="W140" s="47">
        <f t="shared" si="153"/>
        <v>15675</v>
      </c>
      <c r="X140" s="47">
        <f t="shared" si="153"/>
        <v>0</v>
      </c>
      <c r="Y140" s="47">
        <f t="shared" si="153"/>
        <v>0</v>
      </c>
      <c r="Z140" s="30">
        <f>(175*10*Z36)-Z130</f>
        <v>0</v>
      </c>
      <c r="AA140" s="30">
        <f>(175*10*AA36)-AA130</f>
        <v>0</v>
      </c>
      <c r="AB140" s="30">
        <f>(175*10*AB36)-AB130</f>
        <v>0</v>
      </c>
      <c r="AC140" s="5">
        <f t="shared" si="166"/>
        <v>159885</v>
      </c>
    </row>
    <row r="141" spans="1:29" x14ac:dyDescent="0.35">
      <c r="A141" s="64" t="s">
        <v>109</v>
      </c>
      <c r="B141" s="65">
        <f>SUM(B133:B140)</f>
        <v>1099831.7668213621</v>
      </c>
      <c r="C141" s="65">
        <f t="shared" ref="C141:H141" si="169">SUM(C133:C140)</f>
        <v>247452.03631249999</v>
      </c>
      <c r="D141" s="65">
        <f t="shared" si="169"/>
        <v>39974.6</v>
      </c>
      <c r="E141" s="65"/>
      <c r="F141" s="65">
        <f t="shared" si="169"/>
        <v>0</v>
      </c>
      <c r="G141" s="65">
        <f t="shared" si="169"/>
        <v>0</v>
      </c>
      <c r="H141" s="65">
        <f t="shared" si="169"/>
        <v>0</v>
      </c>
      <c r="I141" s="65">
        <f>SUM(I133:I140)</f>
        <v>1387258.403133862</v>
      </c>
      <c r="J141" s="7"/>
      <c r="L141" s="65">
        <f>SUM(L133:L140)</f>
        <v>2335233.0701027876</v>
      </c>
      <c r="M141" s="65">
        <f t="shared" ref="M141:N141" si="170">SUM(M133:M140)</f>
        <v>229618.3</v>
      </c>
      <c r="N141" s="65">
        <f t="shared" si="170"/>
        <v>83354</v>
      </c>
      <c r="O141" s="65"/>
      <c r="P141" s="65">
        <f t="shared" ref="P141:R141" si="171">SUM(P133:P140)</f>
        <v>0</v>
      </c>
      <c r="Q141" s="65">
        <f t="shared" si="171"/>
        <v>0</v>
      </c>
      <c r="R141" s="65">
        <f t="shared" si="171"/>
        <v>0</v>
      </c>
      <c r="S141" s="65">
        <f>SUM(S133:S140)</f>
        <v>2648205.3701027874</v>
      </c>
      <c r="T141" s="7"/>
      <c r="V141" s="65">
        <f>SUM(V133:V140)</f>
        <v>3435064.8369241492</v>
      </c>
      <c r="W141" s="65">
        <f t="shared" ref="W141:X141" si="172">SUM(W133:W140)</f>
        <v>477070.3363125</v>
      </c>
      <c r="X141" s="65">
        <f t="shared" si="172"/>
        <v>123328.6</v>
      </c>
      <c r="Y141" s="65"/>
      <c r="Z141" s="65">
        <f t="shared" ref="Z141:AB141" si="173">SUM(Z133:Z140)</f>
        <v>0</v>
      </c>
      <c r="AA141" s="65">
        <f t="shared" si="173"/>
        <v>0</v>
      </c>
      <c r="AB141" s="65">
        <f t="shared" si="173"/>
        <v>0</v>
      </c>
      <c r="AC141" s="65">
        <f>SUM(AC133:AC140)</f>
        <v>4035463.7732366491</v>
      </c>
    </row>
    <row r="142" spans="1:29" x14ac:dyDescent="0.35">
      <c r="A142" s="62" t="s">
        <v>110</v>
      </c>
      <c r="B142" s="63">
        <f t="shared" ref="B142:I142" si="174">B132+B141</f>
        <v>3201886.416351262</v>
      </c>
      <c r="C142" s="63">
        <f t="shared" si="174"/>
        <v>608947.03631250001</v>
      </c>
      <c r="D142" s="63">
        <f t="shared" si="174"/>
        <v>109094.6</v>
      </c>
      <c r="E142" s="63"/>
      <c r="F142" s="63">
        <f t="shared" si="174"/>
        <v>0</v>
      </c>
      <c r="G142" s="63">
        <f t="shared" si="174"/>
        <v>0</v>
      </c>
      <c r="H142" s="63">
        <f t="shared" si="174"/>
        <v>0</v>
      </c>
      <c r="I142" s="63">
        <f t="shared" si="174"/>
        <v>3919928.0526637621</v>
      </c>
      <c r="J142" s="7"/>
      <c r="L142" s="63">
        <f t="shared" ref="L142:N142" si="175">L132+L141</f>
        <v>6816352.9914259119</v>
      </c>
      <c r="M142" s="63">
        <f t="shared" si="175"/>
        <v>649940.80000000005</v>
      </c>
      <c r="N142" s="63">
        <f t="shared" si="175"/>
        <v>230554</v>
      </c>
      <c r="O142" s="63"/>
      <c r="P142" s="63">
        <f t="shared" ref="P142:S142" si="176">P132+P141</f>
        <v>0</v>
      </c>
      <c r="Q142" s="63">
        <f t="shared" si="176"/>
        <v>0</v>
      </c>
      <c r="R142" s="63">
        <f t="shared" si="176"/>
        <v>0</v>
      </c>
      <c r="S142" s="63">
        <f t="shared" si="176"/>
        <v>7696847.7914259126</v>
      </c>
      <c r="T142" s="7"/>
      <c r="V142" s="63">
        <f t="shared" ref="V142:X142" si="177">V132+V141</f>
        <v>10018239.407777173</v>
      </c>
      <c r="W142" s="63">
        <f t="shared" si="177"/>
        <v>1258887.8363125001</v>
      </c>
      <c r="X142" s="63">
        <f t="shared" si="177"/>
        <v>339648.6</v>
      </c>
      <c r="Y142" s="63"/>
      <c r="Z142" s="63">
        <f t="shared" ref="Z142:AC142" si="178">Z132+Z141</f>
        <v>0</v>
      </c>
      <c r="AA142" s="63">
        <f t="shared" si="178"/>
        <v>0</v>
      </c>
      <c r="AB142" s="63">
        <f t="shared" si="178"/>
        <v>0</v>
      </c>
      <c r="AC142" s="63">
        <f t="shared" si="178"/>
        <v>11616775.844089672</v>
      </c>
    </row>
    <row r="143" spans="1:29" x14ac:dyDescent="0.35">
      <c r="A143" s="66" t="s">
        <v>256</v>
      </c>
      <c r="B143" s="15" t="str">
        <f t="shared" ref="B143:I143" si="179">B1</f>
        <v>Operating</v>
      </c>
      <c r="C143" s="15" t="str">
        <f t="shared" si="179"/>
        <v>SPED</v>
      </c>
      <c r="D143" s="15" t="str">
        <f t="shared" si="179"/>
        <v>NSLP</v>
      </c>
      <c r="E143" s="15" t="str">
        <f t="shared" si="179"/>
        <v>Other</v>
      </c>
      <c r="F143" s="15" t="str">
        <f t="shared" si="179"/>
        <v>Title I</v>
      </c>
      <c r="G143" s="15" t="str">
        <f t="shared" si="179"/>
        <v>Title II</v>
      </c>
      <c r="H143" s="15" t="str">
        <f t="shared" si="179"/>
        <v>Title III</v>
      </c>
      <c r="I143" s="15" t="str">
        <f t="shared" si="179"/>
        <v>B&amp;G</v>
      </c>
      <c r="J143" s="7"/>
      <c r="L143" s="15" t="str">
        <f t="shared" ref="L143:S143" si="180">L1</f>
        <v>Operating</v>
      </c>
      <c r="M143" s="15" t="str">
        <f t="shared" si="180"/>
        <v>SPED</v>
      </c>
      <c r="N143" s="15" t="str">
        <f t="shared" si="180"/>
        <v>NSLP</v>
      </c>
      <c r="O143" s="15" t="str">
        <f t="shared" si="180"/>
        <v>Other</v>
      </c>
      <c r="P143" s="15" t="str">
        <f t="shared" si="180"/>
        <v>Title I</v>
      </c>
      <c r="Q143" s="15" t="str">
        <f t="shared" si="180"/>
        <v>Title II</v>
      </c>
      <c r="R143" s="15" t="str">
        <f t="shared" si="180"/>
        <v>Title III</v>
      </c>
      <c r="S143" s="15" t="str">
        <f t="shared" si="180"/>
        <v>New</v>
      </c>
      <c r="T143" s="7"/>
      <c r="V143" s="15" t="str">
        <f t="shared" ref="V143:AC143" si="181">V1</f>
        <v>Operating</v>
      </c>
      <c r="W143" s="15" t="str">
        <f t="shared" si="181"/>
        <v>SPED</v>
      </c>
      <c r="X143" s="15" t="str">
        <f t="shared" si="181"/>
        <v>NSLP</v>
      </c>
      <c r="Y143" s="15" t="str">
        <f t="shared" si="181"/>
        <v>Other</v>
      </c>
      <c r="Z143" s="15" t="str">
        <f t="shared" si="181"/>
        <v>Title I</v>
      </c>
      <c r="AA143" s="15" t="str">
        <f t="shared" si="181"/>
        <v>Title II</v>
      </c>
      <c r="AB143" s="15" t="str">
        <f t="shared" si="181"/>
        <v>Title III</v>
      </c>
      <c r="AC143" s="15" t="str">
        <f t="shared" si="181"/>
        <v>MANN</v>
      </c>
    </row>
    <row r="144" spans="1:29" x14ac:dyDescent="0.35">
      <c r="A144" s="67" t="s">
        <v>111</v>
      </c>
      <c r="B144" s="5">
        <f>(240*B17)</f>
        <v>111600</v>
      </c>
      <c r="C144" s="10"/>
      <c r="D144" s="10"/>
      <c r="E144" s="10"/>
      <c r="F144" s="10"/>
      <c r="G144" s="10"/>
      <c r="H144" s="10"/>
      <c r="I144" s="5">
        <f t="shared" ref="I144:I152" si="182">SUM(B144:H144)</f>
        <v>111600</v>
      </c>
      <c r="J144" s="11" t="s">
        <v>488</v>
      </c>
      <c r="L144" s="5">
        <f>(240*L17)</f>
        <v>274800</v>
      </c>
      <c r="M144" s="10"/>
      <c r="N144" s="10"/>
      <c r="O144" s="10"/>
      <c r="P144" s="10"/>
      <c r="Q144" s="10"/>
      <c r="R144" s="10"/>
      <c r="S144" s="5">
        <f t="shared" ref="S144:S152" si="183">SUM(L144:R144)</f>
        <v>274800</v>
      </c>
      <c r="T144" s="11" t="s">
        <v>488</v>
      </c>
      <c r="V144" s="5">
        <f>B144+L144</f>
        <v>386400</v>
      </c>
      <c r="W144" s="5">
        <f t="shared" ref="W144:Y153" si="184">C144+M144</f>
        <v>0</v>
      </c>
      <c r="X144" s="5">
        <f t="shared" si="184"/>
        <v>0</v>
      </c>
      <c r="Y144" s="5">
        <f t="shared" si="184"/>
        <v>0</v>
      </c>
      <c r="Z144" s="10"/>
      <c r="AA144" s="10"/>
      <c r="AB144" s="10"/>
      <c r="AC144" s="5">
        <f t="shared" ref="AC144:AC152" si="185">SUM(V144:AB144)</f>
        <v>386400</v>
      </c>
    </row>
    <row r="145" spans="1:29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182"/>
        <v>0</v>
      </c>
      <c r="J145" s="11"/>
      <c r="L145" s="5">
        <v>0</v>
      </c>
      <c r="M145" s="10"/>
      <c r="N145" s="10"/>
      <c r="O145" s="10"/>
      <c r="P145" s="10"/>
      <c r="Q145" s="10"/>
      <c r="R145" s="10"/>
      <c r="S145" s="5">
        <f t="shared" si="183"/>
        <v>0</v>
      </c>
      <c r="T145" s="11"/>
      <c r="V145" s="5">
        <f t="shared" ref="V145:V153" si="186">B145+L145</f>
        <v>0</v>
      </c>
      <c r="W145" s="5">
        <f t="shared" si="184"/>
        <v>0</v>
      </c>
      <c r="X145" s="5">
        <f t="shared" si="184"/>
        <v>0</v>
      </c>
      <c r="Y145" s="5">
        <f t="shared" si="184"/>
        <v>0</v>
      </c>
      <c r="Z145" s="10"/>
      <c r="AA145" s="10"/>
      <c r="AB145" s="10"/>
      <c r="AC145" s="5">
        <f t="shared" si="185"/>
        <v>0</v>
      </c>
    </row>
    <row r="146" spans="1:29" x14ac:dyDescent="0.35">
      <c r="A146" s="26" t="s">
        <v>113</v>
      </c>
      <c r="B146" s="10">
        <v>0</v>
      </c>
      <c r="C146" s="10"/>
      <c r="D146" s="10"/>
      <c r="E146" s="10"/>
      <c r="F146" s="10"/>
      <c r="G146" s="10"/>
      <c r="H146" s="10"/>
      <c r="I146" s="5">
        <f t="shared" si="182"/>
        <v>0</v>
      </c>
      <c r="J146" s="11"/>
      <c r="L146" s="10">
        <v>0</v>
      </c>
      <c r="M146" s="10"/>
      <c r="N146" s="10"/>
      <c r="O146" s="10"/>
      <c r="P146" s="10"/>
      <c r="Q146" s="10"/>
      <c r="R146" s="10"/>
      <c r="S146" s="5">
        <f t="shared" si="183"/>
        <v>0</v>
      </c>
      <c r="T146" s="11"/>
      <c r="V146" s="5">
        <f t="shared" si="186"/>
        <v>0</v>
      </c>
      <c r="W146" s="5">
        <f t="shared" si="184"/>
        <v>0</v>
      </c>
      <c r="X146" s="5">
        <f t="shared" si="184"/>
        <v>0</v>
      </c>
      <c r="Y146" s="5">
        <f t="shared" si="184"/>
        <v>0</v>
      </c>
      <c r="Z146" s="10"/>
      <c r="AA146" s="10"/>
      <c r="AB146" s="10"/>
      <c r="AC146" s="5">
        <f t="shared" si="185"/>
        <v>0</v>
      </c>
    </row>
    <row r="147" spans="1:29" x14ac:dyDescent="0.35">
      <c r="A147" s="26" t="s">
        <v>114</v>
      </c>
      <c r="B147" s="5">
        <f>35*B17</f>
        <v>16275</v>
      </c>
      <c r="C147" s="10"/>
      <c r="D147" s="10">
        <v>3500</v>
      </c>
      <c r="E147" s="10"/>
      <c r="F147" s="10"/>
      <c r="G147" s="10"/>
      <c r="H147" s="10"/>
      <c r="I147" s="5">
        <f t="shared" si="182"/>
        <v>19775</v>
      </c>
      <c r="J147" s="11" t="s">
        <v>305</v>
      </c>
      <c r="L147" s="5">
        <f>35*L17</f>
        <v>40075</v>
      </c>
      <c r="M147" s="10"/>
      <c r="N147" s="10">
        <v>3500</v>
      </c>
      <c r="O147" s="10"/>
      <c r="P147" s="10"/>
      <c r="Q147" s="10"/>
      <c r="R147" s="10"/>
      <c r="S147" s="5">
        <f t="shared" si="183"/>
        <v>43575</v>
      </c>
      <c r="T147" s="11" t="s">
        <v>305</v>
      </c>
      <c r="V147" s="5">
        <f t="shared" si="186"/>
        <v>56350</v>
      </c>
      <c r="W147" s="5">
        <f t="shared" si="184"/>
        <v>0</v>
      </c>
      <c r="X147" s="5">
        <f t="shared" si="184"/>
        <v>7000</v>
      </c>
      <c r="Y147" s="5">
        <f t="shared" si="184"/>
        <v>0</v>
      </c>
      <c r="Z147" s="10"/>
      <c r="AA147" s="10"/>
      <c r="AB147" s="10"/>
      <c r="AC147" s="5">
        <f t="shared" si="185"/>
        <v>63350</v>
      </c>
    </row>
    <row r="148" spans="1:29" x14ac:dyDescent="0.35">
      <c r="A148" s="26" t="s">
        <v>115</v>
      </c>
      <c r="B148" s="5">
        <f>56*B17</f>
        <v>26040</v>
      </c>
      <c r="C148" s="10"/>
      <c r="D148" s="10"/>
      <c r="E148" s="10"/>
      <c r="F148" s="10"/>
      <c r="G148" s="10"/>
      <c r="H148" s="10"/>
      <c r="I148" s="5">
        <f t="shared" si="182"/>
        <v>26040</v>
      </c>
      <c r="J148" s="11" t="s">
        <v>489</v>
      </c>
      <c r="L148" s="5">
        <f>56*L17</f>
        <v>64120</v>
      </c>
      <c r="M148" s="10"/>
      <c r="N148" s="10"/>
      <c r="O148" s="10"/>
      <c r="P148" s="10"/>
      <c r="Q148" s="10"/>
      <c r="R148" s="10"/>
      <c r="S148" s="5">
        <f t="shared" si="183"/>
        <v>64120</v>
      </c>
      <c r="T148" s="11" t="s">
        <v>489</v>
      </c>
      <c r="V148" s="5">
        <f t="shared" si="186"/>
        <v>90160</v>
      </c>
      <c r="W148" s="5">
        <f t="shared" si="184"/>
        <v>0</v>
      </c>
      <c r="X148" s="5">
        <f t="shared" si="184"/>
        <v>0</v>
      </c>
      <c r="Y148" s="5">
        <f t="shared" si="184"/>
        <v>0</v>
      </c>
      <c r="Z148" s="10"/>
      <c r="AA148" s="10"/>
      <c r="AB148" s="10"/>
      <c r="AC148" s="5">
        <f t="shared" si="185"/>
        <v>90160</v>
      </c>
    </row>
    <row r="149" spans="1:29" x14ac:dyDescent="0.35">
      <c r="A149" s="26" t="s">
        <v>116</v>
      </c>
      <c r="B149" s="5">
        <f>27*B17</f>
        <v>12555</v>
      </c>
      <c r="C149" s="10"/>
      <c r="D149" s="10"/>
      <c r="E149" s="10"/>
      <c r="F149" s="10"/>
      <c r="G149" s="10"/>
      <c r="H149" s="10"/>
      <c r="I149" s="5">
        <f t="shared" si="182"/>
        <v>12555</v>
      </c>
      <c r="J149" s="11" t="s">
        <v>486</v>
      </c>
      <c r="L149" s="5">
        <f>27*L17</f>
        <v>30915</v>
      </c>
      <c r="M149" s="10"/>
      <c r="N149" s="10"/>
      <c r="O149" s="10"/>
      <c r="P149" s="10"/>
      <c r="Q149" s="10"/>
      <c r="R149" s="10"/>
      <c r="S149" s="5">
        <f t="shared" si="183"/>
        <v>30915</v>
      </c>
      <c r="T149" s="11" t="s">
        <v>486</v>
      </c>
      <c r="V149" s="5">
        <f t="shared" si="186"/>
        <v>43470</v>
      </c>
      <c r="W149" s="5">
        <f t="shared" si="184"/>
        <v>0</v>
      </c>
      <c r="X149" s="5">
        <f t="shared" si="184"/>
        <v>0</v>
      </c>
      <c r="Y149" s="5">
        <f t="shared" si="184"/>
        <v>0</v>
      </c>
      <c r="Z149" s="10"/>
      <c r="AA149" s="10"/>
      <c r="AB149" s="10"/>
      <c r="AC149" s="5">
        <f t="shared" si="185"/>
        <v>43470</v>
      </c>
    </row>
    <row r="150" spans="1:29" x14ac:dyDescent="0.35">
      <c r="A150" s="26" t="s">
        <v>117</v>
      </c>
      <c r="B150" s="5">
        <f>10*B17</f>
        <v>4650</v>
      </c>
      <c r="C150" s="10"/>
      <c r="D150" s="10"/>
      <c r="E150" s="10"/>
      <c r="F150" s="10"/>
      <c r="G150" s="10"/>
      <c r="H150" s="10"/>
      <c r="I150" s="5">
        <f t="shared" si="182"/>
        <v>4650</v>
      </c>
      <c r="J150" s="11" t="s">
        <v>467</v>
      </c>
      <c r="L150" s="5">
        <f>10*L17</f>
        <v>11450</v>
      </c>
      <c r="M150" s="10"/>
      <c r="N150" s="10"/>
      <c r="O150" s="10"/>
      <c r="P150" s="10"/>
      <c r="Q150" s="10"/>
      <c r="R150" s="10"/>
      <c r="S150" s="5">
        <f t="shared" si="183"/>
        <v>11450</v>
      </c>
      <c r="T150" s="11" t="s">
        <v>467</v>
      </c>
      <c r="V150" s="5">
        <f t="shared" si="186"/>
        <v>16100</v>
      </c>
      <c r="W150" s="5">
        <f t="shared" si="184"/>
        <v>0</v>
      </c>
      <c r="X150" s="5">
        <f t="shared" si="184"/>
        <v>0</v>
      </c>
      <c r="Y150" s="5">
        <f t="shared" si="184"/>
        <v>0</v>
      </c>
      <c r="Z150" s="10"/>
      <c r="AA150" s="10"/>
      <c r="AB150" s="10"/>
      <c r="AC150" s="5">
        <f t="shared" si="185"/>
        <v>16100</v>
      </c>
    </row>
    <row r="151" spans="1:29" x14ac:dyDescent="0.35">
      <c r="A151" s="26" t="s">
        <v>118</v>
      </c>
      <c r="B151" s="5">
        <f>129*B20</f>
        <v>0</v>
      </c>
      <c r="C151" s="10">
        <f>160*(C20)</f>
        <v>8960</v>
      </c>
      <c r="D151" s="10"/>
      <c r="E151" s="10"/>
      <c r="F151" s="10"/>
      <c r="G151" s="10"/>
      <c r="H151" s="10"/>
      <c r="I151" s="5">
        <f t="shared" si="182"/>
        <v>8960</v>
      </c>
      <c r="J151" s="11" t="s">
        <v>474</v>
      </c>
      <c r="L151" s="5">
        <f>129*L20</f>
        <v>0</v>
      </c>
      <c r="M151" s="10">
        <f>160*(M20)</f>
        <v>18080</v>
      </c>
      <c r="N151" s="10"/>
      <c r="O151" s="10"/>
      <c r="P151" s="10"/>
      <c r="Q151" s="10"/>
      <c r="R151" s="10"/>
      <c r="S151" s="5">
        <f t="shared" si="183"/>
        <v>18080</v>
      </c>
      <c r="T151" s="11" t="s">
        <v>474</v>
      </c>
      <c r="V151" s="5">
        <f t="shared" si="186"/>
        <v>0</v>
      </c>
      <c r="W151" s="5">
        <f t="shared" si="184"/>
        <v>27040</v>
      </c>
      <c r="X151" s="5">
        <f t="shared" si="184"/>
        <v>0</v>
      </c>
      <c r="Y151" s="5">
        <f t="shared" si="184"/>
        <v>0</v>
      </c>
      <c r="Z151" s="10"/>
      <c r="AA151" s="10"/>
      <c r="AB151" s="10"/>
      <c r="AC151" s="5">
        <f t="shared" si="185"/>
        <v>27040</v>
      </c>
    </row>
    <row r="152" spans="1:29" x14ac:dyDescent="0.35">
      <c r="A152" s="26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182"/>
        <v>0</v>
      </c>
      <c r="J152" s="11"/>
      <c r="L152" s="5">
        <v>0</v>
      </c>
      <c r="M152" s="5"/>
      <c r="N152" s="5"/>
      <c r="O152" s="5"/>
      <c r="P152" s="5"/>
      <c r="Q152" s="5"/>
      <c r="R152" s="5"/>
      <c r="S152" s="5">
        <f t="shared" si="183"/>
        <v>0</v>
      </c>
      <c r="T152" s="11"/>
      <c r="V152" s="5">
        <f t="shared" si="186"/>
        <v>0</v>
      </c>
      <c r="W152" s="5">
        <f t="shared" si="184"/>
        <v>0</v>
      </c>
      <c r="X152" s="5">
        <f t="shared" si="184"/>
        <v>0</v>
      </c>
      <c r="Y152" s="5">
        <f t="shared" si="184"/>
        <v>0</v>
      </c>
      <c r="Z152" s="5"/>
      <c r="AA152" s="5"/>
      <c r="AB152" s="5"/>
      <c r="AC152" s="5">
        <f t="shared" si="185"/>
        <v>0</v>
      </c>
    </row>
    <row r="153" spans="1:29" x14ac:dyDescent="0.35">
      <c r="A153" s="69" t="s">
        <v>161</v>
      </c>
      <c r="B153" s="73">
        <f>46*B17</f>
        <v>21390</v>
      </c>
      <c r="C153" s="5"/>
      <c r="D153" s="5"/>
      <c r="E153" s="5"/>
      <c r="F153" s="5"/>
      <c r="G153" s="5"/>
      <c r="H153" s="5"/>
      <c r="I153" s="5">
        <f>SUM(B153:H153)</f>
        <v>21390</v>
      </c>
      <c r="J153" s="11" t="s">
        <v>490</v>
      </c>
      <c r="L153" s="73">
        <f>46*L17</f>
        <v>52670</v>
      </c>
      <c r="M153" s="5"/>
      <c r="N153" s="5"/>
      <c r="O153" s="5"/>
      <c r="P153" s="5"/>
      <c r="Q153" s="5"/>
      <c r="R153" s="5"/>
      <c r="S153" s="5">
        <f>SUM(L153:R153)</f>
        <v>52670</v>
      </c>
      <c r="T153" s="11" t="s">
        <v>490</v>
      </c>
      <c r="V153" s="5">
        <f t="shared" si="186"/>
        <v>74060</v>
      </c>
      <c r="W153" s="5">
        <f t="shared" si="184"/>
        <v>0</v>
      </c>
      <c r="X153" s="5">
        <f t="shared" si="184"/>
        <v>0</v>
      </c>
      <c r="Y153" s="5">
        <f t="shared" si="184"/>
        <v>0</v>
      </c>
      <c r="Z153" s="5"/>
      <c r="AA153" s="5"/>
      <c r="AB153" s="5"/>
      <c r="AC153" s="5">
        <f>SUM(V153:AB153)</f>
        <v>74060</v>
      </c>
    </row>
    <row r="154" spans="1:29" x14ac:dyDescent="0.35">
      <c r="A154" s="62" t="s">
        <v>257</v>
      </c>
      <c r="B154" s="63">
        <f>SUM(B144:B153)</f>
        <v>192510</v>
      </c>
      <c r="C154" s="63">
        <f t="shared" ref="C154:I154" si="187">SUM(C144:C153)</f>
        <v>8960</v>
      </c>
      <c r="D154" s="63">
        <f t="shared" si="187"/>
        <v>3500</v>
      </c>
      <c r="E154" s="63">
        <f t="shared" si="187"/>
        <v>0</v>
      </c>
      <c r="F154" s="63">
        <f t="shared" si="187"/>
        <v>0</v>
      </c>
      <c r="G154" s="63">
        <f t="shared" si="187"/>
        <v>0</v>
      </c>
      <c r="H154" s="63">
        <f t="shared" si="187"/>
        <v>0</v>
      </c>
      <c r="I154" s="63">
        <f t="shared" si="187"/>
        <v>204970</v>
      </c>
      <c r="J154" s="7"/>
      <c r="L154" s="63">
        <f>SUM(L144:L153)</f>
        <v>474030</v>
      </c>
      <c r="M154" s="63">
        <f t="shared" ref="M154:S154" si="188">SUM(M144:M153)</f>
        <v>18080</v>
      </c>
      <c r="N154" s="63">
        <f t="shared" si="188"/>
        <v>3500</v>
      </c>
      <c r="O154" s="63">
        <f t="shared" si="188"/>
        <v>0</v>
      </c>
      <c r="P154" s="63">
        <f t="shared" si="188"/>
        <v>0</v>
      </c>
      <c r="Q154" s="63">
        <f t="shared" si="188"/>
        <v>0</v>
      </c>
      <c r="R154" s="63">
        <f t="shared" si="188"/>
        <v>0</v>
      </c>
      <c r="S154" s="63">
        <f t="shared" si="188"/>
        <v>495610</v>
      </c>
      <c r="T154" s="7"/>
      <c r="V154" s="63">
        <f>SUM(V144:V153)</f>
        <v>666540</v>
      </c>
      <c r="W154" s="63">
        <f t="shared" ref="W154:AC154" si="189">SUM(W144:W153)</f>
        <v>27040</v>
      </c>
      <c r="X154" s="63">
        <f t="shared" si="189"/>
        <v>7000</v>
      </c>
      <c r="Y154" s="63">
        <f t="shared" si="189"/>
        <v>0</v>
      </c>
      <c r="Z154" s="63">
        <f t="shared" si="189"/>
        <v>0</v>
      </c>
      <c r="AA154" s="63">
        <f t="shared" si="189"/>
        <v>0</v>
      </c>
      <c r="AB154" s="63">
        <f t="shared" si="189"/>
        <v>0</v>
      </c>
      <c r="AC154" s="63">
        <f t="shared" si="189"/>
        <v>700580</v>
      </c>
    </row>
    <row r="155" spans="1:29" x14ac:dyDescent="0.35">
      <c r="A155" s="66" t="s">
        <v>120</v>
      </c>
      <c r="B155" s="15" t="str">
        <f t="shared" ref="B155:I155" si="190">B1</f>
        <v>Operating</v>
      </c>
      <c r="C155" s="15" t="str">
        <f t="shared" si="190"/>
        <v>SPED</v>
      </c>
      <c r="D155" s="15" t="str">
        <f t="shared" si="190"/>
        <v>NSLP</v>
      </c>
      <c r="E155" s="15" t="str">
        <f t="shared" si="190"/>
        <v>Other</v>
      </c>
      <c r="F155" s="15" t="str">
        <f t="shared" si="190"/>
        <v>Title I</v>
      </c>
      <c r="G155" s="15" t="str">
        <f t="shared" si="190"/>
        <v>Title II</v>
      </c>
      <c r="H155" s="15" t="str">
        <f t="shared" si="190"/>
        <v>Title III</v>
      </c>
      <c r="I155" s="15" t="str">
        <f t="shared" si="190"/>
        <v>B&amp;G</v>
      </c>
      <c r="J155" s="7"/>
      <c r="L155" s="15" t="str">
        <f t="shared" ref="L155:S155" si="191">L1</f>
        <v>Operating</v>
      </c>
      <c r="M155" s="15" t="str">
        <f t="shared" si="191"/>
        <v>SPED</v>
      </c>
      <c r="N155" s="15" t="str">
        <f t="shared" si="191"/>
        <v>NSLP</v>
      </c>
      <c r="O155" s="15" t="str">
        <f t="shared" si="191"/>
        <v>Other</v>
      </c>
      <c r="P155" s="15" t="str">
        <f t="shared" si="191"/>
        <v>Title I</v>
      </c>
      <c r="Q155" s="15" t="str">
        <f t="shared" si="191"/>
        <v>Title II</v>
      </c>
      <c r="R155" s="15" t="str">
        <f t="shared" si="191"/>
        <v>Title III</v>
      </c>
      <c r="S155" s="15" t="str">
        <f t="shared" si="191"/>
        <v>New</v>
      </c>
      <c r="T155" s="7"/>
      <c r="V155" s="15" t="str">
        <f t="shared" ref="V155:AC155" si="192">V1</f>
        <v>Operating</v>
      </c>
      <c r="W155" s="15" t="str">
        <f t="shared" si="192"/>
        <v>SPED</v>
      </c>
      <c r="X155" s="15" t="str">
        <f t="shared" si="192"/>
        <v>NSLP</v>
      </c>
      <c r="Y155" s="15" t="str">
        <f t="shared" si="192"/>
        <v>Other</v>
      </c>
      <c r="Z155" s="15" t="str">
        <f t="shared" si="192"/>
        <v>Title I</v>
      </c>
      <c r="AA155" s="15" t="str">
        <f t="shared" si="192"/>
        <v>Title II</v>
      </c>
      <c r="AB155" s="15" t="str">
        <f t="shared" si="192"/>
        <v>Title III</v>
      </c>
      <c r="AC155" s="15" t="str">
        <f t="shared" si="192"/>
        <v>MANN</v>
      </c>
    </row>
    <row r="156" spans="1:29" x14ac:dyDescent="0.35">
      <c r="A156" s="26" t="s">
        <v>457</v>
      </c>
      <c r="B156" s="10">
        <f>(12600+3000)*1.03*1.03*1.03</f>
        <v>17046.5412</v>
      </c>
      <c r="C156" s="10"/>
      <c r="D156" s="10"/>
      <c r="E156" s="10"/>
      <c r="F156" s="10"/>
      <c r="G156" s="10"/>
      <c r="H156" s="10"/>
      <c r="I156" s="5">
        <f t="shared" ref="I156:I169" si="193">SUM(B156:H156)</f>
        <v>17046.5412</v>
      </c>
      <c r="J156" s="11"/>
      <c r="L156" s="10">
        <f>(18600+3000)*1.03*1.02*1.05</f>
        <v>23827.608</v>
      </c>
      <c r="M156" s="10"/>
      <c r="N156" s="10"/>
      <c r="O156" s="10"/>
      <c r="P156" s="10"/>
      <c r="Q156" s="10"/>
      <c r="R156" s="10"/>
      <c r="S156" s="5">
        <f t="shared" ref="S156:S169" si="194">SUM(L156:R156)</f>
        <v>23827.608</v>
      </c>
      <c r="T156" s="11"/>
      <c r="V156" s="10">
        <f>B156+L156</f>
        <v>40874.1492</v>
      </c>
      <c r="W156" s="10">
        <f t="shared" ref="W156:Y169" si="195">C156+M156</f>
        <v>0</v>
      </c>
      <c r="X156" s="10">
        <f t="shared" si="195"/>
        <v>0</v>
      </c>
      <c r="Y156" s="10">
        <f t="shared" si="195"/>
        <v>0</v>
      </c>
      <c r="Z156" s="10"/>
      <c r="AA156" s="10"/>
      <c r="AB156" s="10"/>
      <c r="AC156" s="5">
        <f t="shared" ref="AC156:AC169" si="196">SUM(V156:AB156)</f>
        <v>40874.1492</v>
      </c>
    </row>
    <row r="157" spans="1:29" x14ac:dyDescent="0.35">
      <c r="A157" s="26" t="s">
        <v>121</v>
      </c>
      <c r="B157" s="10">
        <v>0</v>
      </c>
      <c r="C157" s="5">
        <f>120*B17</f>
        <v>55800</v>
      </c>
      <c r="D157" s="5"/>
      <c r="E157" s="5"/>
      <c r="F157" s="5"/>
      <c r="G157" s="5"/>
      <c r="H157" s="5"/>
      <c r="I157" s="5">
        <f t="shared" si="193"/>
        <v>55800</v>
      </c>
      <c r="J157" s="11" t="s">
        <v>487</v>
      </c>
      <c r="L157" s="10">
        <v>0</v>
      </c>
      <c r="M157" s="5">
        <f>400*L17</f>
        <v>458000</v>
      </c>
      <c r="N157" s="5"/>
      <c r="O157" s="5"/>
      <c r="P157" s="5"/>
      <c r="Q157" s="5"/>
      <c r="R157" s="5"/>
      <c r="S157" s="5">
        <f t="shared" si="194"/>
        <v>458000</v>
      </c>
      <c r="T157" s="11" t="s">
        <v>477</v>
      </c>
      <c r="V157" s="10">
        <f t="shared" ref="V157:V169" si="197">B157+L157</f>
        <v>0</v>
      </c>
      <c r="W157" s="10">
        <f t="shared" si="195"/>
        <v>513800</v>
      </c>
      <c r="X157" s="10">
        <f t="shared" si="195"/>
        <v>0</v>
      </c>
      <c r="Y157" s="10">
        <f t="shared" si="195"/>
        <v>0</v>
      </c>
      <c r="Z157" s="5"/>
      <c r="AA157" s="5"/>
      <c r="AB157" s="5"/>
      <c r="AC157" s="5">
        <f t="shared" si="196"/>
        <v>513800</v>
      </c>
    </row>
    <row r="158" spans="1:29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193"/>
        <v>0</v>
      </c>
      <c r="J158" s="11"/>
      <c r="L158" s="10">
        <v>0</v>
      </c>
      <c r="M158" s="5"/>
      <c r="N158" s="5"/>
      <c r="O158" s="5"/>
      <c r="P158" s="5"/>
      <c r="Q158" s="5"/>
      <c r="R158" s="5"/>
      <c r="S158" s="5">
        <f t="shared" si="194"/>
        <v>0</v>
      </c>
      <c r="T158" s="11"/>
      <c r="V158" s="10">
        <f t="shared" si="197"/>
        <v>0</v>
      </c>
      <c r="W158" s="10">
        <f t="shared" si="195"/>
        <v>0</v>
      </c>
      <c r="X158" s="10">
        <f t="shared" si="195"/>
        <v>0</v>
      </c>
      <c r="Y158" s="10">
        <f t="shared" si="195"/>
        <v>0</v>
      </c>
      <c r="Z158" s="5"/>
      <c r="AA158" s="5"/>
      <c r="AB158" s="5"/>
      <c r="AC158" s="5">
        <f t="shared" si="196"/>
        <v>0</v>
      </c>
    </row>
    <row r="159" spans="1:29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193"/>
        <v>0</v>
      </c>
      <c r="J159" s="11"/>
      <c r="L159" s="10">
        <v>0</v>
      </c>
      <c r="M159" s="5"/>
      <c r="N159" s="5"/>
      <c r="O159" s="5"/>
      <c r="P159" s="5"/>
      <c r="Q159" s="5"/>
      <c r="R159" s="5"/>
      <c r="S159" s="5">
        <f t="shared" si="194"/>
        <v>0</v>
      </c>
      <c r="T159" s="11"/>
      <c r="V159" s="10">
        <f t="shared" si="197"/>
        <v>0</v>
      </c>
      <c r="W159" s="10">
        <f t="shared" si="195"/>
        <v>0</v>
      </c>
      <c r="X159" s="10">
        <f t="shared" si="195"/>
        <v>0</v>
      </c>
      <c r="Y159" s="10">
        <f t="shared" si="195"/>
        <v>0</v>
      </c>
      <c r="Z159" s="5"/>
      <c r="AA159" s="5"/>
      <c r="AB159" s="5"/>
      <c r="AC159" s="5">
        <f t="shared" si="196"/>
        <v>0</v>
      </c>
    </row>
    <row r="160" spans="1:29" x14ac:dyDescent="0.35">
      <c r="A160" s="26" t="s">
        <v>122</v>
      </c>
      <c r="B160" s="10">
        <f>495*B17</f>
        <v>230175</v>
      </c>
      <c r="C160" s="5"/>
      <c r="D160" s="5"/>
      <c r="E160" s="5"/>
      <c r="F160" s="5"/>
      <c r="G160" s="5"/>
      <c r="H160" s="5"/>
      <c r="I160" s="5">
        <f t="shared" si="193"/>
        <v>230175</v>
      </c>
      <c r="J160" s="11" t="s">
        <v>460</v>
      </c>
      <c r="L160" s="10">
        <f>495*L17</f>
        <v>566775</v>
      </c>
      <c r="M160" s="5"/>
      <c r="N160" s="5"/>
      <c r="O160" s="5"/>
      <c r="P160" s="5"/>
      <c r="Q160" s="5"/>
      <c r="R160" s="5"/>
      <c r="S160" s="5">
        <f t="shared" si="194"/>
        <v>566775</v>
      </c>
      <c r="T160" s="11" t="s">
        <v>460</v>
      </c>
      <c r="V160" s="10">
        <f t="shared" si="197"/>
        <v>796950</v>
      </c>
      <c r="W160" s="10">
        <f t="shared" si="195"/>
        <v>0</v>
      </c>
      <c r="X160" s="10">
        <f t="shared" si="195"/>
        <v>0</v>
      </c>
      <c r="Y160" s="10">
        <f t="shared" si="195"/>
        <v>0</v>
      </c>
      <c r="Z160" s="5"/>
      <c r="AA160" s="5"/>
      <c r="AB160" s="5"/>
      <c r="AC160" s="5">
        <f t="shared" si="196"/>
        <v>796950</v>
      </c>
    </row>
    <row r="161" spans="1:29" x14ac:dyDescent="0.35">
      <c r="A161" s="26" t="s">
        <v>123</v>
      </c>
      <c r="B161" s="10">
        <f>(250*B65)+7000</f>
        <v>15250</v>
      </c>
      <c r="C161" s="10">
        <f>(245*C65)+1000</f>
        <v>2715</v>
      </c>
      <c r="D161" s="10">
        <f>(245*D65)+200</f>
        <v>690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193"/>
        <v>18655</v>
      </c>
      <c r="J161" s="11" t="s">
        <v>461</v>
      </c>
      <c r="L161" s="10">
        <f>(245*L65)+7000</f>
        <v>24150</v>
      </c>
      <c r="M161" s="10">
        <f>(245*M65)+1000</f>
        <v>3082.5</v>
      </c>
      <c r="N161" s="10">
        <f>(245*N65)+200</f>
        <v>1180</v>
      </c>
      <c r="O161" s="10"/>
      <c r="P161" s="10">
        <f>(240*P65)</f>
        <v>0</v>
      </c>
      <c r="Q161" s="10">
        <f>(240*Q65)</f>
        <v>0</v>
      </c>
      <c r="R161" s="10">
        <f>(240*R65)</f>
        <v>0</v>
      </c>
      <c r="S161" s="5">
        <f t="shared" si="194"/>
        <v>28412.5</v>
      </c>
      <c r="T161" s="11" t="s">
        <v>461</v>
      </c>
      <c r="V161" s="10">
        <f t="shared" si="197"/>
        <v>39400</v>
      </c>
      <c r="W161" s="10">
        <f t="shared" si="195"/>
        <v>5797.5</v>
      </c>
      <c r="X161" s="10">
        <f t="shared" si="195"/>
        <v>1870</v>
      </c>
      <c r="Y161" s="10">
        <f t="shared" si="195"/>
        <v>0</v>
      </c>
      <c r="Z161" s="10">
        <f>(240*Z65)</f>
        <v>0</v>
      </c>
      <c r="AA161" s="10">
        <f>(240*AA65)</f>
        <v>0</v>
      </c>
      <c r="AB161" s="10">
        <f>(240*AB65)</f>
        <v>0</v>
      </c>
      <c r="AC161" s="5">
        <f t="shared" si="196"/>
        <v>47067.5</v>
      </c>
    </row>
    <row r="162" spans="1:29" x14ac:dyDescent="0.35">
      <c r="A162" s="26" t="s">
        <v>124</v>
      </c>
      <c r="B162" s="10">
        <v>31500</v>
      </c>
      <c r="C162" s="5"/>
      <c r="D162" s="5"/>
      <c r="E162" s="5"/>
      <c r="F162" s="5"/>
      <c r="G162" s="5"/>
      <c r="H162" s="5"/>
      <c r="I162" s="5">
        <f t="shared" si="193"/>
        <v>31500</v>
      </c>
      <c r="J162" s="11"/>
      <c r="L162" s="10">
        <v>42000</v>
      </c>
      <c r="M162" s="5"/>
      <c r="N162" s="5"/>
      <c r="O162" s="5"/>
      <c r="P162" s="5"/>
      <c r="Q162" s="5"/>
      <c r="R162" s="5"/>
      <c r="S162" s="5">
        <f t="shared" si="194"/>
        <v>42000</v>
      </c>
      <c r="T162" s="11"/>
      <c r="V162" s="10">
        <f t="shared" si="197"/>
        <v>73500</v>
      </c>
      <c r="W162" s="10">
        <f t="shared" si="195"/>
        <v>0</v>
      </c>
      <c r="X162" s="10">
        <f t="shared" si="195"/>
        <v>0</v>
      </c>
      <c r="Y162" s="10">
        <f t="shared" si="195"/>
        <v>0</v>
      </c>
      <c r="Z162" s="5"/>
      <c r="AA162" s="5"/>
      <c r="AB162" s="5"/>
      <c r="AC162" s="5">
        <f t="shared" si="196"/>
        <v>73500</v>
      </c>
    </row>
    <row r="163" spans="1:29" x14ac:dyDescent="0.35">
      <c r="A163" s="26" t="s">
        <v>125</v>
      </c>
      <c r="B163" s="10">
        <v>6500</v>
      </c>
      <c r="C163" s="5"/>
      <c r="D163" s="5"/>
      <c r="E163" s="5"/>
      <c r="F163" s="5"/>
      <c r="G163" s="5"/>
      <c r="H163" s="5"/>
      <c r="I163" s="5">
        <f t="shared" si="193"/>
        <v>6500</v>
      </c>
      <c r="J163" s="11"/>
      <c r="L163" s="10">
        <v>6500</v>
      </c>
      <c r="M163" s="5"/>
      <c r="N163" s="5"/>
      <c r="O163" s="5"/>
      <c r="P163" s="5"/>
      <c r="Q163" s="5"/>
      <c r="R163" s="5"/>
      <c r="S163" s="5">
        <f t="shared" si="194"/>
        <v>6500</v>
      </c>
      <c r="T163" s="11"/>
      <c r="V163" s="10">
        <f t="shared" si="197"/>
        <v>13000</v>
      </c>
      <c r="W163" s="10">
        <f t="shared" si="195"/>
        <v>0</v>
      </c>
      <c r="X163" s="10">
        <f t="shared" si="195"/>
        <v>0</v>
      </c>
      <c r="Y163" s="10">
        <f t="shared" si="195"/>
        <v>0</v>
      </c>
      <c r="Z163" s="5"/>
      <c r="AA163" s="5"/>
      <c r="AB163" s="5"/>
      <c r="AC163" s="5">
        <f t="shared" si="196"/>
        <v>13000</v>
      </c>
    </row>
    <row r="164" spans="1:29" x14ac:dyDescent="0.35">
      <c r="A164" s="26" t="s">
        <v>126</v>
      </c>
      <c r="B164" s="10">
        <f>50*B17+(60*12)</f>
        <v>23970</v>
      </c>
      <c r="C164" s="5"/>
      <c r="D164" s="5"/>
      <c r="E164" s="5"/>
      <c r="F164" s="5"/>
      <c r="G164" s="5"/>
      <c r="H164" s="5"/>
      <c r="I164" s="5">
        <f t="shared" si="193"/>
        <v>23970</v>
      </c>
      <c r="J164" s="11" t="s">
        <v>462</v>
      </c>
      <c r="L164" s="10">
        <f>50*L17+(60*12)</f>
        <v>57970</v>
      </c>
      <c r="M164" s="5"/>
      <c r="N164" s="5"/>
      <c r="O164" s="5"/>
      <c r="P164" s="5"/>
      <c r="Q164" s="5"/>
      <c r="R164" s="5"/>
      <c r="S164" s="5">
        <f t="shared" si="194"/>
        <v>57970</v>
      </c>
      <c r="T164" s="11" t="s">
        <v>462</v>
      </c>
      <c r="V164" s="10">
        <f t="shared" si="197"/>
        <v>81940</v>
      </c>
      <c r="W164" s="10">
        <f t="shared" si="195"/>
        <v>0</v>
      </c>
      <c r="X164" s="10">
        <f t="shared" si="195"/>
        <v>0</v>
      </c>
      <c r="Y164" s="10">
        <f t="shared" si="195"/>
        <v>0</v>
      </c>
      <c r="Z164" s="5"/>
      <c r="AA164" s="5"/>
      <c r="AB164" s="5"/>
      <c r="AC164" s="5">
        <f t="shared" si="196"/>
        <v>81940</v>
      </c>
    </row>
    <row r="165" spans="1:29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193"/>
        <v>18000</v>
      </c>
      <c r="J165" s="11"/>
      <c r="L165" s="10">
        <v>23000</v>
      </c>
      <c r="M165" s="5"/>
      <c r="N165" s="5"/>
      <c r="O165" s="5"/>
      <c r="P165" s="5"/>
      <c r="Q165" s="5"/>
      <c r="R165" s="5"/>
      <c r="S165" s="5">
        <f t="shared" si="194"/>
        <v>23000</v>
      </c>
      <c r="T165" s="11"/>
      <c r="V165" s="10">
        <f t="shared" si="197"/>
        <v>41000</v>
      </c>
      <c r="W165" s="10">
        <f t="shared" si="195"/>
        <v>0</v>
      </c>
      <c r="X165" s="10">
        <f t="shared" si="195"/>
        <v>0</v>
      </c>
      <c r="Y165" s="10">
        <f t="shared" si="195"/>
        <v>0</v>
      </c>
      <c r="Z165" s="5"/>
      <c r="AA165" s="5"/>
      <c r="AB165" s="5"/>
      <c r="AC165" s="5">
        <f t="shared" si="196"/>
        <v>41000</v>
      </c>
    </row>
    <row r="166" spans="1:29" x14ac:dyDescent="0.35">
      <c r="A166" s="26" t="s">
        <v>128</v>
      </c>
      <c r="B166" s="10">
        <f>B74*0.0125</f>
        <v>57195</v>
      </c>
      <c r="C166" s="5"/>
      <c r="D166" s="5"/>
      <c r="E166" s="5"/>
      <c r="F166" s="5"/>
      <c r="G166" s="5"/>
      <c r="H166" s="5"/>
      <c r="I166" s="5">
        <f t="shared" si="193"/>
        <v>57195</v>
      </c>
      <c r="J166" s="70">
        <v>1.2500000000000001E-2</v>
      </c>
      <c r="L166" s="10">
        <f>L74*0.0125</f>
        <v>140835</v>
      </c>
      <c r="M166" s="5"/>
      <c r="N166" s="5"/>
      <c r="O166" s="5"/>
      <c r="P166" s="5"/>
      <c r="Q166" s="5"/>
      <c r="R166" s="5"/>
      <c r="S166" s="5">
        <f t="shared" si="194"/>
        <v>140835</v>
      </c>
      <c r="T166" s="70">
        <v>1.2500000000000001E-2</v>
      </c>
      <c r="V166" s="10">
        <f t="shared" si="197"/>
        <v>198030</v>
      </c>
      <c r="W166" s="10">
        <f t="shared" si="195"/>
        <v>0</v>
      </c>
      <c r="X166" s="10">
        <f t="shared" si="195"/>
        <v>0</v>
      </c>
      <c r="Y166" s="10">
        <f t="shared" si="195"/>
        <v>0</v>
      </c>
      <c r="Z166" s="5"/>
      <c r="AA166" s="5"/>
      <c r="AB166" s="5"/>
      <c r="AC166" s="5">
        <f t="shared" si="196"/>
        <v>198030</v>
      </c>
    </row>
    <row r="167" spans="1:29" x14ac:dyDescent="0.35">
      <c r="A167" s="26" t="s">
        <v>129</v>
      </c>
      <c r="B167" s="10">
        <f>B74*0.005</f>
        <v>22878</v>
      </c>
      <c r="C167" s="5"/>
      <c r="D167" s="5"/>
      <c r="E167" s="5"/>
      <c r="F167" s="5"/>
      <c r="G167" s="5"/>
      <c r="H167" s="5"/>
      <c r="I167" s="5">
        <f t="shared" si="193"/>
        <v>22878</v>
      </c>
      <c r="J167" s="70" t="s">
        <v>130</v>
      </c>
      <c r="L167" s="10">
        <f>L74*0.005</f>
        <v>56334</v>
      </c>
      <c r="M167" s="5"/>
      <c r="N167" s="5"/>
      <c r="O167" s="5"/>
      <c r="P167" s="5"/>
      <c r="Q167" s="5"/>
      <c r="R167" s="5"/>
      <c r="S167" s="5">
        <f t="shared" si="194"/>
        <v>56334</v>
      </c>
      <c r="T167" s="70" t="s">
        <v>130</v>
      </c>
      <c r="V167" s="10">
        <f t="shared" si="197"/>
        <v>79212</v>
      </c>
      <c r="W167" s="10">
        <f t="shared" si="195"/>
        <v>0</v>
      </c>
      <c r="X167" s="10">
        <f t="shared" si="195"/>
        <v>0</v>
      </c>
      <c r="Y167" s="10">
        <f t="shared" si="195"/>
        <v>0</v>
      </c>
      <c r="Z167" s="5"/>
      <c r="AA167" s="5"/>
      <c r="AB167" s="5"/>
      <c r="AC167" s="5">
        <f t="shared" si="196"/>
        <v>79212</v>
      </c>
    </row>
    <row r="168" spans="1:29" x14ac:dyDescent="0.35">
      <c r="A168" s="26" t="s">
        <v>131</v>
      </c>
      <c r="B168" s="10">
        <f>B74*0.005</f>
        <v>22878</v>
      </c>
      <c r="C168" s="5"/>
      <c r="D168" s="5"/>
      <c r="E168" s="5"/>
      <c r="F168" s="5"/>
      <c r="G168" s="5"/>
      <c r="H168" s="5"/>
      <c r="I168" s="5">
        <f t="shared" si="193"/>
        <v>22878</v>
      </c>
      <c r="J168" s="70" t="s">
        <v>130</v>
      </c>
      <c r="L168" s="10">
        <f>L74*0.005</f>
        <v>56334</v>
      </c>
      <c r="M168" s="5"/>
      <c r="N168" s="5"/>
      <c r="O168" s="5"/>
      <c r="P168" s="5"/>
      <c r="Q168" s="5"/>
      <c r="R168" s="5"/>
      <c r="S168" s="5">
        <f t="shared" si="194"/>
        <v>56334</v>
      </c>
      <c r="T168" s="70" t="s">
        <v>130</v>
      </c>
      <c r="V168" s="10">
        <f t="shared" si="197"/>
        <v>79212</v>
      </c>
      <c r="W168" s="10">
        <f t="shared" si="195"/>
        <v>0</v>
      </c>
      <c r="X168" s="10">
        <f t="shared" si="195"/>
        <v>0</v>
      </c>
      <c r="Y168" s="10">
        <f t="shared" si="195"/>
        <v>0</v>
      </c>
      <c r="Z168" s="5"/>
      <c r="AA168" s="5"/>
      <c r="AB168" s="5"/>
      <c r="AC168" s="5">
        <f t="shared" si="196"/>
        <v>79212</v>
      </c>
    </row>
    <row r="169" spans="1:29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193"/>
        <v>0</v>
      </c>
      <c r="J169" s="70"/>
      <c r="L169" s="10">
        <v>0</v>
      </c>
      <c r="M169" s="5"/>
      <c r="N169" s="5"/>
      <c r="O169" s="5"/>
      <c r="P169" s="5"/>
      <c r="Q169" s="5"/>
      <c r="R169" s="5"/>
      <c r="S169" s="5">
        <f t="shared" si="194"/>
        <v>0</v>
      </c>
      <c r="T169" s="70"/>
      <c r="V169" s="10">
        <f t="shared" si="197"/>
        <v>0</v>
      </c>
      <c r="W169" s="10">
        <f t="shared" si="195"/>
        <v>0</v>
      </c>
      <c r="X169" s="10">
        <f t="shared" si="195"/>
        <v>0</v>
      </c>
      <c r="Y169" s="10">
        <f t="shared" si="195"/>
        <v>0</v>
      </c>
      <c r="Z169" s="5"/>
      <c r="AA169" s="5"/>
      <c r="AB169" s="5"/>
      <c r="AC169" s="5">
        <f t="shared" si="196"/>
        <v>0</v>
      </c>
    </row>
    <row r="170" spans="1:29" x14ac:dyDescent="0.35">
      <c r="A170" s="62" t="s">
        <v>133</v>
      </c>
      <c r="B170" s="63">
        <f>SUM(B156:B169)</f>
        <v>445392.54119999998</v>
      </c>
      <c r="C170" s="63">
        <f t="shared" ref="C170:H170" si="198">SUM(C156:C169)</f>
        <v>58515</v>
      </c>
      <c r="D170" s="63">
        <f t="shared" si="198"/>
        <v>690</v>
      </c>
      <c r="E170" s="63">
        <f t="shared" si="198"/>
        <v>0</v>
      </c>
      <c r="F170" s="63">
        <f t="shared" si="198"/>
        <v>0</v>
      </c>
      <c r="G170" s="63">
        <f t="shared" si="198"/>
        <v>0</v>
      </c>
      <c r="H170" s="63">
        <f t="shared" si="198"/>
        <v>0</v>
      </c>
      <c r="I170" s="63">
        <f>SUM(I156:I169)</f>
        <v>504597.54119999998</v>
      </c>
      <c r="J170" s="7"/>
      <c r="L170" s="63">
        <f>SUM(L156:L169)</f>
        <v>997725.60800000001</v>
      </c>
      <c r="M170" s="63">
        <f t="shared" ref="M170:R170" si="199">SUM(M156:M169)</f>
        <v>461082.5</v>
      </c>
      <c r="N170" s="63">
        <f t="shared" si="199"/>
        <v>1180</v>
      </c>
      <c r="O170" s="63">
        <f t="shared" si="199"/>
        <v>0</v>
      </c>
      <c r="P170" s="63">
        <f t="shared" si="199"/>
        <v>0</v>
      </c>
      <c r="Q170" s="63">
        <f t="shared" si="199"/>
        <v>0</v>
      </c>
      <c r="R170" s="63">
        <f t="shared" si="199"/>
        <v>0</v>
      </c>
      <c r="S170" s="63">
        <f>SUM(S156:S169)</f>
        <v>1459988.108</v>
      </c>
      <c r="T170" s="7"/>
      <c r="V170" s="63">
        <f>SUM(V156:V169)</f>
        <v>1443118.1491999999</v>
      </c>
      <c r="W170" s="63">
        <f t="shared" ref="W170:AB170" si="200">SUM(W156:W169)</f>
        <v>519597.5</v>
      </c>
      <c r="X170" s="63">
        <f t="shared" si="200"/>
        <v>1870</v>
      </c>
      <c r="Y170" s="63">
        <f t="shared" si="200"/>
        <v>0</v>
      </c>
      <c r="Z170" s="63">
        <f t="shared" si="200"/>
        <v>0</v>
      </c>
      <c r="AA170" s="63">
        <f t="shared" si="200"/>
        <v>0</v>
      </c>
      <c r="AB170" s="63">
        <f t="shared" si="200"/>
        <v>0</v>
      </c>
      <c r="AC170" s="63">
        <f>SUM(AC156:AC169)</f>
        <v>1964585.6491999999</v>
      </c>
    </row>
    <row r="171" spans="1:29" x14ac:dyDescent="0.35">
      <c r="A171" s="66" t="s">
        <v>134</v>
      </c>
      <c r="B171" s="15" t="str">
        <f t="shared" ref="B171:I171" si="201">B1</f>
        <v>Operating</v>
      </c>
      <c r="C171" s="15" t="str">
        <f t="shared" si="201"/>
        <v>SPED</v>
      </c>
      <c r="D171" s="15" t="str">
        <f t="shared" si="201"/>
        <v>NSLP</v>
      </c>
      <c r="E171" s="15" t="str">
        <f t="shared" si="201"/>
        <v>Other</v>
      </c>
      <c r="F171" s="15" t="str">
        <f t="shared" si="201"/>
        <v>Title I</v>
      </c>
      <c r="G171" s="15" t="str">
        <f t="shared" si="201"/>
        <v>Title II</v>
      </c>
      <c r="H171" s="15" t="str">
        <f t="shared" si="201"/>
        <v>Title III</v>
      </c>
      <c r="I171" s="15" t="str">
        <f t="shared" si="201"/>
        <v>B&amp;G</v>
      </c>
      <c r="J171" s="7"/>
      <c r="L171" s="15" t="str">
        <f t="shared" ref="L171:S171" si="202">L1</f>
        <v>Operating</v>
      </c>
      <c r="M171" s="15" t="str">
        <f t="shared" si="202"/>
        <v>SPED</v>
      </c>
      <c r="N171" s="15" t="str">
        <f t="shared" si="202"/>
        <v>NSLP</v>
      </c>
      <c r="O171" s="15" t="str">
        <f t="shared" si="202"/>
        <v>Other</v>
      </c>
      <c r="P171" s="15" t="str">
        <f t="shared" si="202"/>
        <v>Title I</v>
      </c>
      <c r="Q171" s="15" t="str">
        <f t="shared" si="202"/>
        <v>Title II</v>
      </c>
      <c r="R171" s="15" t="str">
        <f t="shared" si="202"/>
        <v>Title III</v>
      </c>
      <c r="S171" s="15" t="str">
        <f t="shared" si="202"/>
        <v>New</v>
      </c>
      <c r="T171" s="7"/>
      <c r="V171" s="15" t="str">
        <f t="shared" ref="V171:AC171" si="203">V1</f>
        <v>Operating</v>
      </c>
      <c r="W171" s="15" t="str">
        <f t="shared" si="203"/>
        <v>SPED</v>
      </c>
      <c r="X171" s="15" t="str">
        <f t="shared" si="203"/>
        <v>NSLP</v>
      </c>
      <c r="Y171" s="15" t="str">
        <f t="shared" si="203"/>
        <v>Other</v>
      </c>
      <c r="Z171" s="15" t="str">
        <f t="shared" si="203"/>
        <v>Title I</v>
      </c>
      <c r="AA171" s="15" t="str">
        <f t="shared" si="203"/>
        <v>Title II</v>
      </c>
      <c r="AB171" s="15" t="str">
        <f t="shared" si="203"/>
        <v>Title III</v>
      </c>
      <c r="AC171" s="15" t="str">
        <f t="shared" si="203"/>
        <v>MANN</v>
      </c>
    </row>
    <row r="172" spans="1:29" x14ac:dyDescent="0.35">
      <c r="A172" s="71" t="s">
        <v>135</v>
      </c>
      <c r="B172" s="72">
        <f>(200*12)*1.03*1.03</f>
        <v>2546.16</v>
      </c>
      <c r="C172" s="5"/>
      <c r="D172" s="5"/>
      <c r="E172" s="5"/>
      <c r="F172" s="5"/>
      <c r="G172" s="5"/>
      <c r="H172" s="5"/>
      <c r="I172" s="5">
        <f t="shared" ref="I172:I178" si="204">SUM(B172:H172)</f>
        <v>2546.16</v>
      </c>
      <c r="J172" s="11" t="s">
        <v>286</v>
      </c>
      <c r="L172" s="72">
        <f>(700*12)*1.03*1.03*1.03*1.03</f>
        <v>9454.274003999999</v>
      </c>
      <c r="M172" s="5"/>
      <c r="N172" s="5"/>
      <c r="O172" s="5"/>
      <c r="P172" s="5"/>
      <c r="Q172" s="5"/>
      <c r="R172" s="5"/>
      <c r="S172" s="5">
        <f t="shared" ref="S172:S178" si="205">SUM(L172:R172)</f>
        <v>9454.274003999999</v>
      </c>
      <c r="T172" s="11"/>
      <c r="V172" s="72">
        <f>B172+L172</f>
        <v>12000.434003999999</v>
      </c>
      <c r="W172" s="72">
        <f t="shared" ref="W172:Y187" si="206">C172+M172</f>
        <v>0</v>
      </c>
      <c r="X172" s="72">
        <f t="shared" si="206"/>
        <v>0</v>
      </c>
      <c r="Y172" s="72">
        <f t="shared" si="206"/>
        <v>0</v>
      </c>
      <c r="Z172" s="5"/>
      <c r="AA172" s="5"/>
      <c r="AB172" s="5"/>
      <c r="AC172" s="5">
        <f t="shared" ref="AC172:AC178" si="207">SUM(V172:AB172)</f>
        <v>12000.434003999999</v>
      </c>
    </row>
    <row r="173" spans="1:29" x14ac:dyDescent="0.35">
      <c r="A173" s="26" t="s">
        <v>136</v>
      </c>
      <c r="B173" s="72">
        <f>(1400*12)*1.03*1.03</f>
        <v>17823.12</v>
      </c>
      <c r="C173" s="5"/>
      <c r="D173" s="5"/>
      <c r="E173" s="5"/>
      <c r="F173" s="5"/>
      <c r="G173" s="5"/>
      <c r="H173" s="5"/>
      <c r="I173" s="5">
        <f t="shared" si="204"/>
        <v>17823.12</v>
      </c>
      <c r="J173" s="11" t="s">
        <v>287</v>
      </c>
      <c r="L173" s="72">
        <f>(2400*12)*1.03*1.03*1.03*1.03</f>
        <v>32414.653728000005</v>
      </c>
      <c r="M173" s="5"/>
      <c r="N173" s="5"/>
      <c r="O173" s="5"/>
      <c r="P173" s="5"/>
      <c r="Q173" s="5"/>
      <c r="R173" s="5"/>
      <c r="S173" s="5">
        <f t="shared" si="205"/>
        <v>32414.653728000005</v>
      </c>
      <c r="T173" s="11"/>
      <c r="V173" s="72">
        <f t="shared" ref="V173:Y195" si="208">B173+L173</f>
        <v>50237.773728</v>
      </c>
      <c r="W173" s="72">
        <f t="shared" si="206"/>
        <v>0</v>
      </c>
      <c r="X173" s="72">
        <f t="shared" si="206"/>
        <v>0</v>
      </c>
      <c r="Y173" s="72">
        <f t="shared" si="206"/>
        <v>0</v>
      </c>
      <c r="Z173" s="5"/>
      <c r="AA173" s="5"/>
      <c r="AB173" s="5"/>
      <c r="AC173" s="5">
        <f t="shared" si="207"/>
        <v>50237.773728</v>
      </c>
    </row>
    <row r="174" spans="1:29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204"/>
        <v>0</v>
      </c>
      <c r="J174" s="11"/>
      <c r="L174" s="73"/>
      <c r="M174" s="5"/>
      <c r="N174" s="5"/>
      <c r="O174" s="5"/>
      <c r="P174" s="5"/>
      <c r="Q174" s="5"/>
      <c r="R174" s="5"/>
      <c r="S174" s="5">
        <f t="shared" si="205"/>
        <v>0</v>
      </c>
      <c r="T174" s="11"/>
      <c r="V174" s="72">
        <f t="shared" si="208"/>
        <v>0</v>
      </c>
      <c r="W174" s="72">
        <f t="shared" si="206"/>
        <v>0</v>
      </c>
      <c r="X174" s="72">
        <f t="shared" si="206"/>
        <v>0</v>
      </c>
      <c r="Y174" s="72">
        <f t="shared" si="206"/>
        <v>0</v>
      </c>
      <c r="Z174" s="5"/>
      <c r="AA174" s="5"/>
      <c r="AB174" s="5"/>
      <c r="AC174" s="5">
        <f t="shared" si="207"/>
        <v>0</v>
      </c>
    </row>
    <row r="175" spans="1:29" x14ac:dyDescent="0.35">
      <c r="A175" s="26" t="s">
        <v>138</v>
      </c>
      <c r="B175" s="73">
        <v>1400</v>
      </c>
      <c r="C175" s="5"/>
      <c r="D175" s="5"/>
      <c r="E175" s="5"/>
      <c r="F175" s="5"/>
      <c r="G175" s="5"/>
      <c r="H175" s="5"/>
      <c r="I175" s="5">
        <f t="shared" si="204"/>
        <v>1400</v>
      </c>
      <c r="J175" s="11"/>
      <c r="L175" s="73">
        <v>1800</v>
      </c>
      <c r="M175" s="5"/>
      <c r="N175" s="5"/>
      <c r="O175" s="5"/>
      <c r="P175" s="5"/>
      <c r="Q175" s="5"/>
      <c r="R175" s="5"/>
      <c r="S175" s="5">
        <f t="shared" si="205"/>
        <v>1800</v>
      </c>
      <c r="T175" s="11"/>
      <c r="V175" s="72">
        <f t="shared" si="208"/>
        <v>3200</v>
      </c>
      <c r="W175" s="72">
        <f t="shared" si="206"/>
        <v>0</v>
      </c>
      <c r="X175" s="72">
        <f t="shared" si="206"/>
        <v>0</v>
      </c>
      <c r="Y175" s="72">
        <f t="shared" si="206"/>
        <v>0</v>
      </c>
      <c r="Z175" s="5"/>
      <c r="AA175" s="5"/>
      <c r="AB175" s="5"/>
      <c r="AC175" s="5">
        <f t="shared" si="207"/>
        <v>3200</v>
      </c>
    </row>
    <row r="176" spans="1:29" x14ac:dyDescent="0.35">
      <c r="A176" s="26" t="s">
        <v>139</v>
      </c>
      <c r="B176" s="73">
        <f>5500*1.03*1.04</f>
        <v>5891.6</v>
      </c>
      <c r="C176" s="5"/>
      <c r="D176" s="5"/>
      <c r="E176" s="5"/>
      <c r="F176" s="5"/>
      <c r="G176" s="5"/>
      <c r="H176" s="5"/>
      <c r="I176" s="5">
        <f t="shared" si="204"/>
        <v>5891.6</v>
      </c>
      <c r="J176" s="11"/>
      <c r="L176" s="73">
        <f>5500*1.03*1.03*1.03</f>
        <v>6009.9984999999997</v>
      </c>
      <c r="M176" s="5"/>
      <c r="N176" s="5"/>
      <c r="O176" s="5"/>
      <c r="P176" s="5"/>
      <c r="Q176" s="5"/>
      <c r="R176" s="5"/>
      <c r="S176" s="5">
        <f t="shared" si="205"/>
        <v>6009.9984999999997</v>
      </c>
      <c r="T176" s="11"/>
      <c r="V176" s="72">
        <f t="shared" si="208"/>
        <v>11901.5985</v>
      </c>
      <c r="W176" s="72">
        <f t="shared" si="206"/>
        <v>0</v>
      </c>
      <c r="X176" s="72">
        <f t="shared" si="206"/>
        <v>0</v>
      </c>
      <c r="Y176" s="72">
        <f t="shared" si="206"/>
        <v>0</v>
      </c>
      <c r="Z176" s="5"/>
      <c r="AA176" s="5"/>
      <c r="AB176" s="5"/>
      <c r="AC176" s="5">
        <f t="shared" si="207"/>
        <v>11901.5985</v>
      </c>
    </row>
    <row r="177" spans="1:29" x14ac:dyDescent="0.35">
      <c r="A177" s="26" t="s">
        <v>140</v>
      </c>
      <c r="B177" s="72">
        <f>30000*1.03*1.04</f>
        <v>32136</v>
      </c>
      <c r="C177" s="5"/>
      <c r="D177" s="5"/>
      <c r="E177" s="5"/>
      <c r="F177" s="5"/>
      <c r="G177" s="5"/>
      <c r="H177" s="5"/>
      <c r="I177" s="5">
        <f t="shared" si="204"/>
        <v>32136</v>
      </c>
      <c r="J177" s="11"/>
      <c r="L177" s="72">
        <v>70000</v>
      </c>
      <c r="M177" s="5"/>
      <c r="N177" s="5"/>
      <c r="O177" s="5"/>
      <c r="P177" s="5"/>
      <c r="Q177" s="5"/>
      <c r="R177" s="5"/>
      <c r="S177" s="5">
        <f t="shared" si="205"/>
        <v>70000</v>
      </c>
      <c r="T177" s="11"/>
      <c r="V177" s="72">
        <f t="shared" si="208"/>
        <v>102136</v>
      </c>
      <c r="W177" s="72">
        <f t="shared" si="206"/>
        <v>0</v>
      </c>
      <c r="X177" s="72">
        <f t="shared" si="206"/>
        <v>0</v>
      </c>
      <c r="Y177" s="72">
        <f t="shared" si="206"/>
        <v>0</v>
      </c>
      <c r="Z177" s="5"/>
      <c r="AA177" s="5"/>
      <c r="AB177" s="5"/>
      <c r="AC177" s="5">
        <f t="shared" si="207"/>
        <v>102136</v>
      </c>
    </row>
    <row r="178" spans="1:29" x14ac:dyDescent="0.35">
      <c r="A178" s="26" t="s">
        <v>141</v>
      </c>
      <c r="B178" s="30">
        <f>((2.5*B17)+4250)*1.02*1.04</f>
        <v>5741.58</v>
      </c>
      <c r="C178" s="5"/>
      <c r="D178" s="5"/>
      <c r="E178" s="5"/>
      <c r="F178" s="5"/>
      <c r="G178" s="5"/>
      <c r="H178" s="5"/>
      <c r="I178" s="5">
        <f t="shared" si="204"/>
        <v>5741.58</v>
      </c>
      <c r="J178" s="11"/>
      <c r="L178" s="30">
        <f>((2.5*L17)+4250)*1.02*1.03*1.03</f>
        <v>7696.5642749999997</v>
      </c>
      <c r="M178" s="5"/>
      <c r="N178" s="5"/>
      <c r="O178" s="5"/>
      <c r="P178" s="5"/>
      <c r="Q178" s="5"/>
      <c r="R178" s="5"/>
      <c r="S178" s="5">
        <f t="shared" si="205"/>
        <v>7696.5642749999997</v>
      </c>
      <c r="T178" s="11"/>
      <c r="V178" s="72">
        <f t="shared" si="208"/>
        <v>13438.144274999999</v>
      </c>
      <c r="W178" s="72">
        <f t="shared" si="206"/>
        <v>0</v>
      </c>
      <c r="X178" s="72">
        <f t="shared" si="206"/>
        <v>0</v>
      </c>
      <c r="Y178" s="72">
        <f t="shared" si="206"/>
        <v>0</v>
      </c>
      <c r="Z178" s="5"/>
      <c r="AA178" s="5"/>
      <c r="AB178" s="5"/>
      <c r="AC178" s="5">
        <f t="shared" si="207"/>
        <v>13438.144274999999</v>
      </c>
    </row>
    <row r="179" spans="1:29" x14ac:dyDescent="0.35">
      <c r="A179" s="26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 t="s">
        <v>143</v>
      </c>
      <c r="L179" s="72">
        <f>4000*12</f>
        <v>48000</v>
      </c>
      <c r="M179" s="5"/>
      <c r="N179" s="5"/>
      <c r="O179" s="5"/>
      <c r="P179" s="5"/>
      <c r="Q179" s="5"/>
      <c r="R179" s="5"/>
      <c r="S179" s="5">
        <f>SUM(L179:R179)</f>
        <v>48000</v>
      </c>
      <c r="T179" s="11"/>
      <c r="V179" s="72">
        <f t="shared" si="208"/>
        <v>48000</v>
      </c>
      <c r="W179" s="72">
        <f t="shared" si="206"/>
        <v>0</v>
      </c>
      <c r="X179" s="72">
        <f t="shared" si="206"/>
        <v>0</v>
      </c>
      <c r="Y179" s="72">
        <f t="shared" si="206"/>
        <v>0</v>
      </c>
      <c r="Z179" s="5"/>
      <c r="AA179" s="5"/>
      <c r="AB179" s="5"/>
      <c r="AC179" s="5">
        <f>SUM(V179:AB179)</f>
        <v>48000</v>
      </c>
    </row>
    <row r="180" spans="1:29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  <c r="L180" s="72">
        <v>0</v>
      </c>
      <c r="M180" s="5"/>
      <c r="N180" s="5"/>
      <c r="O180" s="5"/>
      <c r="P180" s="5"/>
      <c r="Q180" s="5"/>
      <c r="R180" s="5"/>
      <c r="S180" s="5">
        <f>SUM(L180:R180)</f>
        <v>0</v>
      </c>
      <c r="T180" s="11"/>
      <c r="V180" s="72">
        <f t="shared" si="208"/>
        <v>0</v>
      </c>
      <c r="W180" s="72">
        <f t="shared" si="206"/>
        <v>0</v>
      </c>
      <c r="X180" s="72">
        <f t="shared" si="206"/>
        <v>0</v>
      </c>
      <c r="Y180" s="72">
        <f t="shared" si="206"/>
        <v>0</v>
      </c>
      <c r="Z180" s="5"/>
      <c r="AA180" s="5"/>
      <c r="AB180" s="5"/>
      <c r="AC180" s="5">
        <f>SUM(V180:AB180)</f>
        <v>0</v>
      </c>
    </row>
    <row r="181" spans="1:29" x14ac:dyDescent="0.35">
      <c r="A181" s="26" t="s">
        <v>145</v>
      </c>
      <c r="B181" s="73">
        <f>26750*1.1*1.1*1.1*1.1</f>
        <v>39164.67500000001</v>
      </c>
      <c r="C181" s="5"/>
      <c r="D181" s="5"/>
      <c r="E181" s="5"/>
      <c r="F181" s="5"/>
      <c r="G181" s="5"/>
      <c r="H181" s="5"/>
      <c r="I181" s="5">
        <f>SUM(B181:H181)</f>
        <v>39164.67500000001</v>
      </c>
      <c r="J181" s="11"/>
      <c r="L181" s="72">
        <v>50000</v>
      </c>
      <c r="M181" s="5"/>
      <c r="N181" s="5"/>
      <c r="O181" s="5"/>
      <c r="P181" s="5"/>
      <c r="Q181" s="5"/>
      <c r="R181" s="5"/>
      <c r="S181" s="5">
        <f>SUM(L181:R181)</f>
        <v>50000</v>
      </c>
      <c r="T181" s="11"/>
      <c r="V181" s="72">
        <f t="shared" si="208"/>
        <v>89164.675000000017</v>
      </c>
      <c r="W181" s="72">
        <f t="shared" si="206"/>
        <v>0</v>
      </c>
      <c r="X181" s="72">
        <f t="shared" si="206"/>
        <v>0</v>
      </c>
      <c r="Y181" s="72">
        <f t="shared" si="206"/>
        <v>0</v>
      </c>
      <c r="Z181" s="5"/>
      <c r="AA181" s="5"/>
      <c r="AB181" s="5"/>
      <c r="AC181" s="5">
        <f>SUM(V181:AB181)</f>
        <v>89164.675000000017</v>
      </c>
    </row>
    <row r="182" spans="1:29" x14ac:dyDescent="0.35">
      <c r="A182" s="26" t="s">
        <v>146</v>
      </c>
      <c r="B182" s="5"/>
      <c r="C182" s="5"/>
      <c r="D182" s="5">
        <f>((B17*0.95)*2.3*180)</f>
        <v>182884.5</v>
      </c>
      <c r="E182" s="5"/>
      <c r="F182" s="5"/>
      <c r="G182" s="5"/>
      <c r="H182" s="5"/>
      <c r="I182" s="5">
        <f t="shared" ref="I182:I190" si="209">SUM(B182:H182)</f>
        <v>182884.5</v>
      </c>
      <c r="J182" s="52">
        <v>2.2999999999999998</v>
      </c>
      <c r="L182" s="5"/>
      <c r="M182" s="5"/>
      <c r="N182" s="5">
        <f>((L17*0.95)*2.3*180)</f>
        <v>450328.49999999994</v>
      </c>
      <c r="O182" s="5"/>
      <c r="P182" s="5"/>
      <c r="Q182" s="5"/>
      <c r="R182" s="5"/>
      <c r="S182" s="5">
        <f t="shared" ref="S182:S190" si="210">SUM(L182:R182)</f>
        <v>450328.49999999994</v>
      </c>
      <c r="T182" s="52">
        <v>2.2999999999999998</v>
      </c>
      <c r="V182" s="72">
        <f t="shared" si="208"/>
        <v>0</v>
      </c>
      <c r="W182" s="72">
        <f t="shared" si="206"/>
        <v>0</v>
      </c>
      <c r="X182" s="72">
        <f t="shared" si="206"/>
        <v>633213</v>
      </c>
      <c r="Y182" s="72">
        <f t="shared" si="206"/>
        <v>0</v>
      </c>
      <c r="Z182" s="5"/>
      <c r="AA182" s="5"/>
      <c r="AB182" s="5"/>
      <c r="AC182" s="5">
        <f t="shared" ref="AC182:AC190" si="211">SUM(V182:AB182)</f>
        <v>633213</v>
      </c>
    </row>
    <row r="183" spans="1:29" x14ac:dyDescent="0.35">
      <c r="A183" s="26" t="s">
        <v>147</v>
      </c>
      <c r="B183" s="5"/>
      <c r="C183" s="5"/>
      <c r="D183" s="5">
        <f>((B17*0.95)*3.5*180)</f>
        <v>278302.5</v>
      </c>
      <c r="E183" s="5"/>
      <c r="F183" s="5"/>
      <c r="G183" s="5"/>
      <c r="H183" s="5"/>
      <c r="I183" s="5">
        <f t="shared" si="209"/>
        <v>278302.5</v>
      </c>
      <c r="J183" s="52">
        <v>3.5</v>
      </c>
      <c r="L183" s="5"/>
      <c r="M183" s="5"/>
      <c r="N183" s="5">
        <f>((L17*0.95)*3.5*180)</f>
        <v>685282.5</v>
      </c>
      <c r="O183" s="5"/>
      <c r="P183" s="5"/>
      <c r="Q183" s="5"/>
      <c r="R183" s="5"/>
      <c r="S183" s="5">
        <f t="shared" si="210"/>
        <v>685282.5</v>
      </c>
      <c r="T183" s="52">
        <v>3.5</v>
      </c>
      <c r="V183" s="72">
        <f t="shared" si="208"/>
        <v>0</v>
      </c>
      <c r="W183" s="72">
        <f t="shared" si="206"/>
        <v>0</v>
      </c>
      <c r="X183" s="72">
        <f t="shared" si="206"/>
        <v>963585</v>
      </c>
      <c r="Y183" s="72">
        <f t="shared" si="206"/>
        <v>0</v>
      </c>
      <c r="Z183" s="5"/>
      <c r="AA183" s="5"/>
      <c r="AB183" s="5"/>
      <c r="AC183" s="5">
        <f t="shared" si="211"/>
        <v>963585</v>
      </c>
    </row>
    <row r="184" spans="1:29" x14ac:dyDescent="0.35">
      <c r="A184" s="26" t="s">
        <v>148</v>
      </c>
      <c r="B184" s="5">
        <v>6100</v>
      </c>
      <c r="C184" s="5"/>
      <c r="D184" s="5"/>
      <c r="E184" s="5"/>
      <c r="F184" s="5"/>
      <c r="G184" s="5"/>
      <c r="H184" s="5"/>
      <c r="I184" s="5">
        <f t="shared" si="209"/>
        <v>6100</v>
      </c>
      <c r="J184" s="11"/>
      <c r="L184" s="5">
        <v>8500</v>
      </c>
      <c r="M184" s="5"/>
      <c r="N184" s="5"/>
      <c r="O184" s="5"/>
      <c r="P184" s="5"/>
      <c r="Q184" s="5"/>
      <c r="R184" s="5"/>
      <c r="S184" s="5">
        <f t="shared" si="210"/>
        <v>8500</v>
      </c>
      <c r="T184" s="11"/>
      <c r="V184" s="72">
        <f t="shared" si="208"/>
        <v>14600</v>
      </c>
      <c r="W184" s="72">
        <f t="shared" si="206"/>
        <v>0</v>
      </c>
      <c r="X184" s="72">
        <f t="shared" si="206"/>
        <v>0</v>
      </c>
      <c r="Y184" s="72">
        <f t="shared" si="206"/>
        <v>0</v>
      </c>
      <c r="Z184" s="5"/>
      <c r="AA184" s="5"/>
      <c r="AB184" s="5"/>
      <c r="AC184" s="5">
        <f t="shared" si="211"/>
        <v>14600</v>
      </c>
    </row>
    <row r="185" spans="1:29" x14ac:dyDescent="0.35">
      <c r="A185" s="26" t="s">
        <v>149</v>
      </c>
      <c r="B185" s="5">
        <v>1800</v>
      </c>
      <c r="C185" s="5"/>
      <c r="D185" s="5"/>
      <c r="E185" s="5"/>
      <c r="F185" s="5"/>
      <c r="G185" s="5"/>
      <c r="H185" s="5"/>
      <c r="I185" s="5">
        <f t="shared" si="209"/>
        <v>1800</v>
      </c>
      <c r="J185" s="11"/>
      <c r="L185" s="5">
        <v>2100</v>
      </c>
      <c r="M185" s="5"/>
      <c r="N185" s="5"/>
      <c r="O185" s="5"/>
      <c r="P185" s="5"/>
      <c r="Q185" s="5"/>
      <c r="R185" s="5"/>
      <c r="S185" s="5">
        <f t="shared" si="210"/>
        <v>2100</v>
      </c>
      <c r="T185" s="11"/>
      <c r="V185" s="72">
        <f t="shared" si="208"/>
        <v>3900</v>
      </c>
      <c r="W185" s="72">
        <f t="shared" si="206"/>
        <v>0</v>
      </c>
      <c r="X185" s="72">
        <f t="shared" si="206"/>
        <v>0</v>
      </c>
      <c r="Y185" s="72">
        <f t="shared" si="206"/>
        <v>0</v>
      </c>
      <c r="Z185" s="5"/>
      <c r="AA185" s="5"/>
      <c r="AB185" s="5"/>
      <c r="AC185" s="5">
        <f t="shared" si="211"/>
        <v>3900</v>
      </c>
    </row>
    <row r="186" spans="1:29" x14ac:dyDescent="0.35">
      <c r="A186" s="26" t="s">
        <v>150</v>
      </c>
      <c r="B186" s="5">
        <v>1800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209"/>
        <v>1800</v>
      </c>
      <c r="J186" s="11"/>
      <c r="L186" s="5">
        <v>2100</v>
      </c>
      <c r="M186" s="5">
        <v>0</v>
      </c>
      <c r="N186" s="5">
        <v>0</v>
      </c>
      <c r="O186" s="5"/>
      <c r="P186" s="5">
        <v>0</v>
      </c>
      <c r="Q186" s="5">
        <v>0</v>
      </c>
      <c r="R186" s="5">
        <v>0</v>
      </c>
      <c r="S186" s="5">
        <f t="shared" si="210"/>
        <v>2100</v>
      </c>
      <c r="T186" s="11"/>
      <c r="V186" s="72">
        <f t="shared" si="208"/>
        <v>3900</v>
      </c>
      <c r="W186" s="72">
        <f t="shared" si="206"/>
        <v>0</v>
      </c>
      <c r="X186" s="72">
        <f t="shared" si="206"/>
        <v>0</v>
      </c>
      <c r="Y186" s="72">
        <f t="shared" si="206"/>
        <v>0</v>
      </c>
      <c r="Z186" s="5">
        <v>0</v>
      </c>
      <c r="AA186" s="5">
        <v>0</v>
      </c>
      <c r="AB186" s="5">
        <v>0</v>
      </c>
      <c r="AC186" s="5">
        <f t="shared" si="211"/>
        <v>3900</v>
      </c>
    </row>
    <row r="187" spans="1:29" x14ac:dyDescent="0.35">
      <c r="A187" s="26" t="s">
        <v>151</v>
      </c>
      <c r="B187" s="10">
        <f>((5*B17)+1200+1350+850)*1.04</f>
        <v>5954</v>
      </c>
      <c r="C187" s="5"/>
      <c r="D187" s="5"/>
      <c r="E187" s="5"/>
      <c r="F187" s="5"/>
      <c r="G187" s="5"/>
      <c r="H187" s="5"/>
      <c r="I187" s="5">
        <f t="shared" si="209"/>
        <v>5954</v>
      </c>
      <c r="J187" s="11" t="s">
        <v>288</v>
      </c>
      <c r="L187" s="10">
        <f>(5*L17)+1200+1350+2400+1500+1750</f>
        <v>13925</v>
      </c>
      <c r="M187" s="5"/>
      <c r="N187" s="5"/>
      <c r="O187" s="5"/>
      <c r="P187" s="5"/>
      <c r="Q187" s="5"/>
      <c r="R187" s="5"/>
      <c r="S187" s="5">
        <f t="shared" si="210"/>
        <v>13925</v>
      </c>
      <c r="T187" s="11" t="s">
        <v>288</v>
      </c>
      <c r="V187" s="72">
        <f t="shared" si="208"/>
        <v>19879</v>
      </c>
      <c r="W187" s="72">
        <f t="shared" si="206"/>
        <v>0</v>
      </c>
      <c r="X187" s="72">
        <f t="shared" si="206"/>
        <v>0</v>
      </c>
      <c r="Y187" s="72">
        <f t="shared" si="206"/>
        <v>0</v>
      </c>
      <c r="Z187" s="5"/>
      <c r="AA187" s="5"/>
      <c r="AB187" s="5"/>
      <c r="AC187" s="5">
        <f t="shared" si="211"/>
        <v>19879</v>
      </c>
    </row>
    <row r="188" spans="1:29" hidden="1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209"/>
        <v>0</v>
      </c>
      <c r="J188" s="11"/>
      <c r="L188" s="10"/>
      <c r="M188" s="5"/>
      <c r="N188" s="5"/>
      <c r="O188" s="5"/>
      <c r="P188" s="5"/>
      <c r="Q188" s="5"/>
      <c r="R188" s="5"/>
      <c r="S188" s="5">
        <f t="shared" si="210"/>
        <v>0</v>
      </c>
      <c r="T188" s="11"/>
      <c r="V188" s="72">
        <f t="shared" si="208"/>
        <v>0</v>
      </c>
      <c r="W188" s="72">
        <f t="shared" si="208"/>
        <v>0</v>
      </c>
      <c r="X188" s="72">
        <f t="shared" si="208"/>
        <v>0</v>
      </c>
      <c r="Y188" s="72">
        <f t="shared" si="208"/>
        <v>0</v>
      </c>
      <c r="Z188" s="5"/>
      <c r="AA188" s="5"/>
      <c r="AB188" s="5"/>
      <c r="AC188" s="5">
        <f t="shared" si="211"/>
        <v>0</v>
      </c>
    </row>
    <row r="189" spans="1:29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209"/>
        <v>0</v>
      </c>
      <c r="J189" s="11"/>
      <c r="L189" s="5"/>
      <c r="M189" s="5"/>
      <c r="N189" s="5"/>
      <c r="O189" s="5"/>
      <c r="P189" s="5"/>
      <c r="Q189" s="5"/>
      <c r="R189" s="5"/>
      <c r="S189" s="5">
        <f t="shared" si="210"/>
        <v>0</v>
      </c>
      <c r="T189" s="11"/>
      <c r="V189" s="72">
        <f t="shared" si="208"/>
        <v>0</v>
      </c>
      <c r="W189" s="72">
        <f t="shared" si="208"/>
        <v>0</v>
      </c>
      <c r="X189" s="72">
        <f t="shared" si="208"/>
        <v>0</v>
      </c>
      <c r="Y189" s="72">
        <f t="shared" si="208"/>
        <v>0</v>
      </c>
      <c r="Z189" s="5"/>
      <c r="AA189" s="5"/>
      <c r="AB189" s="5"/>
      <c r="AC189" s="5">
        <f t="shared" si="211"/>
        <v>0</v>
      </c>
    </row>
    <row r="190" spans="1:29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209"/>
        <v>0</v>
      </c>
      <c r="J190" s="11"/>
      <c r="L190" s="10">
        <v>0</v>
      </c>
      <c r="M190" s="5"/>
      <c r="N190" s="5"/>
      <c r="O190" s="5"/>
      <c r="P190" s="5"/>
      <c r="Q190" s="5"/>
      <c r="R190" s="5"/>
      <c r="S190" s="5">
        <f t="shared" si="210"/>
        <v>0</v>
      </c>
      <c r="T190" s="11"/>
      <c r="V190" s="72">
        <f t="shared" si="208"/>
        <v>0</v>
      </c>
      <c r="W190" s="72">
        <f t="shared" si="208"/>
        <v>0</v>
      </c>
      <c r="X190" s="72">
        <f t="shared" si="208"/>
        <v>0</v>
      </c>
      <c r="Y190" s="72">
        <f t="shared" si="208"/>
        <v>0</v>
      </c>
      <c r="Z190" s="5"/>
      <c r="AA190" s="5"/>
      <c r="AB190" s="5"/>
      <c r="AC190" s="5">
        <f t="shared" si="211"/>
        <v>0</v>
      </c>
    </row>
    <row r="191" spans="1:29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  <c r="L191" s="10">
        <v>97712</v>
      </c>
      <c r="M191" s="10"/>
      <c r="N191" s="10"/>
      <c r="O191" s="10"/>
      <c r="P191" s="10"/>
      <c r="Q191" s="10"/>
      <c r="R191" s="10"/>
      <c r="S191" s="5">
        <f>SUM(L191:R191)</f>
        <v>97712</v>
      </c>
      <c r="T191" s="11"/>
      <c r="V191" s="72">
        <f t="shared" si="208"/>
        <v>97712</v>
      </c>
      <c r="W191" s="72">
        <f t="shared" si="208"/>
        <v>0</v>
      </c>
      <c r="X191" s="72">
        <f t="shared" si="208"/>
        <v>0</v>
      </c>
      <c r="Y191" s="72">
        <f t="shared" si="208"/>
        <v>0</v>
      </c>
      <c r="Z191" s="10"/>
      <c r="AA191" s="10"/>
      <c r="AB191" s="10"/>
      <c r="AC191" s="5">
        <f>SUM(V191:AB191)</f>
        <v>97712</v>
      </c>
    </row>
    <row r="192" spans="1:29" x14ac:dyDescent="0.35">
      <c r="A192" s="26" t="s">
        <v>254</v>
      </c>
      <c r="B192" s="10"/>
      <c r="C192" s="5"/>
      <c r="D192" s="5"/>
      <c r="E192" s="5"/>
      <c r="F192" s="5"/>
      <c r="G192" s="5"/>
      <c r="H192" s="5"/>
      <c r="I192" s="5">
        <f t="shared" ref="I192:I195" si="212">SUM(B192:H192)</f>
        <v>0</v>
      </c>
      <c r="J192" s="11"/>
      <c r="L192" s="10">
        <v>439230</v>
      </c>
      <c r="M192" s="5"/>
      <c r="N192" s="5"/>
      <c r="O192" s="5"/>
      <c r="P192" s="5"/>
      <c r="Q192" s="5"/>
      <c r="R192" s="5"/>
      <c r="S192" s="5">
        <f t="shared" ref="S192:S195" si="213">SUM(L192:R192)</f>
        <v>439230</v>
      </c>
      <c r="T192" s="11"/>
      <c r="V192" s="72">
        <f t="shared" si="208"/>
        <v>439230</v>
      </c>
      <c r="W192" s="72">
        <f t="shared" si="208"/>
        <v>0</v>
      </c>
      <c r="X192" s="72">
        <f t="shared" si="208"/>
        <v>0</v>
      </c>
      <c r="Y192" s="72">
        <f t="shared" si="208"/>
        <v>0</v>
      </c>
      <c r="Z192" s="5"/>
      <c r="AA192" s="5"/>
      <c r="AB192" s="5"/>
      <c r="AC192" s="5">
        <f t="shared" ref="AC192:AC195" si="214">SUM(V192:AB192)</f>
        <v>439230</v>
      </c>
    </row>
    <row r="193" spans="1:30" x14ac:dyDescent="0.35">
      <c r="A193" s="26" t="s">
        <v>255</v>
      </c>
      <c r="B193" s="10"/>
      <c r="C193" s="5"/>
      <c r="D193" s="5"/>
      <c r="E193" s="5"/>
      <c r="F193" s="5"/>
      <c r="G193" s="5"/>
      <c r="H193" s="5"/>
      <c r="I193" s="5">
        <f t="shared" si="212"/>
        <v>0</v>
      </c>
      <c r="J193" s="11"/>
      <c r="L193" s="10"/>
      <c r="M193" s="5"/>
      <c r="N193" s="5"/>
      <c r="O193" s="5"/>
      <c r="P193" s="5"/>
      <c r="Q193" s="5"/>
      <c r="R193" s="5"/>
      <c r="S193" s="5">
        <f t="shared" si="213"/>
        <v>0</v>
      </c>
      <c r="T193" s="11"/>
      <c r="V193" s="72">
        <f t="shared" si="208"/>
        <v>0</v>
      </c>
      <c r="W193" s="72">
        <f t="shared" si="208"/>
        <v>0</v>
      </c>
      <c r="X193" s="72">
        <f t="shared" si="208"/>
        <v>0</v>
      </c>
      <c r="Y193" s="72">
        <f t="shared" si="208"/>
        <v>0</v>
      </c>
      <c r="Z193" s="5"/>
      <c r="AA193" s="5"/>
      <c r="AB193" s="5"/>
      <c r="AC193" s="5">
        <f t="shared" si="214"/>
        <v>0</v>
      </c>
    </row>
    <row r="194" spans="1:30" x14ac:dyDescent="0.35">
      <c r="A194" s="26" t="s">
        <v>275</v>
      </c>
      <c r="B194" s="10">
        <v>10500</v>
      </c>
      <c r="C194" s="5"/>
      <c r="D194" s="5"/>
      <c r="E194" s="5"/>
      <c r="F194" s="5"/>
      <c r="G194" s="5"/>
      <c r="H194" s="5"/>
      <c r="I194" s="5">
        <f t="shared" si="212"/>
        <v>10500</v>
      </c>
      <c r="J194" s="11"/>
      <c r="L194" s="10">
        <v>20000</v>
      </c>
      <c r="M194" s="5"/>
      <c r="N194" s="5"/>
      <c r="O194" s="5"/>
      <c r="P194" s="5"/>
      <c r="Q194" s="5"/>
      <c r="R194" s="5"/>
      <c r="S194" s="5">
        <f t="shared" si="213"/>
        <v>20000</v>
      </c>
      <c r="T194" s="11"/>
      <c r="V194" s="72">
        <f t="shared" si="208"/>
        <v>30500</v>
      </c>
      <c r="W194" s="72">
        <f t="shared" si="208"/>
        <v>0</v>
      </c>
      <c r="X194" s="72">
        <f t="shared" si="208"/>
        <v>0</v>
      </c>
      <c r="Y194" s="72">
        <f t="shared" si="208"/>
        <v>0</v>
      </c>
      <c r="Z194" s="5"/>
      <c r="AA194" s="5"/>
      <c r="AB194" s="5"/>
      <c r="AC194" s="5">
        <f t="shared" si="214"/>
        <v>30500</v>
      </c>
    </row>
    <row r="195" spans="1:30" x14ac:dyDescent="0.35">
      <c r="A195" s="69" t="s">
        <v>458</v>
      </c>
      <c r="B195" s="5">
        <f>((B74)*0.035)</f>
        <v>160146.00000000003</v>
      </c>
      <c r="C195" s="5"/>
      <c r="D195" s="5"/>
      <c r="E195" s="5"/>
      <c r="F195" s="5"/>
      <c r="G195" s="5"/>
      <c r="H195" s="5"/>
      <c r="I195" s="5">
        <f t="shared" si="212"/>
        <v>160146.00000000003</v>
      </c>
      <c r="J195" s="48" t="s">
        <v>479</v>
      </c>
      <c r="L195" s="5">
        <f>((L74)*0.015)</f>
        <v>169002</v>
      </c>
      <c r="M195" s="5"/>
      <c r="N195" s="5"/>
      <c r="O195" s="5"/>
      <c r="P195" s="5"/>
      <c r="Q195" s="5"/>
      <c r="R195" s="5"/>
      <c r="S195" s="5">
        <f t="shared" si="213"/>
        <v>169002</v>
      </c>
      <c r="T195" s="48" t="s">
        <v>517</v>
      </c>
      <c r="V195" s="72">
        <f t="shared" si="208"/>
        <v>329148</v>
      </c>
      <c r="W195" s="72">
        <f t="shared" si="208"/>
        <v>0</v>
      </c>
      <c r="X195" s="72">
        <f t="shared" si="208"/>
        <v>0</v>
      </c>
      <c r="Y195" s="72">
        <f t="shared" si="208"/>
        <v>0</v>
      </c>
      <c r="Z195" s="5"/>
      <c r="AA195" s="5"/>
      <c r="AB195" s="5"/>
      <c r="AC195" s="5">
        <f t="shared" si="214"/>
        <v>329148</v>
      </c>
      <c r="AD195" s="105">
        <f>V195/AC74</f>
        <v>2.0776397515527949E-2</v>
      </c>
    </row>
    <row r="196" spans="1:30" x14ac:dyDescent="0.35">
      <c r="A196" s="62" t="s">
        <v>182</v>
      </c>
      <c r="B196" s="63">
        <f>SUM(B172:B195)</f>
        <v>291003.13500000001</v>
      </c>
      <c r="C196" s="63">
        <f t="shared" ref="C196:I196" si="215">SUM(C172:C195)</f>
        <v>0</v>
      </c>
      <c r="D196" s="63">
        <f t="shared" si="215"/>
        <v>461187</v>
      </c>
      <c r="E196" s="63">
        <f t="shared" si="215"/>
        <v>0</v>
      </c>
      <c r="F196" s="63">
        <f t="shared" si="215"/>
        <v>0</v>
      </c>
      <c r="G196" s="63">
        <f t="shared" si="215"/>
        <v>0</v>
      </c>
      <c r="H196" s="63">
        <f t="shared" si="215"/>
        <v>0</v>
      </c>
      <c r="I196" s="63">
        <f t="shared" si="215"/>
        <v>752190.13500000001</v>
      </c>
      <c r="J196" s="7"/>
      <c r="L196" s="63">
        <f>SUM(L172:L195)</f>
        <v>977944.49050700001</v>
      </c>
      <c r="M196" s="63">
        <f t="shared" ref="M196:S196" si="216">SUM(M172:M195)</f>
        <v>0</v>
      </c>
      <c r="N196" s="63">
        <f t="shared" si="216"/>
        <v>1135611</v>
      </c>
      <c r="O196" s="63">
        <f t="shared" si="216"/>
        <v>0</v>
      </c>
      <c r="P196" s="63">
        <f t="shared" si="216"/>
        <v>0</v>
      </c>
      <c r="Q196" s="63">
        <f t="shared" si="216"/>
        <v>0</v>
      </c>
      <c r="R196" s="63">
        <f t="shared" si="216"/>
        <v>0</v>
      </c>
      <c r="S196" s="63">
        <f t="shared" si="216"/>
        <v>2113555.4905070001</v>
      </c>
      <c r="T196" s="7"/>
      <c r="V196" s="63">
        <f>SUM(V172:V195)</f>
        <v>1268947.6255069999</v>
      </c>
      <c r="W196" s="63">
        <f t="shared" ref="W196:AC196" si="217">SUM(W172:W195)</f>
        <v>0</v>
      </c>
      <c r="X196" s="63">
        <f t="shared" si="217"/>
        <v>1596798</v>
      </c>
      <c r="Y196" s="63">
        <f t="shared" si="217"/>
        <v>0</v>
      </c>
      <c r="Z196" s="63">
        <f t="shared" si="217"/>
        <v>0</v>
      </c>
      <c r="AA196" s="63">
        <f t="shared" si="217"/>
        <v>0</v>
      </c>
      <c r="AB196" s="63">
        <f t="shared" si="217"/>
        <v>0</v>
      </c>
      <c r="AC196" s="63">
        <f t="shared" si="217"/>
        <v>2865745.6255069999</v>
      </c>
    </row>
    <row r="197" spans="1:30" x14ac:dyDescent="0.35">
      <c r="A197" s="66" t="s">
        <v>154</v>
      </c>
      <c r="B197" s="15" t="str">
        <f t="shared" ref="B197:I197" si="218">B1</f>
        <v>Operating</v>
      </c>
      <c r="C197" s="15" t="str">
        <f t="shared" si="218"/>
        <v>SPED</v>
      </c>
      <c r="D197" s="15" t="str">
        <f t="shared" si="218"/>
        <v>NSLP</v>
      </c>
      <c r="E197" s="15" t="str">
        <f t="shared" si="218"/>
        <v>Other</v>
      </c>
      <c r="F197" s="15" t="str">
        <f t="shared" si="218"/>
        <v>Title I</v>
      </c>
      <c r="G197" s="15" t="str">
        <f t="shared" si="218"/>
        <v>Title II</v>
      </c>
      <c r="H197" s="15" t="str">
        <f t="shared" si="218"/>
        <v>Title III</v>
      </c>
      <c r="I197" s="15" t="str">
        <f t="shared" si="218"/>
        <v>B&amp;G</v>
      </c>
      <c r="J197" s="7"/>
      <c r="L197" s="15" t="str">
        <f t="shared" ref="L197:S197" si="219">L1</f>
        <v>Operating</v>
      </c>
      <c r="M197" s="15" t="str">
        <f t="shared" si="219"/>
        <v>SPED</v>
      </c>
      <c r="N197" s="15" t="str">
        <f t="shared" si="219"/>
        <v>NSLP</v>
      </c>
      <c r="O197" s="15" t="str">
        <f t="shared" si="219"/>
        <v>Other</v>
      </c>
      <c r="P197" s="15" t="str">
        <f t="shared" si="219"/>
        <v>Title I</v>
      </c>
      <c r="Q197" s="15" t="str">
        <f t="shared" si="219"/>
        <v>Title II</v>
      </c>
      <c r="R197" s="15" t="str">
        <f t="shared" si="219"/>
        <v>Title III</v>
      </c>
      <c r="S197" s="15" t="str">
        <f t="shared" si="219"/>
        <v>New</v>
      </c>
      <c r="T197" s="7"/>
      <c r="V197" s="15" t="str">
        <f t="shared" ref="V197:AC197" si="220">V1</f>
        <v>Operating</v>
      </c>
      <c r="W197" s="15" t="str">
        <f t="shared" si="220"/>
        <v>SPED</v>
      </c>
      <c r="X197" s="15" t="str">
        <f t="shared" si="220"/>
        <v>NSLP</v>
      </c>
      <c r="Y197" s="15" t="str">
        <f t="shared" si="220"/>
        <v>Other</v>
      </c>
      <c r="Z197" s="15" t="str">
        <f t="shared" si="220"/>
        <v>Title I</v>
      </c>
      <c r="AA197" s="15" t="str">
        <f t="shared" si="220"/>
        <v>Title II</v>
      </c>
      <c r="AB197" s="15" t="str">
        <f t="shared" si="220"/>
        <v>Title III</v>
      </c>
      <c r="AC197" s="15" t="str">
        <f t="shared" si="220"/>
        <v>MANN</v>
      </c>
    </row>
    <row r="198" spans="1:30" x14ac:dyDescent="0.35">
      <c r="A198" s="71" t="s">
        <v>155</v>
      </c>
      <c r="B198" s="120">
        <f>30000*1.05*1.02*1.02*1.02</f>
        <v>33428.051999999996</v>
      </c>
      <c r="C198" s="5"/>
      <c r="D198" s="5"/>
      <c r="E198" s="5"/>
      <c r="F198" s="5"/>
      <c r="G198" s="5"/>
      <c r="H198" s="5"/>
      <c r="I198" s="5">
        <f t="shared" ref="I198:I207" si="221">SUM(B198:H198)</f>
        <v>33428.051999999996</v>
      </c>
      <c r="J198" s="6"/>
      <c r="L198" s="120">
        <v>107500</v>
      </c>
      <c r="M198" s="5"/>
      <c r="N198" s="5"/>
      <c r="O198" s="5"/>
      <c r="P198" s="5"/>
      <c r="Q198" s="5"/>
      <c r="R198" s="5"/>
      <c r="S198" s="5">
        <f t="shared" ref="S198:S207" si="222">SUM(L198:R198)</f>
        <v>107500</v>
      </c>
      <c r="T198" s="6"/>
      <c r="V198" s="120">
        <f>B198+L198</f>
        <v>140928.052</v>
      </c>
      <c r="W198" s="120">
        <f t="shared" ref="W198:Y207" si="223">C198+M198</f>
        <v>0</v>
      </c>
      <c r="X198" s="120">
        <f t="shared" si="223"/>
        <v>0</v>
      </c>
      <c r="Y198" s="120">
        <f t="shared" si="223"/>
        <v>0</v>
      </c>
      <c r="Z198" s="5"/>
      <c r="AA198" s="5"/>
      <c r="AB198" s="5"/>
      <c r="AC198" s="5">
        <f t="shared" ref="AC198:AC207" si="224">SUM(V198:AB198)</f>
        <v>140928.052</v>
      </c>
    </row>
    <row r="199" spans="1:30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221"/>
        <v>0</v>
      </c>
      <c r="J199" s="11"/>
      <c r="L199" s="72">
        <f>25000*1.03</f>
        <v>25750</v>
      </c>
      <c r="M199" s="5"/>
      <c r="N199" s="5"/>
      <c r="O199" s="5"/>
      <c r="P199" s="5"/>
      <c r="Q199" s="5"/>
      <c r="R199" s="5"/>
      <c r="S199" s="5">
        <f t="shared" si="222"/>
        <v>25750</v>
      </c>
      <c r="T199" s="11"/>
      <c r="V199" s="120">
        <f t="shared" ref="V199:V207" si="225">B199+L199</f>
        <v>25750</v>
      </c>
      <c r="W199" s="120">
        <f t="shared" si="223"/>
        <v>0</v>
      </c>
      <c r="X199" s="120">
        <f t="shared" si="223"/>
        <v>0</v>
      </c>
      <c r="Y199" s="120">
        <f t="shared" si="223"/>
        <v>0</v>
      </c>
      <c r="Z199" s="5"/>
      <c r="AA199" s="5"/>
      <c r="AB199" s="5"/>
      <c r="AC199" s="5">
        <f t="shared" si="224"/>
        <v>25750</v>
      </c>
    </row>
    <row r="200" spans="1:30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221"/>
        <v>0</v>
      </c>
      <c r="J200" s="11"/>
      <c r="L200" s="73">
        <v>30000</v>
      </c>
      <c r="M200" s="5"/>
      <c r="N200" s="5"/>
      <c r="O200" s="5"/>
      <c r="P200" s="5"/>
      <c r="Q200" s="5"/>
      <c r="R200" s="5"/>
      <c r="S200" s="5">
        <f t="shared" si="222"/>
        <v>30000</v>
      </c>
      <c r="T200" s="11"/>
      <c r="V200" s="120">
        <f t="shared" si="225"/>
        <v>30000</v>
      </c>
      <c r="W200" s="120">
        <f t="shared" si="223"/>
        <v>0</v>
      </c>
      <c r="X200" s="120">
        <f t="shared" si="223"/>
        <v>0</v>
      </c>
      <c r="Y200" s="120">
        <f t="shared" si="223"/>
        <v>0</v>
      </c>
      <c r="Z200" s="5"/>
      <c r="AA200" s="5"/>
      <c r="AB200" s="5"/>
      <c r="AC200" s="5">
        <f t="shared" si="224"/>
        <v>30000</v>
      </c>
    </row>
    <row r="201" spans="1:30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221"/>
        <v>0</v>
      </c>
      <c r="J201" s="11"/>
      <c r="L201" s="73">
        <f>42500*1.02</f>
        <v>43350</v>
      </c>
      <c r="M201" s="5"/>
      <c r="N201" s="5"/>
      <c r="O201" s="5"/>
      <c r="P201" s="5"/>
      <c r="Q201" s="5"/>
      <c r="R201" s="5"/>
      <c r="S201" s="5">
        <f t="shared" si="222"/>
        <v>43350</v>
      </c>
      <c r="T201" s="11"/>
      <c r="V201" s="120">
        <f t="shared" si="225"/>
        <v>43350</v>
      </c>
      <c r="W201" s="120">
        <f t="shared" si="223"/>
        <v>0</v>
      </c>
      <c r="X201" s="120">
        <f t="shared" si="223"/>
        <v>0</v>
      </c>
      <c r="Y201" s="120">
        <f t="shared" si="223"/>
        <v>0</v>
      </c>
      <c r="Z201" s="5"/>
      <c r="AA201" s="5"/>
      <c r="AB201" s="5"/>
      <c r="AC201" s="5">
        <f t="shared" si="224"/>
        <v>43350</v>
      </c>
    </row>
    <row r="202" spans="1:30" x14ac:dyDescent="0.35">
      <c r="A202" s="26" t="s">
        <v>159</v>
      </c>
      <c r="B202" s="73">
        <v>6100</v>
      </c>
      <c r="C202" s="5"/>
      <c r="D202" s="5"/>
      <c r="E202" s="5"/>
      <c r="F202" s="5"/>
      <c r="G202" s="5"/>
      <c r="H202" s="5"/>
      <c r="I202" s="5">
        <f t="shared" si="221"/>
        <v>6100</v>
      </c>
      <c r="J202" s="11"/>
      <c r="L202" s="73">
        <f>12500*1.02</f>
        <v>12750</v>
      </c>
      <c r="M202" s="5"/>
      <c r="N202" s="5"/>
      <c r="O202" s="5"/>
      <c r="P202" s="5"/>
      <c r="Q202" s="5"/>
      <c r="R202" s="5"/>
      <c r="S202" s="5">
        <f t="shared" si="222"/>
        <v>12750</v>
      </c>
      <c r="T202" s="11"/>
      <c r="V202" s="120">
        <f t="shared" si="225"/>
        <v>18850</v>
      </c>
      <c r="W202" s="120">
        <f t="shared" si="223"/>
        <v>0</v>
      </c>
      <c r="X202" s="120">
        <f t="shared" si="223"/>
        <v>0</v>
      </c>
      <c r="Y202" s="120">
        <f t="shared" si="223"/>
        <v>0</v>
      </c>
      <c r="Z202" s="5"/>
      <c r="AA202" s="5"/>
      <c r="AB202" s="5"/>
      <c r="AC202" s="5">
        <f t="shared" si="224"/>
        <v>18850</v>
      </c>
    </row>
    <row r="203" spans="1:30" x14ac:dyDescent="0.35">
      <c r="A203" s="26" t="s">
        <v>160</v>
      </c>
      <c r="B203" s="72">
        <f>(2915*13)*1.05*1.03*1.04*1.03</f>
        <v>43901.463606000012</v>
      </c>
      <c r="C203" s="5"/>
      <c r="D203" s="5"/>
      <c r="E203" s="5"/>
      <c r="F203" s="5"/>
      <c r="G203" s="5"/>
      <c r="H203" s="5"/>
      <c r="I203" s="5">
        <f t="shared" si="221"/>
        <v>43901.463606000012</v>
      </c>
      <c r="J203" s="11"/>
      <c r="L203" s="72">
        <f>8250*13</f>
        <v>107250</v>
      </c>
      <c r="M203" s="5"/>
      <c r="N203" s="5"/>
      <c r="O203" s="5"/>
      <c r="P203" s="5"/>
      <c r="Q203" s="5"/>
      <c r="R203" s="5"/>
      <c r="S203" s="5">
        <f t="shared" si="222"/>
        <v>107250</v>
      </c>
      <c r="T203" s="11"/>
      <c r="V203" s="120">
        <f t="shared" si="225"/>
        <v>151151.463606</v>
      </c>
      <c r="W203" s="120">
        <f t="shared" si="223"/>
        <v>0</v>
      </c>
      <c r="X203" s="120">
        <f t="shared" si="223"/>
        <v>0</v>
      </c>
      <c r="Y203" s="120">
        <f t="shared" si="223"/>
        <v>0</v>
      </c>
      <c r="Z203" s="5"/>
      <c r="AA203" s="5"/>
      <c r="AB203" s="5"/>
      <c r="AC203" s="5">
        <f t="shared" si="224"/>
        <v>151151.463606</v>
      </c>
    </row>
    <row r="204" spans="1:30" x14ac:dyDescent="0.35">
      <c r="A204" s="26" t="s">
        <v>162</v>
      </c>
      <c r="B204" s="10">
        <v>54000</v>
      </c>
      <c r="C204" s="5"/>
      <c r="D204" s="5"/>
      <c r="E204" s="5"/>
      <c r="F204" s="5"/>
      <c r="G204" s="5"/>
      <c r="H204" s="5"/>
      <c r="I204" s="5">
        <f t="shared" si="221"/>
        <v>54000</v>
      </c>
      <c r="J204" s="11"/>
      <c r="L204" s="10">
        <v>75000</v>
      </c>
      <c r="M204" s="5"/>
      <c r="N204" s="5"/>
      <c r="O204" s="5"/>
      <c r="P204" s="5"/>
      <c r="Q204" s="5"/>
      <c r="R204" s="5"/>
      <c r="S204" s="5">
        <f t="shared" si="222"/>
        <v>75000</v>
      </c>
      <c r="T204" s="11"/>
      <c r="V204" s="120">
        <f t="shared" si="225"/>
        <v>129000</v>
      </c>
      <c r="W204" s="120">
        <f t="shared" si="223"/>
        <v>0</v>
      </c>
      <c r="X204" s="120">
        <f t="shared" si="223"/>
        <v>0</v>
      </c>
      <c r="Y204" s="120">
        <f t="shared" si="223"/>
        <v>0</v>
      </c>
      <c r="Z204" s="5"/>
      <c r="AA204" s="5"/>
      <c r="AB204" s="5"/>
      <c r="AC204" s="5">
        <f t="shared" si="224"/>
        <v>129000</v>
      </c>
    </row>
    <row r="205" spans="1:30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221"/>
        <v>0</v>
      </c>
      <c r="J205" s="11"/>
      <c r="L205" s="10">
        <v>18000</v>
      </c>
      <c r="M205" s="5"/>
      <c r="N205" s="5"/>
      <c r="O205" s="5"/>
      <c r="P205" s="5"/>
      <c r="Q205" s="5"/>
      <c r="R205" s="5"/>
      <c r="S205" s="5">
        <f t="shared" si="222"/>
        <v>18000</v>
      </c>
      <c r="T205" s="11"/>
      <c r="V205" s="120">
        <f t="shared" si="225"/>
        <v>18000</v>
      </c>
      <c r="W205" s="120">
        <f t="shared" si="223"/>
        <v>0</v>
      </c>
      <c r="X205" s="120">
        <f t="shared" si="223"/>
        <v>0</v>
      </c>
      <c r="Y205" s="120">
        <f t="shared" si="223"/>
        <v>0</v>
      </c>
      <c r="Z205" s="5"/>
      <c r="AA205" s="5"/>
      <c r="AB205" s="5"/>
      <c r="AC205" s="5">
        <f t="shared" si="224"/>
        <v>18000</v>
      </c>
    </row>
    <row r="206" spans="1:30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221"/>
        <v>0</v>
      </c>
      <c r="J206" s="11"/>
      <c r="L206" s="10">
        <f>25000*1.05</f>
        <v>26250</v>
      </c>
      <c r="M206" s="5"/>
      <c r="N206" s="5"/>
      <c r="O206" s="5"/>
      <c r="P206" s="5"/>
      <c r="Q206" s="5"/>
      <c r="R206" s="5"/>
      <c r="S206" s="5">
        <f t="shared" si="222"/>
        <v>26250</v>
      </c>
      <c r="T206" s="11"/>
      <c r="V206" s="120">
        <f t="shared" si="225"/>
        <v>26250</v>
      </c>
      <c r="W206" s="120">
        <f t="shared" si="223"/>
        <v>0</v>
      </c>
      <c r="X206" s="120">
        <f t="shared" si="223"/>
        <v>0</v>
      </c>
      <c r="Y206" s="120">
        <f t="shared" si="223"/>
        <v>0</v>
      </c>
      <c r="Z206" s="5"/>
      <c r="AA206" s="5"/>
      <c r="AB206" s="5"/>
      <c r="AC206" s="5">
        <f t="shared" si="224"/>
        <v>26250</v>
      </c>
    </row>
    <row r="207" spans="1:30" x14ac:dyDescent="0.35">
      <c r="A207" s="69" t="s">
        <v>165</v>
      </c>
      <c r="B207" s="10"/>
      <c r="C207" s="5"/>
      <c r="D207" s="5"/>
      <c r="E207" s="5"/>
      <c r="F207" s="5"/>
      <c r="G207" s="5"/>
      <c r="H207" s="5"/>
      <c r="I207" s="5">
        <f t="shared" si="221"/>
        <v>0</v>
      </c>
      <c r="J207" s="11"/>
      <c r="L207" s="10">
        <f>30000*1.02</f>
        <v>30600</v>
      </c>
      <c r="M207" s="5"/>
      <c r="N207" s="5"/>
      <c r="O207" s="5"/>
      <c r="P207" s="5"/>
      <c r="Q207" s="5"/>
      <c r="R207" s="5"/>
      <c r="S207" s="5">
        <f t="shared" si="222"/>
        <v>30600</v>
      </c>
      <c r="T207" s="11"/>
      <c r="V207" s="120">
        <f t="shared" si="225"/>
        <v>30600</v>
      </c>
      <c r="W207" s="120">
        <f t="shared" si="223"/>
        <v>0</v>
      </c>
      <c r="X207" s="120">
        <f t="shared" si="223"/>
        <v>0</v>
      </c>
      <c r="Y207" s="120">
        <f t="shared" si="223"/>
        <v>0</v>
      </c>
      <c r="Z207" s="5"/>
      <c r="AA207" s="5"/>
      <c r="AB207" s="5"/>
      <c r="AC207" s="5">
        <f t="shared" si="224"/>
        <v>30600</v>
      </c>
    </row>
    <row r="208" spans="1:30" x14ac:dyDescent="0.35">
      <c r="A208" s="62" t="s">
        <v>183</v>
      </c>
      <c r="B208" s="63">
        <f t="shared" ref="B208:I208" si="226">SUM(B198:B207)</f>
        <v>137429.515606</v>
      </c>
      <c r="C208" s="63">
        <f t="shared" si="226"/>
        <v>0</v>
      </c>
      <c r="D208" s="63">
        <f t="shared" si="226"/>
        <v>0</v>
      </c>
      <c r="E208" s="63">
        <f t="shared" si="226"/>
        <v>0</v>
      </c>
      <c r="F208" s="63">
        <f t="shared" si="226"/>
        <v>0</v>
      </c>
      <c r="G208" s="63">
        <f t="shared" si="226"/>
        <v>0</v>
      </c>
      <c r="H208" s="63">
        <f t="shared" si="226"/>
        <v>0</v>
      </c>
      <c r="I208" s="63">
        <f t="shared" si="226"/>
        <v>137429.515606</v>
      </c>
      <c r="J208" s="7"/>
      <c r="L208" s="63">
        <f t="shared" ref="L208:S208" si="227">SUM(L198:L207)</f>
        <v>476450</v>
      </c>
      <c r="M208" s="63">
        <f t="shared" si="227"/>
        <v>0</v>
      </c>
      <c r="N208" s="63">
        <f t="shared" si="227"/>
        <v>0</v>
      </c>
      <c r="O208" s="63">
        <f t="shared" si="227"/>
        <v>0</v>
      </c>
      <c r="P208" s="63">
        <f t="shared" si="227"/>
        <v>0</v>
      </c>
      <c r="Q208" s="63">
        <f t="shared" si="227"/>
        <v>0</v>
      </c>
      <c r="R208" s="63">
        <f t="shared" si="227"/>
        <v>0</v>
      </c>
      <c r="S208" s="63">
        <f t="shared" si="227"/>
        <v>476450</v>
      </c>
      <c r="T208" s="7"/>
      <c r="V208" s="63">
        <f t="shared" ref="V208:AC208" si="228">SUM(V198:V207)</f>
        <v>613879.51560599997</v>
      </c>
      <c r="W208" s="63">
        <f t="shared" si="228"/>
        <v>0</v>
      </c>
      <c r="X208" s="63">
        <f t="shared" si="228"/>
        <v>0</v>
      </c>
      <c r="Y208" s="63">
        <f t="shared" si="228"/>
        <v>0</v>
      </c>
      <c r="Z208" s="63">
        <f t="shared" si="228"/>
        <v>0</v>
      </c>
      <c r="AA208" s="63">
        <f t="shared" si="228"/>
        <v>0</v>
      </c>
      <c r="AB208" s="63">
        <f t="shared" si="228"/>
        <v>0</v>
      </c>
      <c r="AC208" s="63">
        <f t="shared" si="228"/>
        <v>613879.51560599997</v>
      </c>
    </row>
    <row r="209" spans="1:29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  <c r="L209" s="5"/>
      <c r="M209" s="5"/>
      <c r="N209" s="5"/>
      <c r="O209" s="5"/>
      <c r="P209" s="5"/>
      <c r="Q209" s="5"/>
      <c r="R209" s="5"/>
      <c r="S209" s="5"/>
      <c r="T209" s="7"/>
      <c r="V209" s="5"/>
      <c r="W209" s="5"/>
      <c r="X209" s="5"/>
      <c r="Y209" s="5"/>
      <c r="Z209" s="5"/>
      <c r="AA209" s="5"/>
      <c r="AB209" s="5"/>
      <c r="AC209" s="5"/>
    </row>
    <row r="210" spans="1:29" x14ac:dyDescent="0.35">
      <c r="A210" s="62" t="s">
        <v>166</v>
      </c>
      <c r="B210" s="63">
        <f>B142+B154+B170+B196+B208</f>
        <v>4268221.6081572622</v>
      </c>
      <c r="C210" s="63">
        <f t="shared" ref="C210:H210" si="229">C142+C154+C170+C196+C208</f>
        <v>676422.03631250001</v>
      </c>
      <c r="D210" s="63">
        <f t="shared" si="229"/>
        <v>574471.6</v>
      </c>
      <c r="E210" s="63">
        <f t="shared" si="229"/>
        <v>0</v>
      </c>
      <c r="F210" s="63">
        <f t="shared" si="229"/>
        <v>0</v>
      </c>
      <c r="G210" s="63">
        <f t="shared" si="229"/>
        <v>0</v>
      </c>
      <c r="H210" s="63">
        <f t="shared" si="229"/>
        <v>0</v>
      </c>
      <c r="I210" s="63">
        <f>I142+I154+I170+I196+I208</f>
        <v>5519115.2444697618</v>
      </c>
      <c r="J210" s="7"/>
      <c r="L210" s="63">
        <f>L142+L154+L170+L196+L208</f>
        <v>9742503.0899329111</v>
      </c>
      <c r="M210" s="63">
        <f t="shared" ref="M210:R210" si="230">M142+M154+M170+M196+M208</f>
        <v>1129103.3</v>
      </c>
      <c r="N210" s="63">
        <f t="shared" si="230"/>
        <v>1370845</v>
      </c>
      <c r="O210" s="63">
        <f t="shared" si="230"/>
        <v>0</v>
      </c>
      <c r="P210" s="63">
        <f t="shared" si="230"/>
        <v>0</v>
      </c>
      <c r="Q210" s="63">
        <f t="shared" si="230"/>
        <v>0</v>
      </c>
      <c r="R210" s="63">
        <f t="shared" si="230"/>
        <v>0</v>
      </c>
      <c r="S210" s="63">
        <f>S142+S154+S170+S196+S208</f>
        <v>12242451.389932912</v>
      </c>
      <c r="T210" s="7"/>
      <c r="V210" s="63">
        <f>V142+V154+V170+V196+V208</f>
        <v>14010724.698090171</v>
      </c>
      <c r="W210" s="63">
        <f t="shared" ref="W210:AB210" si="231">W142+W154+W170+W196+W208</f>
        <v>1805525.3363125001</v>
      </c>
      <c r="X210" s="63">
        <f t="shared" si="231"/>
        <v>1945316.6</v>
      </c>
      <c r="Y210" s="63">
        <f t="shared" si="231"/>
        <v>0</v>
      </c>
      <c r="Z210" s="63">
        <f t="shared" si="231"/>
        <v>0</v>
      </c>
      <c r="AA210" s="63">
        <f t="shared" si="231"/>
        <v>0</v>
      </c>
      <c r="AB210" s="63">
        <f t="shared" si="231"/>
        <v>0</v>
      </c>
      <c r="AC210" s="63">
        <f>AC142+AC154+AC170+AC196+AC208</f>
        <v>17761566.634402674</v>
      </c>
    </row>
    <row r="211" spans="1:29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  <c r="L211" s="47"/>
      <c r="M211" s="47"/>
      <c r="N211" s="47"/>
      <c r="O211" s="47"/>
      <c r="P211" s="47"/>
      <c r="Q211" s="47"/>
      <c r="R211" s="47"/>
      <c r="S211" s="47"/>
      <c r="T211" s="7"/>
      <c r="V211" s="47"/>
      <c r="W211" s="47"/>
      <c r="X211" s="47"/>
      <c r="Y211" s="47"/>
      <c r="Z211" s="47"/>
      <c r="AA211" s="47"/>
      <c r="AB211" s="47"/>
      <c r="AC211" s="47"/>
    </row>
    <row r="212" spans="1:29" x14ac:dyDescent="0.35">
      <c r="A212" s="38" t="s">
        <v>167</v>
      </c>
      <c r="B212" s="9">
        <f>1267*B17</f>
        <v>589155</v>
      </c>
      <c r="C212" s="9"/>
      <c r="D212" s="9"/>
      <c r="E212" s="9"/>
      <c r="F212" s="9"/>
      <c r="G212" s="9"/>
      <c r="H212" s="9"/>
      <c r="I212" s="9">
        <f t="shared" ref="I212:I216" si="232">SUM(B212:H212)</f>
        <v>589155</v>
      </c>
      <c r="J212" s="11"/>
      <c r="L212" s="9">
        <f>2000*L17</f>
        <v>2290000</v>
      </c>
      <c r="M212" s="9"/>
      <c r="N212" s="9"/>
      <c r="O212" s="9"/>
      <c r="P212" s="9"/>
      <c r="Q212" s="9"/>
      <c r="R212" s="9"/>
      <c r="S212" s="9">
        <f t="shared" ref="S212:S216" si="233">SUM(L212:R212)</f>
        <v>2290000</v>
      </c>
      <c r="T212" s="52">
        <v>2000</v>
      </c>
      <c r="V212" s="9">
        <f>B212+L212</f>
        <v>2879155</v>
      </c>
      <c r="W212" s="9">
        <f t="shared" ref="W212:Y217" si="234">C212+M212</f>
        <v>0</v>
      </c>
      <c r="X212" s="9">
        <f t="shared" si="234"/>
        <v>0</v>
      </c>
      <c r="Y212" s="9">
        <f t="shared" si="234"/>
        <v>0</v>
      </c>
      <c r="Z212" s="9"/>
      <c r="AA212" s="9"/>
      <c r="AB212" s="9"/>
      <c r="AC212" s="9">
        <f t="shared" ref="AC212:AC217" si="235">SUM(V212:AB212)</f>
        <v>2879155</v>
      </c>
    </row>
    <row r="213" spans="1:29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232"/>
        <v>0</v>
      </c>
      <c r="J213" s="11"/>
      <c r="L213" s="9">
        <v>0</v>
      </c>
      <c r="M213" s="9"/>
      <c r="N213" s="9"/>
      <c r="O213" s="9"/>
      <c r="P213" s="9"/>
      <c r="Q213" s="9"/>
      <c r="R213" s="9"/>
      <c r="S213" s="9">
        <f t="shared" si="233"/>
        <v>0</v>
      </c>
      <c r="T213" s="11"/>
      <c r="V213" s="9">
        <f t="shared" ref="V213:V217" si="236">B213+L213</f>
        <v>0</v>
      </c>
      <c r="W213" s="9">
        <f t="shared" si="234"/>
        <v>0</v>
      </c>
      <c r="X213" s="9">
        <f t="shared" si="234"/>
        <v>0</v>
      </c>
      <c r="Y213" s="9">
        <f t="shared" si="234"/>
        <v>0</v>
      </c>
      <c r="Z213" s="9"/>
      <c r="AA213" s="9"/>
      <c r="AB213" s="9"/>
      <c r="AC213" s="9">
        <f t="shared" si="235"/>
        <v>0</v>
      </c>
    </row>
    <row r="214" spans="1:29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232"/>
        <v>0</v>
      </c>
      <c r="J214" s="119"/>
      <c r="L214" s="9">
        <v>0</v>
      </c>
      <c r="M214" s="9"/>
      <c r="N214" s="9"/>
      <c r="O214" s="9"/>
      <c r="P214" s="9"/>
      <c r="Q214" s="9"/>
      <c r="R214" s="9"/>
      <c r="S214" s="9">
        <f t="shared" si="233"/>
        <v>0</v>
      </c>
      <c r="T214" s="119"/>
      <c r="V214" s="9">
        <f t="shared" si="236"/>
        <v>0</v>
      </c>
      <c r="W214" s="9">
        <f t="shared" si="234"/>
        <v>0</v>
      </c>
      <c r="X214" s="9">
        <f t="shared" si="234"/>
        <v>0</v>
      </c>
      <c r="Y214" s="9">
        <f t="shared" si="234"/>
        <v>0</v>
      </c>
      <c r="Z214" s="9"/>
      <c r="AA214" s="9"/>
      <c r="AB214" s="9"/>
      <c r="AC214" s="9">
        <f t="shared" si="235"/>
        <v>0</v>
      </c>
    </row>
    <row r="215" spans="1:29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232"/>
        <v>0</v>
      </c>
      <c r="J215" s="11"/>
      <c r="L215" s="9">
        <v>0</v>
      </c>
      <c r="M215" s="9"/>
      <c r="N215" s="9"/>
      <c r="O215" s="9"/>
      <c r="P215" s="9"/>
      <c r="Q215" s="9"/>
      <c r="R215" s="9"/>
      <c r="S215" s="9">
        <f t="shared" si="233"/>
        <v>0</v>
      </c>
      <c r="T215" s="11"/>
      <c r="V215" s="9">
        <f t="shared" si="236"/>
        <v>0</v>
      </c>
      <c r="W215" s="9">
        <f t="shared" si="234"/>
        <v>0</v>
      </c>
      <c r="X215" s="9">
        <f t="shared" si="234"/>
        <v>0</v>
      </c>
      <c r="Y215" s="9">
        <f t="shared" si="234"/>
        <v>0</v>
      </c>
      <c r="Z215" s="9"/>
      <c r="AA215" s="9"/>
      <c r="AB215" s="9"/>
      <c r="AC215" s="9">
        <f t="shared" si="235"/>
        <v>0</v>
      </c>
    </row>
    <row r="216" spans="1:29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232"/>
        <v>0</v>
      </c>
      <c r="J216" s="11"/>
      <c r="L216" s="9">
        <v>0</v>
      </c>
      <c r="M216" s="9">
        <v>0</v>
      </c>
      <c r="N216" s="9">
        <v>0</v>
      </c>
      <c r="O216" s="9"/>
      <c r="P216" s="9">
        <v>0</v>
      </c>
      <c r="Q216" s="9">
        <v>0</v>
      </c>
      <c r="R216" s="9">
        <v>0</v>
      </c>
      <c r="S216" s="9">
        <f t="shared" si="233"/>
        <v>0</v>
      </c>
      <c r="T216" s="11"/>
      <c r="V216" s="9">
        <f t="shared" si="236"/>
        <v>0</v>
      </c>
      <c r="W216" s="9">
        <f t="shared" si="234"/>
        <v>0</v>
      </c>
      <c r="X216" s="9">
        <f t="shared" si="234"/>
        <v>0</v>
      </c>
      <c r="Y216" s="9">
        <f t="shared" si="234"/>
        <v>0</v>
      </c>
      <c r="Z216" s="9">
        <v>0</v>
      </c>
      <c r="AA216" s="9">
        <v>0</v>
      </c>
      <c r="AB216" s="9">
        <v>0</v>
      </c>
      <c r="AC216" s="9">
        <f t="shared" si="235"/>
        <v>0</v>
      </c>
    </row>
    <row r="217" spans="1:29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ref="I217" si="237">SUM(B217:H217)</f>
        <v>0</v>
      </c>
      <c r="J217" s="11"/>
      <c r="L217" s="30"/>
      <c r="M217" s="30"/>
      <c r="N217" s="30"/>
      <c r="O217" s="30"/>
      <c r="P217" s="30"/>
      <c r="Q217" s="30"/>
      <c r="R217" s="30"/>
      <c r="S217" s="5">
        <f t="shared" ref="S217" si="238">SUM(L217:R217)</f>
        <v>0</v>
      </c>
      <c r="T217" s="11"/>
      <c r="V217" s="9">
        <f t="shared" si="236"/>
        <v>0</v>
      </c>
      <c r="W217" s="9">
        <f t="shared" si="234"/>
        <v>0</v>
      </c>
      <c r="X217" s="9">
        <f t="shared" si="234"/>
        <v>0</v>
      </c>
      <c r="Y217" s="9">
        <f t="shared" si="234"/>
        <v>0</v>
      </c>
      <c r="Z217" s="30"/>
      <c r="AA217" s="30"/>
      <c r="AB217" s="30"/>
      <c r="AC217" s="5">
        <f t="shared" si="235"/>
        <v>0</v>
      </c>
    </row>
    <row r="218" spans="1:29" ht="15" thickBot="1" x14ac:dyDescent="0.4">
      <c r="A218" s="76" t="s">
        <v>168</v>
      </c>
      <c r="B218" s="77">
        <f>B97-B210-B212-B213-B215-B214</f>
        <v>369631.39184273779</v>
      </c>
      <c r="C218" s="77">
        <f t="shared" ref="C218:I218" si="239">C97-C210-C212-C213-C215-C214</f>
        <v>-350960.03631250001</v>
      </c>
      <c r="D218" s="77">
        <f t="shared" si="239"/>
        <v>-373.30000000004657</v>
      </c>
      <c r="E218" s="77">
        <f t="shared" si="239"/>
        <v>0</v>
      </c>
      <c r="F218" s="77">
        <f t="shared" si="239"/>
        <v>0</v>
      </c>
      <c r="G218" s="77">
        <f t="shared" si="239"/>
        <v>0</v>
      </c>
      <c r="H218" s="77">
        <f t="shared" si="239"/>
        <v>0</v>
      </c>
      <c r="I218" s="77">
        <f t="shared" si="239"/>
        <v>18298.055530237965</v>
      </c>
      <c r="J218" s="7"/>
      <c r="L218" s="77">
        <f t="shared" ref="L218:S218" si="240">L97-L210-L212-L213-L215-L214</f>
        <v>561712.9100670889</v>
      </c>
      <c r="M218" s="77">
        <f t="shared" si="240"/>
        <v>-581053.30000000005</v>
      </c>
      <c r="N218" s="77">
        <f t="shared" si="240"/>
        <v>42794.899999999907</v>
      </c>
      <c r="O218" s="77">
        <f t="shared" si="240"/>
        <v>0</v>
      </c>
      <c r="P218" s="77">
        <f t="shared" si="240"/>
        <v>0</v>
      </c>
      <c r="Q218" s="77">
        <f t="shared" si="240"/>
        <v>0</v>
      </c>
      <c r="R218" s="77">
        <f t="shared" si="240"/>
        <v>0</v>
      </c>
      <c r="S218" s="77">
        <f t="shared" si="240"/>
        <v>23454.510067088529</v>
      </c>
      <c r="T218" s="7"/>
      <c r="V218" s="77">
        <f t="shared" ref="V218:AC218" si="241">V97-V210-V212-V213-V215-V214</f>
        <v>931344.30190982856</v>
      </c>
      <c r="W218" s="77">
        <f t="shared" si="241"/>
        <v>-932013.33631250006</v>
      </c>
      <c r="X218" s="77">
        <f t="shared" si="241"/>
        <v>42421.59999999986</v>
      </c>
      <c r="Y218" s="77">
        <f t="shared" si="241"/>
        <v>0</v>
      </c>
      <c r="Z218" s="77">
        <f t="shared" si="241"/>
        <v>0</v>
      </c>
      <c r="AA218" s="77">
        <f t="shared" si="241"/>
        <v>0</v>
      </c>
      <c r="AB218" s="77">
        <f t="shared" si="241"/>
        <v>0</v>
      </c>
      <c r="AC218" s="77">
        <f t="shared" si="241"/>
        <v>41752.565597325563</v>
      </c>
    </row>
    <row r="219" spans="1:29" x14ac:dyDescent="0.35">
      <c r="A219" s="78"/>
      <c r="B219" s="79">
        <f t="shared" ref="B219:I219" si="242">B218/(B97)</f>
        <v>7.0715673640204452E-2</v>
      </c>
      <c r="C219" s="79">
        <f t="shared" si="242"/>
        <v>-1.0783441271561658</v>
      </c>
      <c r="D219" s="79">
        <f t="shared" si="242"/>
        <v>-6.5023707612450103E-4</v>
      </c>
      <c r="E219" s="79" t="e">
        <f t="shared" si="242"/>
        <v>#DIV/0!</v>
      </c>
      <c r="F219" s="79" t="e">
        <f t="shared" si="242"/>
        <v>#DIV/0!</v>
      </c>
      <c r="G219" s="79" t="e">
        <f t="shared" si="242"/>
        <v>#DIV/0!</v>
      </c>
      <c r="H219" s="79" t="e">
        <f t="shared" si="242"/>
        <v>#DIV/0!</v>
      </c>
      <c r="I219" s="79">
        <f t="shared" si="242"/>
        <v>2.986672903040674E-3</v>
      </c>
      <c r="J219" s="7"/>
      <c r="L219" s="79">
        <f t="shared" ref="L219:S219" si="243">L218/(L97)</f>
        <v>4.4600863608110969E-2</v>
      </c>
      <c r="M219" s="79">
        <f t="shared" si="243"/>
        <v>-1.0602195055195696</v>
      </c>
      <c r="N219" s="79">
        <f t="shared" si="243"/>
        <v>3.027284388336797E-2</v>
      </c>
      <c r="O219" s="79" t="e">
        <f t="shared" si="243"/>
        <v>#DIV/0!</v>
      </c>
      <c r="P219" s="79" t="e">
        <f t="shared" si="243"/>
        <v>#DIV/0!</v>
      </c>
      <c r="Q219" s="79" t="e">
        <f t="shared" si="243"/>
        <v>#DIV/0!</v>
      </c>
      <c r="R219" s="79" t="e">
        <f t="shared" si="243"/>
        <v>#DIV/0!</v>
      </c>
      <c r="S219" s="79">
        <f t="shared" si="243"/>
        <v>1.6113397701402101E-3</v>
      </c>
      <c r="T219" s="7"/>
      <c r="V219" s="79">
        <f t="shared" ref="V219:AC219" si="244">V218/(V97)</f>
        <v>5.2260400402903223E-2</v>
      </c>
      <c r="W219" s="79">
        <f t="shared" si="244"/>
        <v>-1.0669725616963477</v>
      </c>
      <c r="X219" s="79">
        <f t="shared" si="244"/>
        <v>2.1341643482023869E-2</v>
      </c>
      <c r="Y219" s="79" t="e">
        <f t="shared" si="244"/>
        <v>#DIV/0!</v>
      </c>
      <c r="Z219" s="79" t="e">
        <f t="shared" si="244"/>
        <v>#DIV/0!</v>
      </c>
      <c r="AA219" s="79" t="e">
        <f t="shared" si="244"/>
        <v>#DIV/0!</v>
      </c>
      <c r="AB219" s="79" t="e">
        <f t="shared" si="244"/>
        <v>#DIV/0!</v>
      </c>
      <c r="AC219" s="79">
        <f t="shared" si="244"/>
        <v>2.0187413359531985E-3</v>
      </c>
    </row>
    <row r="220" spans="1:29" x14ac:dyDescent="0.35">
      <c r="B220" s="80"/>
      <c r="C220" s="80"/>
      <c r="D220" s="80"/>
      <c r="E220" s="80"/>
      <c r="F220" s="80"/>
      <c r="G220" s="80"/>
      <c r="H220" s="80"/>
      <c r="I220" s="80"/>
      <c r="L220" s="80"/>
      <c r="M220" s="80"/>
      <c r="N220" s="80"/>
      <c r="O220" s="80"/>
      <c r="P220" s="80"/>
      <c r="Q220" s="80"/>
      <c r="R220" s="80"/>
      <c r="S220" s="80"/>
      <c r="V220" s="80"/>
      <c r="W220" s="80"/>
      <c r="X220" s="80"/>
      <c r="Y220" s="80"/>
      <c r="Z220" s="80"/>
      <c r="AA220" s="80"/>
      <c r="AB220" s="80"/>
      <c r="AC220" s="80"/>
    </row>
    <row r="221" spans="1:29" x14ac:dyDescent="0.35">
      <c r="A221" s="1" t="str">
        <f t="shared" ref="A221:I221" si="245">A1</f>
        <v>Mater Academy of Northern Nevada (MANN) - FY28</v>
      </c>
      <c r="B221" s="1" t="str">
        <f t="shared" si="245"/>
        <v>Operating</v>
      </c>
      <c r="C221" s="1" t="str">
        <f t="shared" si="245"/>
        <v>SPED</v>
      </c>
      <c r="D221" s="1" t="str">
        <f t="shared" si="245"/>
        <v>NSLP</v>
      </c>
      <c r="E221" s="1" t="str">
        <f t="shared" si="245"/>
        <v>Other</v>
      </c>
      <c r="F221" s="1" t="str">
        <f t="shared" si="245"/>
        <v>Title I</v>
      </c>
      <c r="G221" s="1" t="str">
        <f t="shared" si="245"/>
        <v>Title II</v>
      </c>
      <c r="H221" s="1" t="str">
        <f t="shared" si="245"/>
        <v>Title III</v>
      </c>
      <c r="I221" s="1" t="str">
        <f t="shared" si="245"/>
        <v>B&amp;G</v>
      </c>
      <c r="J221" s="2"/>
      <c r="L221" s="1" t="str">
        <f t="shared" ref="L221:S221" si="246">L1</f>
        <v>Operating</v>
      </c>
      <c r="M221" s="1" t="str">
        <f t="shared" si="246"/>
        <v>SPED</v>
      </c>
      <c r="N221" s="1" t="str">
        <f t="shared" si="246"/>
        <v>NSLP</v>
      </c>
      <c r="O221" s="1" t="str">
        <f t="shared" si="246"/>
        <v>Other</v>
      </c>
      <c r="P221" s="1" t="str">
        <f t="shared" si="246"/>
        <v>Title I</v>
      </c>
      <c r="Q221" s="1" t="str">
        <f t="shared" si="246"/>
        <v>Title II</v>
      </c>
      <c r="R221" s="1" t="str">
        <f t="shared" si="246"/>
        <v>Title III</v>
      </c>
      <c r="S221" s="1" t="str">
        <f t="shared" si="246"/>
        <v>New</v>
      </c>
      <c r="T221" s="2"/>
      <c r="V221" s="1" t="str">
        <f t="shared" ref="V221:AC221" si="247">V1</f>
        <v>Operating</v>
      </c>
      <c r="W221" s="1" t="str">
        <f t="shared" si="247"/>
        <v>SPED</v>
      </c>
      <c r="X221" s="1" t="str">
        <f t="shared" si="247"/>
        <v>NSLP</v>
      </c>
      <c r="Y221" s="1" t="str">
        <f t="shared" si="247"/>
        <v>Other</v>
      </c>
      <c r="Z221" s="1" t="str">
        <f t="shared" si="247"/>
        <v>Title I</v>
      </c>
      <c r="AA221" s="1" t="str">
        <f t="shared" si="247"/>
        <v>Title II</v>
      </c>
      <c r="AB221" s="1" t="str">
        <f t="shared" si="247"/>
        <v>Title III</v>
      </c>
      <c r="AC221" s="1" t="str">
        <f t="shared" si="247"/>
        <v>MANN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zoomScale="75" zoomScaleNormal="75" workbookViewId="0">
      <pane xSplit="1" topLeftCell="B1" activePane="topRight" state="frozen"/>
      <selection activeCell="C185" sqref="C185"/>
      <selection pane="topRight" activeCell="B4" sqref="B4:T217"/>
    </sheetView>
  </sheetViews>
  <sheetFormatPr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  <col min="12" max="15" width="15.6328125" style="81" customWidth="1"/>
    <col min="16" max="18" width="15.6328125" style="81" hidden="1" customWidth="1"/>
    <col min="19" max="19" width="15.6328125" style="81" customWidth="1"/>
    <col min="20" max="20" width="46" style="54" customWidth="1"/>
    <col min="22" max="25" width="15.6328125" style="81" customWidth="1"/>
    <col min="26" max="28" width="15.6328125" style="81" hidden="1" customWidth="1"/>
    <col min="29" max="29" width="15.6328125" style="81" customWidth="1"/>
  </cols>
  <sheetData>
    <row r="1" spans="1:29" x14ac:dyDescent="0.35">
      <c r="A1" s="1" t="s">
        <v>357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325</v>
      </c>
      <c r="J1" s="2"/>
      <c r="L1" s="1" t="s">
        <v>0</v>
      </c>
      <c r="M1" s="1" t="s">
        <v>1</v>
      </c>
      <c r="N1" s="1" t="s">
        <v>2</v>
      </c>
      <c r="O1" s="1" t="s">
        <v>277</v>
      </c>
      <c r="P1" s="1" t="s">
        <v>79</v>
      </c>
      <c r="Q1" s="1" t="s">
        <v>80</v>
      </c>
      <c r="R1" s="1" t="s">
        <v>81</v>
      </c>
      <c r="S1" s="1" t="s">
        <v>326</v>
      </c>
      <c r="T1" s="2"/>
      <c r="V1" s="1" t="s">
        <v>0</v>
      </c>
      <c r="W1" s="1" t="s">
        <v>1</v>
      </c>
      <c r="X1" s="1" t="s">
        <v>2</v>
      </c>
      <c r="Y1" s="1" t="s">
        <v>277</v>
      </c>
      <c r="Z1" s="1" t="s">
        <v>79</v>
      </c>
      <c r="AA1" s="1" t="s">
        <v>80</v>
      </c>
      <c r="AB1" s="1" t="s">
        <v>81</v>
      </c>
      <c r="AC1" s="1" t="s">
        <v>283</v>
      </c>
    </row>
    <row r="2" spans="1:29" x14ac:dyDescent="0.35">
      <c r="A2" s="4" t="s">
        <v>3</v>
      </c>
      <c r="B2" s="5">
        <v>9987</v>
      </c>
      <c r="C2" s="5"/>
      <c r="D2" s="5"/>
      <c r="E2" s="5"/>
      <c r="F2" s="5"/>
      <c r="G2" s="5"/>
      <c r="H2" s="5"/>
      <c r="I2" s="5">
        <f>SUM(B2:H2)</f>
        <v>9987</v>
      </c>
      <c r="J2" s="6"/>
      <c r="L2" s="5">
        <f>I2</f>
        <v>9987</v>
      </c>
      <c r="M2" s="5"/>
      <c r="N2" s="5"/>
      <c r="O2" s="5"/>
      <c r="P2" s="5"/>
      <c r="Q2" s="5"/>
      <c r="R2" s="5"/>
      <c r="S2" s="5">
        <f>SUM(L2:R2)</f>
        <v>9987</v>
      </c>
      <c r="T2" s="6"/>
      <c r="V2" s="5">
        <f>S2</f>
        <v>9987</v>
      </c>
      <c r="W2" s="5"/>
      <c r="X2" s="5"/>
      <c r="Y2" s="5"/>
      <c r="Z2" s="5"/>
      <c r="AA2" s="5"/>
      <c r="AB2" s="5"/>
      <c r="AC2" s="5">
        <f>SUM(V2:AB2)</f>
        <v>9987</v>
      </c>
    </row>
    <row r="3" spans="1:29" x14ac:dyDescent="0.35">
      <c r="A3" s="8" t="s">
        <v>4</v>
      </c>
      <c r="B3" s="9">
        <f t="shared" ref="B3" si="0">B4+B5+B6+B7+B8+B9+B10+B11+B12+B13+B14+B15+B16</f>
        <v>465</v>
      </c>
      <c r="C3" s="9"/>
      <c r="D3" s="9"/>
      <c r="E3" s="9"/>
      <c r="F3" s="9"/>
      <c r="G3" s="9"/>
      <c r="H3" s="9"/>
      <c r="I3" s="9">
        <f t="shared" ref="I3:I16" si="1">SUM(B3:H3)</f>
        <v>465</v>
      </c>
      <c r="J3" s="6"/>
      <c r="L3" s="9">
        <f t="shared" ref="L3" si="2">L4+L5+L6+L7+L8+L9+L10+L11+L12+L13+L14+L15+L16</f>
        <v>1314</v>
      </c>
      <c r="M3" s="9"/>
      <c r="N3" s="9"/>
      <c r="O3" s="9"/>
      <c r="P3" s="9"/>
      <c r="Q3" s="9"/>
      <c r="R3" s="9"/>
      <c r="S3" s="9">
        <f t="shared" ref="S3:S16" si="3">SUM(L3:R3)</f>
        <v>1314</v>
      </c>
      <c r="T3" s="6"/>
      <c r="V3" s="9">
        <f t="shared" ref="V3" si="4">V4+V5+V6+V7+V8+V9+V10+V11+V12+V13+V14+V15+V16</f>
        <v>1779</v>
      </c>
      <c r="W3" s="9"/>
      <c r="X3" s="9"/>
      <c r="Y3" s="9"/>
      <c r="Z3" s="9"/>
      <c r="AA3" s="9"/>
      <c r="AB3" s="9"/>
      <c r="AC3" s="9">
        <f t="shared" ref="AC3:AC16" si="5">SUM(V3:AB3)</f>
        <v>1779</v>
      </c>
    </row>
    <row r="4" spans="1:29" x14ac:dyDescent="0.35">
      <c r="A4" s="103" t="s">
        <v>5</v>
      </c>
      <c r="B4" s="5">
        <v>75</v>
      </c>
      <c r="C4" s="10"/>
      <c r="D4" s="10"/>
      <c r="E4" s="10"/>
      <c r="F4" s="10"/>
      <c r="G4" s="10"/>
      <c r="H4" s="10"/>
      <c r="I4" s="10">
        <f t="shared" si="1"/>
        <v>75</v>
      </c>
      <c r="J4" s="116">
        <v>3</v>
      </c>
      <c r="L4" s="5">
        <f t="shared" ref="L4" si="6">25*4</f>
        <v>100</v>
      </c>
      <c r="M4" s="10"/>
      <c r="N4" s="10"/>
      <c r="O4" s="10"/>
      <c r="P4" s="10"/>
      <c r="Q4" s="10"/>
      <c r="R4" s="10"/>
      <c r="S4" s="10">
        <f t="shared" si="3"/>
        <v>100</v>
      </c>
      <c r="T4" s="116">
        <v>4</v>
      </c>
      <c r="V4" s="5">
        <f>B4+L4</f>
        <v>175</v>
      </c>
      <c r="W4" s="10"/>
      <c r="X4" s="10"/>
      <c r="Y4" s="10"/>
      <c r="Z4" s="10"/>
      <c r="AA4" s="10"/>
      <c r="AB4" s="10"/>
      <c r="AC4" s="10">
        <f t="shared" si="5"/>
        <v>175</v>
      </c>
    </row>
    <row r="5" spans="1:29" x14ac:dyDescent="0.35">
      <c r="A5" s="8" t="s">
        <v>6</v>
      </c>
      <c r="B5" s="5">
        <v>78</v>
      </c>
      <c r="C5" s="10"/>
      <c r="D5" s="10"/>
      <c r="E5" s="10"/>
      <c r="F5" s="10"/>
      <c r="G5" s="10"/>
      <c r="H5" s="10"/>
      <c r="I5" s="10">
        <f t="shared" si="1"/>
        <v>78</v>
      </c>
      <c r="J5" s="116">
        <v>3</v>
      </c>
      <c r="L5" s="5">
        <f t="shared" ref="L5:L7" si="7">26*4</f>
        <v>104</v>
      </c>
      <c r="M5" s="10"/>
      <c r="N5" s="10"/>
      <c r="O5" s="10"/>
      <c r="P5" s="10"/>
      <c r="Q5" s="10"/>
      <c r="R5" s="10"/>
      <c r="S5" s="10">
        <f t="shared" si="3"/>
        <v>104</v>
      </c>
      <c r="T5" s="116">
        <v>4</v>
      </c>
      <c r="V5" s="5">
        <f t="shared" ref="V5:V16" si="8">B5+L5</f>
        <v>182</v>
      </c>
      <c r="W5" s="10"/>
      <c r="X5" s="10"/>
      <c r="Y5" s="10"/>
      <c r="Z5" s="10"/>
      <c r="AA5" s="10"/>
      <c r="AB5" s="10"/>
      <c r="AC5" s="10">
        <f t="shared" si="5"/>
        <v>182</v>
      </c>
    </row>
    <row r="6" spans="1:29" x14ac:dyDescent="0.35">
      <c r="A6" s="8" t="s">
        <v>7</v>
      </c>
      <c r="B6" s="5">
        <v>78</v>
      </c>
      <c r="C6" s="10"/>
      <c r="D6" s="10"/>
      <c r="E6" s="10"/>
      <c r="F6" s="10"/>
      <c r="G6" s="10"/>
      <c r="H6" s="10"/>
      <c r="I6" s="10">
        <f t="shared" si="1"/>
        <v>78</v>
      </c>
      <c r="J6" s="116">
        <v>3</v>
      </c>
      <c r="L6" s="5">
        <f t="shared" si="7"/>
        <v>104</v>
      </c>
      <c r="M6" s="10"/>
      <c r="N6" s="10"/>
      <c r="O6" s="10"/>
      <c r="P6" s="10"/>
      <c r="Q6" s="10"/>
      <c r="R6" s="10"/>
      <c r="S6" s="10">
        <f t="shared" si="3"/>
        <v>104</v>
      </c>
      <c r="T6" s="116">
        <v>4</v>
      </c>
      <c r="V6" s="5">
        <f t="shared" si="8"/>
        <v>182</v>
      </c>
      <c r="W6" s="10"/>
      <c r="X6" s="10"/>
      <c r="Y6" s="10"/>
      <c r="Z6" s="10"/>
      <c r="AA6" s="10"/>
      <c r="AB6" s="10"/>
      <c r="AC6" s="10">
        <f t="shared" si="5"/>
        <v>182</v>
      </c>
    </row>
    <row r="7" spans="1:29" x14ac:dyDescent="0.35">
      <c r="A7" s="12" t="s">
        <v>8</v>
      </c>
      <c r="B7" s="5">
        <v>78</v>
      </c>
      <c r="C7" s="10"/>
      <c r="D7" s="10"/>
      <c r="E7" s="10"/>
      <c r="F7" s="10"/>
      <c r="G7" s="10"/>
      <c r="H7" s="10"/>
      <c r="I7" s="10">
        <f t="shared" si="1"/>
        <v>78</v>
      </c>
      <c r="J7" s="116">
        <v>3</v>
      </c>
      <c r="L7" s="5">
        <f t="shared" si="7"/>
        <v>104</v>
      </c>
      <c r="M7" s="10"/>
      <c r="N7" s="10"/>
      <c r="O7" s="10"/>
      <c r="P7" s="10"/>
      <c r="Q7" s="10"/>
      <c r="R7" s="10"/>
      <c r="S7" s="10">
        <f t="shared" si="3"/>
        <v>104</v>
      </c>
      <c r="T7" s="116">
        <v>4</v>
      </c>
      <c r="V7" s="5">
        <f t="shared" si="8"/>
        <v>182</v>
      </c>
      <c r="W7" s="10"/>
      <c r="X7" s="10"/>
      <c r="Y7" s="10"/>
      <c r="Z7" s="10"/>
      <c r="AA7" s="10"/>
      <c r="AB7" s="10"/>
      <c r="AC7" s="10">
        <f t="shared" si="5"/>
        <v>182</v>
      </c>
    </row>
    <row r="8" spans="1:29" x14ac:dyDescent="0.35">
      <c r="A8" s="12" t="s">
        <v>9</v>
      </c>
      <c r="B8" s="5">
        <v>78</v>
      </c>
      <c r="C8" s="10"/>
      <c r="D8" s="10"/>
      <c r="E8" s="10"/>
      <c r="F8" s="10"/>
      <c r="G8" s="10"/>
      <c r="H8" s="10"/>
      <c r="I8" s="10">
        <f t="shared" si="1"/>
        <v>78</v>
      </c>
      <c r="J8" s="116">
        <v>3</v>
      </c>
      <c r="L8" s="5">
        <f>26*4</f>
        <v>104</v>
      </c>
      <c r="M8" s="10"/>
      <c r="N8" s="10"/>
      <c r="O8" s="10"/>
      <c r="P8" s="10"/>
      <c r="Q8" s="10"/>
      <c r="R8" s="10"/>
      <c r="S8" s="10">
        <f t="shared" si="3"/>
        <v>104</v>
      </c>
      <c r="T8" s="116">
        <v>4</v>
      </c>
      <c r="V8" s="5">
        <f t="shared" si="8"/>
        <v>182</v>
      </c>
      <c r="W8" s="10"/>
      <c r="X8" s="10"/>
      <c r="Y8" s="10"/>
      <c r="Z8" s="10"/>
      <c r="AA8" s="10"/>
      <c r="AB8" s="10"/>
      <c r="AC8" s="10">
        <f t="shared" si="5"/>
        <v>182</v>
      </c>
    </row>
    <row r="9" spans="1:29" x14ac:dyDescent="0.35">
      <c r="A9" s="12" t="s">
        <v>10</v>
      </c>
      <c r="B9" s="5">
        <v>78</v>
      </c>
      <c r="C9" s="10"/>
      <c r="D9" s="10"/>
      <c r="E9" s="10"/>
      <c r="F9" s="10"/>
      <c r="G9" s="10"/>
      <c r="H9" s="10"/>
      <c r="I9" s="10">
        <f t="shared" si="1"/>
        <v>78</v>
      </c>
      <c r="J9" s="116">
        <v>3</v>
      </c>
      <c r="L9" s="5">
        <f>26*4</f>
        <v>104</v>
      </c>
      <c r="M9" s="10"/>
      <c r="N9" s="10"/>
      <c r="O9" s="10"/>
      <c r="P9" s="10"/>
      <c r="Q9" s="10"/>
      <c r="R9" s="10"/>
      <c r="S9" s="10">
        <f t="shared" si="3"/>
        <v>104</v>
      </c>
      <c r="T9" s="116">
        <v>4</v>
      </c>
      <c r="V9" s="5">
        <f t="shared" si="8"/>
        <v>182</v>
      </c>
      <c r="W9" s="10"/>
      <c r="X9" s="10"/>
      <c r="Y9" s="10"/>
      <c r="Z9" s="10"/>
      <c r="AA9" s="10"/>
      <c r="AB9" s="10"/>
      <c r="AC9" s="10">
        <f t="shared" si="5"/>
        <v>182</v>
      </c>
    </row>
    <row r="10" spans="1:29" x14ac:dyDescent="0.35">
      <c r="A10" s="12" t="s">
        <v>11</v>
      </c>
      <c r="B10" s="5">
        <v>0</v>
      </c>
      <c r="C10" s="5"/>
      <c r="D10" s="5"/>
      <c r="E10" s="5"/>
      <c r="F10" s="5"/>
      <c r="G10" s="5"/>
      <c r="H10" s="5"/>
      <c r="I10" s="10">
        <f t="shared" si="1"/>
        <v>0</v>
      </c>
      <c r="J10" s="116">
        <v>0</v>
      </c>
      <c r="L10" s="5">
        <v>150</v>
      </c>
      <c r="M10" s="5"/>
      <c r="N10" s="5"/>
      <c r="O10" s="5"/>
      <c r="P10" s="5"/>
      <c r="Q10" s="5"/>
      <c r="R10" s="5"/>
      <c r="S10" s="10">
        <f t="shared" si="3"/>
        <v>150</v>
      </c>
      <c r="T10" s="116">
        <v>5</v>
      </c>
      <c r="V10" s="5">
        <f t="shared" si="8"/>
        <v>150</v>
      </c>
      <c r="W10" s="5"/>
      <c r="X10" s="5"/>
      <c r="Y10" s="5"/>
      <c r="Z10" s="5"/>
      <c r="AA10" s="5"/>
      <c r="AB10" s="5"/>
      <c r="AC10" s="10">
        <f t="shared" si="5"/>
        <v>150</v>
      </c>
    </row>
    <row r="11" spans="1:29" x14ac:dyDescent="0.35">
      <c r="A11" s="12" t="s">
        <v>12</v>
      </c>
      <c r="B11" s="5">
        <v>0</v>
      </c>
      <c r="C11" s="5"/>
      <c r="D11" s="5"/>
      <c r="E11" s="5"/>
      <c r="F11" s="5"/>
      <c r="G11" s="5"/>
      <c r="H11" s="5"/>
      <c r="I11" s="10">
        <f t="shared" si="1"/>
        <v>0</v>
      </c>
      <c r="J11" s="116">
        <v>0</v>
      </c>
      <c r="L11" s="5">
        <v>150</v>
      </c>
      <c r="M11" s="5"/>
      <c r="N11" s="5"/>
      <c r="O11" s="5"/>
      <c r="P11" s="5"/>
      <c r="Q11" s="5"/>
      <c r="R11" s="5"/>
      <c r="S11" s="10">
        <f t="shared" si="3"/>
        <v>150</v>
      </c>
      <c r="T11" s="116">
        <v>5</v>
      </c>
      <c r="V11" s="5">
        <f t="shared" si="8"/>
        <v>150</v>
      </c>
      <c r="W11" s="5"/>
      <c r="X11" s="5"/>
      <c r="Y11" s="5"/>
      <c r="Z11" s="5"/>
      <c r="AA11" s="5"/>
      <c r="AB11" s="5"/>
      <c r="AC11" s="10">
        <f t="shared" si="5"/>
        <v>150</v>
      </c>
    </row>
    <row r="12" spans="1:29" x14ac:dyDescent="0.35">
      <c r="A12" s="12" t="s">
        <v>13</v>
      </c>
      <c r="B12" s="5">
        <v>0</v>
      </c>
      <c r="C12" s="5"/>
      <c r="D12" s="5"/>
      <c r="E12" s="5"/>
      <c r="F12" s="5"/>
      <c r="G12" s="5"/>
      <c r="H12" s="5"/>
      <c r="I12" s="10">
        <f t="shared" si="1"/>
        <v>0</v>
      </c>
      <c r="J12" s="116">
        <v>0</v>
      </c>
      <c r="L12" s="5">
        <v>124</v>
      </c>
      <c r="M12" s="5"/>
      <c r="N12" s="5"/>
      <c r="O12" s="5"/>
      <c r="P12" s="5"/>
      <c r="Q12" s="5"/>
      <c r="R12" s="5"/>
      <c r="S12" s="10">
        <f t="shared" si="3"/>
        <v>124</v>
      </c>
      <c r="T12" s="116">
        <v>4</v>
      </c>
      <c r="V12" s="5">
        <f t="shared" si="8"/>
        <v>124</v>
      </c>
      <c r="W12" s="5"/>
      <c r="X12" s="5"/>
      <c r="Y12" s="5"/>
      <c r="Z12" s="5"/>
      <c r="AA12" s="5"/>
      <c r="AB12" s="5"/>
      <c r="AC12" s="10">
        <f t="shared" si="5"/>
        <v>124</v>
      </c>
    </row>
    <row r="13" spans="1:29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v>0</v>
      </c>
      <c r="L13" s="5">
        <v>120</v>
      </c>
      <c r="M13" s="5"/>
      <c r="N13" s="5"/>
      <c r="O13" s="5"/>
      <c r="P13" s="5"/>
      <c r="Q13" s="5"/>
      <c r="R13" s="5"/>
      <c r="S13" s="10">
        <f t="shared" si="3"/>
        <v>120</v>
      </c>
      <c r="T13" s="116">
        <v>4</v>
      </c>
      <c r="V13" s="5">
        <f t="shared" si="8"/>
        <v>120</v>
      </c>
      <c r="W13" s="5"/>
      <c r="X13" s="5"/>
      <c r="Y13" s="5"/>
      <c r="Z13" s="5"/>
      <c r="AA13" s="5"/>
      <c r="AB13" s="5"/>
      <c r="AC13" s="10">
        <f t="shared" si="5"/>
        <v>120</v>
      </c>
    </row>
    <row r="14" spans="1:29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9">B14/30</f>
        <v>0</v>
      </c>
      <c r="L14" s="5">
        <v>90</v>
      </c>
      <c r="M14" s="5"/>
      <c r="N14" s="5"/>
      <c r="O14" s="5"/>
      <c r="P14" s="5"/>
      <c r="Q14" s="5"/>
      <c r="R14" s="5"/>
      <c r="S14" s="10">
        <f t="shared" si="3"/>
        <v>90</v>
      </c>
      <c r="T14" s="116">
        <v>3</v>
      </c>
      <c r="V14" s="5">
        <f t="shared" si="8"/>
        <v>90</v>
      </c>
      <c r="W14" s="5"/>
      <c r="X14" s="5"/>
      <c r="Y14" s="5"/>
      <c r="Z14" s="5"/>
      <c r="AA14" s="5"/>
      <c r="AB14" s="5"/>
      <c r="AC14" s="10">
        <f t="shared" si="5"/>
        <v>90</v>
      </c>
    </row>
    <row r="15" spans="1:29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9"/>
        <v>0</v>
      </c>
      <c r="L15" s="5">
        <v>60</v>
      </c>
      <c r="M15" s="5"/>
      <c r="N15" s="5"/>
      <c r="O15" s="5"/>
      <c r="P15" s="5"/>
      <c r="Q15" s="5"/>
      <c r="R15" s="5"/>
      <c r="S15" s="10">
        <f t="shared" si="3"/>
        <v>60</v>
      </c>
      <c r="T15" s="116">
        <v>2</v>
      </c>
      <c r="V15" s="5">
        <f t="shared" si="8"/>
        <v>60</v>
      </c>
      <c r="W15" s="5"/>
      <c r="X15" s="5"/>
      <c r="Y15" s="5"/>
      <c r="Z15" s="5"/>
      <c r="AA15" s="5"/>
      <c r="AB15" s="5"/>
      <c r="AC15" s="10">
        <f t="shared" si="5"/>
        <v>60</v>
      </c>
    </row>
    <row r="16" spans="1:29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  <c r="L16" s="5">
        <v>0</v>
      </c>
      <c r="M16" s="5"/>
      <c r="N16" s="5"/>
      <c r="O16" s="5"/>
      <c r="P16" s="5"/>
      <c r="Q16" s="5"/>
      <c r="R16" s="5"/>
      <c r="S16" s="10">
        <f t="shared" si="3"/>
        <v>0</v>
      </c>
      <c r="T16" s="116">
        <v>0</v>
      </c>
      <c r="V16" s="5">
        <f t="shared" si="8"/>
        <v>0</v>
      </c>
      <c r="W16" s="5"/>
      <c r="X16" s="5"/>
      <c r="Y16" s="5"/>
      <c r="Z16" s="5"/>
      <c r="AA16" s="5"/>
      <c r="AB16" s="5"/>
      <c r="AC16" s="10">
        <f t="shared" si="5"/>
        <v>0</v>
      </c>
    </row>
    <row r="17" spans="1:29" x14ac:dyDescent="0.35">
      <c r="A17" s="104" t="s">
        <v>4</v>
      </c>
      <c r="B17" s="9">
        <f t="shared" ref="B17:H17" si="10">SUM(B4:B16)</f>
        <v>465</v>
      </c>
      <c r="C17" s="9">
        <f t="shared" si="10"/>
        <v>0</v>
      </c>
      <c r="D17" s="9">
        <f t="shared" si="10"/>
        <v>0</v>
      </c>
      <c r="E17" s="9"/>
      <c r="F17" s="9">
        <f t="shared" si="10"/>
        <v>0</v>
      </c>
      <c r="G17" s="9">
        <f t="shared" si="10"/>
        <v>0</v>
      </c>
      <c r="H17" s="9">
        <f t="shared" si="10"/>
        <v>0</v>
      </c>
      <c r="I17" s="9">
        <f>SUM(I4:I16)</f>
        <v>465</v>
      </c>
      <c r="J17" s="117">
        <f>SUM(J4:J16)</f>
        <v>18</v>
      </c>
      <c r="L17" s="9">
        <f t="shared" ref="L17:N17" si="11">SUM(L4:L16)</f>
        <v>1314</v>
      </c>
      <c r="M17" s="9">
        <f t="shared" si="11"/>
        <v>0</v>
      </c>
      <c r="N17" s="9">
        <f t="shared" si="11"/>
        <v>0</v>
      </c>
      <c r="O17" s="9"/>
      <c r="P17" s="9">
        <f t="shared" ref="P17:R17" si="12">SUM(P4:P16)</f>
        <v>0</v>
      </c>
      <c r="Q17" s="9">
        <f t="shared" si="12"/>
        <v>0</v>
      </c>
      <c r="R17" s="9">
        <f t="shared" si="12"/>
        <v>0</v>
      </c>
      <c r="S17" s="9">
        <f>SUM(S4:S16)</f>
        <v>1314</v>
      </c>
      <c r="T17" s="117">
        <f>SUM(T4:T16)</f>
        <v>47</v>
      </c>
      <c r="V17" s="9">
        <f t="shared" ref="V17:X17" si="13">SUM(V4:V16)</f>
        <v>1779</v>
      </c>
      <c r="W17" s="9">
        <f t="shared" si="13"/>
        <v>0</v>
      </c>
      <c r="X17" s="9">
        <f t="shared" si="13"/>
        <v>0</v>
      </c>
      <c r="Y17" s="9"/>
      <c r="Z17" s="9">
        <f t="shared" ref="Z17:AB17" si="14">SUM(Z4:Z16)</f>
        <v>0</v>
      </c>
      <c r="AA17" s="9">
        <f t="shared" si="14"/>
        <v>0</v>
      </c>
      <c r="AB17" s="9">
        <f t="shared" si="14"/>
        <v>0</v>
      </c>
      <c r="AC17" s="9">
        <f>SUM(AC4:AC16)</f>
        <v>1779</v>
      </c>
    </row>
    <row r="18" spans="1:29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  <c r="L18" s="5"/>
      <c r="M18" s="13"/>
      <c r="N18" s="13"/>
      <c r="O18" s="13"/>
      <c r="P18" s="13"/>
      <c r="Q18" s="13"/>
      <c r="R18" s="13"/>
      <c r="S18" s="13"/>
      <c r="T18" s="7"/>
      <c r="V18" s="5"/>
      <c r="W18" s="13"/>
      <c r="X18" s="13"/>
      <c r="Y18" s="13"/>
      <c r="Z18" s="13"/>
      <c r="AA18" s="13"/>
      <c r="AB18" s="13"/>
      <c r="AC18" s="13"/>
    </row>
    <row r="19" spans="1:29" x14ac:dyDescent="0.35">
      <c r="A19" s="14" t="s">
        <v>18</v>
      </c>
      <c r="B19" s="15" t="str">
        <f t="shared" ref="B19:I19" si="15">B1</f>
        <v>Operating</v>
      </c>
      <c r="C19" s="15" t="str">
        <f t="shared" si="15"/>
        <v>SPED</v>
      </c>
      <c r="D19" s="15" t="str">
        <f t="shared" si="15"/>
        <v>NSLP</v>
      </c>
      <c r="E19" s="15" t="str">
        <f t="shared" si="15"/>
        <v>Other</v>
      </c>
      <c r="F19" s="15" t="str">
        <f t="shared" si="15"/>
        <v>Title I</v>
      </c>
      <c r="G19" s="15" t="str">
        <f t="shared" si="15"/>
        <v>Title II</v>
      </c>
      <c r="H19" s="15" t="str">
        <f t="shared" si="15"/>
        <v>Title III</v>
      </c>
      <c r="I19" s="15" t="str">
        <f t="shared" si="15"/>
        <v>B&amp;G</v>
      </c>
      <c r="J19" s="16"/>
      <c r="L19" s="15" t="str">
        <f t="shared" ref="L19:S19" si="16">L1</f>
        <v>Operating</v>
      </c>
      <c r="M19" s="15" t="str">
        <f t="shared" si="16"/>
        <v>SPED</v>
      </c>
      <c r="N19" s="15" t="str">
        <f t="shared" si="16"/>
        <v>NSLP</v>
      </c>
      <c r="O19" s="15" t="str">
        <f t="shared" si="16"/>
        <v>Other</v>
      </c>
      <c r="P19" s="15" t="str">
        <f t="shared" si="16"/>
        <v>Title I</v>
      </c>
      <c r="Q19" s="15" t="str">
        <f t="shared" si="16"/>
        <v>Title II</v>
      </c>
      <c r="R19" s="15" t="str">
        <f t="shared" si="16"/>
        <v>Title III</v>
      </c>
      <c r="S19" s="15" t="str">
        <f t="shared" si="16"/>
        <v>New</v>
      </c>
      <c r="T19" s="16"/>
      <c r="V19" s="15" t="str">
        <f t="shared" ref="V19:AC19" si="17">V1</f>
        <v>Operating</v>
      </c>
      <c r="W19" s="15" t="str">
        <f t="shared" si="17"/>
        <v>SPED</v>
      </c>
      <c r="X19" s="15" t="str">
        <f t="shared" si="17"/>
        <v>NSLP</v>
      </c>
      <c r="Y19" s="15" t="str">
        <f t="shared" si="17"/>
        <v>Other</v>
      </c>
      <c r="Z19" s="15" t="str">
        <f t="shared" si="17"/>
        <v>Title I</v>
      </c>
      <c r="AA19" s="15" t="str">
        <f t="shared" si="17"/>
        <v>Title II</v>
      </c>
      <c r="AB19" s="15" t="str">
        <f t="shared" si="17"/>
        <v>Title III</v>
      </c>
      <c r="AC19" s="15" t="str">
        <f t="shared" si="17"/>
        <v>MANN</v>
      </c>
    </row>
    <row r="20" spans="1:29" x14ac:dyDescent="0.35">
      <c r="A20" s="12" t="s">
        <v>19</v>
      </c>
      <c r="B20" s="5"/>
      <c r="C20" s="5">
        <v>56</v>
      </c>
      <c r="D20" s="5"/>
      <c r="E20" s="5"/>
      <c r="F20" s="5"/>
      <c r="G20" s="5"/>
      <c r="H20" s="5"/>
      <c r="I20" s="5">
        <f>SUM(B20:H20)</f>
        <v>56</v>
      </c>
      <c r="J20" s="19">
        <v>0.12</v>
      </c>
      <c r="L20" s="5"/>
      <c r="M20" s="5">
        <v>137</v>
      </c>
      <c r="N20" s="5"/>
      <c r="O20" s="5"/>
      <c r="P20" s="5"/>
      <c r="Q20" s="5"/>
      <c r="R20" s="5"/>
      <c r="S20" s="5">
        <f>SUM(L20:R20)</f>
        <v>137</v>
      </c>
      <c r="T20" s="17" t="s">
        <v>20</v>
      </c>
      <c r="V20" s="5">
        <f>B20+L20</f>
        <v>0</v>
      </c>
      <c r="W20" s="5">
        <f t="shared" ref="W20:Y24" si="18">C20+M20</f>
        <v>193</v>
      </c>
      <c r="X20" s="5">
        <f t="shared" si="18"/>
        <v>0</v>
      </c>
      <c r="Y20" s="5">
        <f t="shared" si="18"/>
        <v>0</v>
      </c>
      <c r="Z20" s="5"/>
      <c r="AA20" s="5"/>
      <c r="AB20" s="5"/>
      <c r="AC20" s="5">
        <f>SUM(V20:AB20)</f>
        <v>193</v>
      </c>
    </row>
    <row r="21" spans="1:29" x14ac:dyDescent="0.35">
      <c r="A21" s="12" t="s">
        <v>21</v>
      </c>
      <c r="B21" s="5">
        <v>144</v>
      </c>
      <c r="C21" s="5"/>
      <c r="D21" s="5"/>
      <c r="E21" s="5"/>
      <c r="F21" s="5"/>
      <c r="G21" s="5"/>
      <c r="H21" s="5"/>
      <c r="I21" s="5">
        <f>SUM(B21:H21)</f>
        <v>144</v>
      </c>
      <c r="J21" s="19">
        <v>0.31</v>
      </c>
      <c r="L21" s="5">
        <v>355</v>
      </c>
      <c r="M21" s="5"/>
      <c r="N21" s="5"/>
      <c r="O21" s="5"/>
      <c r="P21" s="5"/>
      <c r="Q21" s="5"/>
      <c r="R21" s="5"/>
      <c r="S21" s="5">
        <f>SUM(L21:R21)</f>
        <v>355</v>
      </c>
      <c r="T21" s="17"/>
      <c r="V21" s="5">
        <f t="shared" ref="V21:V24" si="19">B21+L21</f>
        <v>499</v>
      </c>
      <c r="W21" s="5">
        <f t="shared" si="18"/>
        <v>0</v>
      </c>
      <c r="X21" s="5">
        <f t="shared" si="18"/>
        <v>0</v>
      </c>
      <c r="Y21" s="5">
        <f t="shared" si="18"/>
        <v>0</v>
      </c>
      <c r="Z21" s="5"/>
      <c r="AA21" s="5"/>
      <c r="AB21" s="5"/>
      <c r="AC21" s="5">
        <f>SUM(V21:AB21)</f>
        <v>499</v>
      </c>
    </row>
    <row r="22" spans="1:29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  <c r="L22" s="10"/>
      <c r="M22" s="10"/>
      <c r="N22" s="10"/>
      <c r="O22" s="10"/>
      <c r="P22" s="10"/>
      <c r="Q22" s="10"/>
      <c r="R22" s="10"/>
      <c r="S22" s="5">
        <f>SUM(L22:R22)</f>
        <v>0</v>
      </c>
      <c r="T22" s="11"/>
      <c r="V22" s="5">
        <f t="shared" si="19"/>
        <v>0</v>
      </c>
      <c r="W22" s="5">
        <f t="shared" si="18"/>
        <v>0</v>
      </c>
      <c r="X22" s="5">
        <f t="shared" si="18"/>
        <v>0</v>
      </c>
      <c r="Y22" s="5">
        <f t="shared" si="18"/>
        <v>0</v>
      </c>
      <c r="Z22" s="10"/>
      <c r="AA22" s="10"/>
      <c r="AB22" s="10"/>
      <c r="AC22" s="5">
        <f>SUM(V22:AB22)</f>
        <v>0</v>
      </c>
    </row>
    <row r="23" spans="1:29" x14ac:dyDescent="0.35">
      <c r="A23" s="12" t="s">
        <v>23</v>
      </c>
      <c r="B23" s="18"/>
      <c r="C23" s="18"/>
      <c r="D23" s="118">
        <v>1</v>
      </c>
      <c r="E23" s="118"/>
      <c r="F23" s="118"/>
      <c r="G23" s="118"/>
      <c r="H23" s="118"/>
      <c r="I23" s="18">
        <f>SUM(B23:H23)</f>
        <v>1</v>
      </c>
      <c r="J23" s="19"/>
      <c r="L23" s="18"/>
      <c r="M23" s="18"/>
      <c r="N23" s="118">
        <v>1</v>
      </c>
      <c r="O23" s="118"/>
      <c r="P23" s="118"/>
      <c r="Q23" s="118"/>
      <c r="R23" s="118"/>
      <c r="S23" s="18">
        <f>SUM(L23:R23)</f>
        <v>1</v>
      </c>
      <c r="T23" s="19"/>
      <c r="V23" s="5">
        <f t="shared" si="19"/>
        <v>0</v>
      </c>
      <c r="W23" s="5">
        <f t="shared" si="18"/>
        <v>0</v>
      </c>
      <c r="X23" s="111">
        <v>1</v>
      </c>
      <c r="Y23" s="5">
        <f t="shared" si="18"/>
        <v>0</v>
      </c>
      <c r="Z23" s="118"/>
      <c r="AA23" s="118"/>
      <c r="AB23" s="118"/>
      <c r="AC23" s="18">
        <f>SUM(V23:AB23)</f>
        <v>1</v>
      </c>
    </row>
    <row r="24" spans="1:29" x14ac:dyDescent="0.35">
      <c r="A24" s="12" t="s">
        <v>24</v>
      </c>
      <c r="B24" s="5">
        <v>4</v>
      </c>
      <c r="C24" s="5"/>
      <c r="D24" s="5"/>
      <c r="E24" s="5"/>
      <c r="F24" s="5"/>
      <c r="G24" s="5"/>
      <c r="H24" s="5"/>
      <c r="I24" s="5">
        <f>SUM(B24:H24)</f>
        <v>4</v>
      </c>
      <c r="J24" s="19">
        <v>0.01</v>
      </c>
      <c r="L24" s="5">
        <v>12</v>
      </c>
      <c r="M24" s="5"/>
      <c r="N24" s="5"/>
      <c r="O24" s="5"/>
      <c r="P24" s="5"/>
      <c r="Q24" s="5"/>
      <c r="R24" s="5"/>
      <c r="S24" s="5">
        <f>SUM(L24:R24)</f>
        <v>12</v>
      </c>
      <c r="T24" s="19"/>
      <c r="V24" s="5">
        <f t="shared" si="19"/>
        <v>16</v>
      </c>
      <c r="W24" s="5">
        <f t="shared" si="18"/>
        <v>0</v>
      </c>
      <c r="X24" s="5">
        <f t="shared" si="18"/>
        <v>0</v>
      </c>
      <c r="Y24" s="5">
        <f t="shared" si="18"/>
        <v>0</v>
      </c>
      <c r="Z24" s="5"/>
      <c r="AA24" s="5"/>
      <c r="AB24" s="5"/>
      <c r="AC24" s="5">
        <f>SUM(V24:AB24)</f>
        <v>16</v>
      </c>
    </row>
    <row r="25" spans="1:29" x14ac:dyDescent="0.35">
      <c r="A25" s="12"/>
      <c r="B25" s="5"/>
      <c r="C25" s="5"/>
      <c r="D25" s="5"/>
      <c r="E25" s="5"/>
      <c r="F25" s="5"/>
      <c r="G25" s="5"/>
      <c r="H25" s="5"/>
      <c r="I25" s="5"/>
      <c r="J25" s="7"/>
      <c r="L25" s="5"/>
      <c r="M25" s="5"/>
      <c r="N25" s="5"/>
      <c r="O25" s="5"/>
      <c r="P25" s="5"/>
      <c r="Q25" s="5"/>
      <c r="R25" s="5"/>
      <c r="S25" s="5"/>
      <c r="T25" s="7"/>
      <c r="V25" s="5"/>
      <c r="W25" s="5"/>
      <c r="X25" s="5"/>
      <c r="Y25" s="5"/>
      <c r="Z25" s="5"/>
      <c r="AA25" s="5"/>
      <c r="AB25" s="5"/>
      <c r="AC25" s="5"/>
    </row>
    <row r="26" spans="1:29" x14ac:dyDescent="0.35">
      <c r="A26" s="20" t="s">
        <v>25</v>
      </c>
      <c r="B26" s="15" t="str">
        <f t="shared" ref="B26:I26" si="20">B1</f>
        <v>Operating</v>
      </c>
      <c r="C26" s="15" t="str">
        <f t="shared" si="20"/>
        <v>SPED</v>
      </c>
      <c r="D26" s="15" t="str">
        <f t="shared" si="20"/>
        <v>NSLP</v>
      </c>
      <c r="E26" s="15" t="str">
        <f t="shared" si="20"/>
        <v>Other</v>
      </c>
      <c r="F26" s="15" t="str">
        <f t="shared" si="20"/>
        <v>Title I</v>
      </c>
      <c r="G26" s="15" t="str">
        <f t="shared" si="20"/>
        <v>Title II</v>
      </c>
      <c r="H26" s="15" t="str">
        <f t="shared" si="20"/>
        <v>Title III</v>
      </c>
      <c r="I26" s="15" t="str">
        <f t="shared" si="20"/>
        <v>B&amp;G</v>
      </c>
      <c r="J26" s="16"/>
      <c r="L26" s="15" t="str">
        <f t="shared" ref="L26:S26" si="21">L1</f>
        <v>Operating</v>
      </c>
      <c r="M26" s="15" t="str">
        <f t="shared" si="21"/>
        <v>SPED</v>
      </c>
      <c r="N26" s="15" t="str">
        <f t="shared" si="21"/>
        <v>NSLP</v>
      </c>
      <c r="O26" s="15" t="str">
        <f t="shared" si="21"/>
        <v>Other</v>
      </c>
      <c r="P26" s="15" t="str">
        <f t="shared" si="21"/>
        <v>Title I</v>
      </c>
      <c r="Q26" s="15" t="str">
        <f t="shared" si="21"/>
        <v>Title II</v>
      </c>
      <c r="R26" s="15" t="str">
        <f t="shared" si="21"/>
        <v>Title III</v>
      </c>
      <c r="S26" s="15" t="str">
        <f t="shared" si="21"/>
        <v>New</v>
      </c>
      <c r="T26" s="16"/>
      <c r="V26" s="15" t="str">
        <f t="shared" ref="V26:AC26" si="22">V1</f>
        <v>Operating</v>
      </c>
      <c r="W26" s="15" t="str">
        <f t="shared" si="22"/>
        <v>SPED</v>
      </c>
      <c r="X26" s="15" t="str">
        <f t="shared" si="22"/>
        <v>NSLP</v>
      </c>
      <c r="Y26" s="15" t="str">
        <f t="shared" si="22"/>
        <v>Other</v>
      </c>
      <c r="Z26" s="15" t="str">
        <f t="shared" si="22"/>
        <v>Title I</v>
      </c>
      <c r="AA26" s="15" t="str">
        <f t="shared" si="22"/>
        <v>Title II</v>
      </c>
      <c r="AB26" s="15" t="str">
        <f t="shared" si="22"/>
        <v>Title III</v>
      </c>
      <c r="AC26" s="15" t="str">
        <f t="shared" si="22"/>
        <v>MANN</v>
      </c>
    </row>
    <row r="27" spans="1:29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23">SUM(B27:H27)</f>
        <v>18</v>
      </c>
      <c r="J27" s="17">
        <f>I27/6</f>
        <v>3</v>
      </c>
      <c r="L27" s="21">
        <v>47</v>
      </c>
      <c r="M27" s="21"/>
      <c r="N27" s="21"/>
      <c r="O27" s="21"/>
      <c r="P27" s="21"/>
      <c r="Q27" s="21"/>
      <c r="R27" s="21"/>
      <c r="S27" s="21">
        <f t="shared" ref="S27:S28" si="24">SUM(L27:R27)</f>
        <v>47</v>
      </c>
      <c r="T27" s="17">
        <f>S27/6</f>
        <v>7.833333333333333</v>
      </c>
      <c r="V27" s="21">
        <f>B27+L27</f>
        <v>65</v>
      </c>
      <c r="W27" s="21">
        <f t="shared" ref="W27:Y35" si="25">C27+M27</f>
        <v>0</v>
      </c>
      <c r="X27" s="21">
        <f t="shared" si="25"/>
        <v>0</v>
      </c>
      <c r="Y27" s="21">
        <f t="shared" si="25"/>
        <v>0</v>
      </c>
      <c r="Z27" s="21"/>
      <c r="AA27" s="21"/>
      <c r="AB27" s="21"/>
      <c r="AC27" s="21">
        <f t="shared" ref="AC27:AC28" si="26">SUM(V27:AB27)</f>
        <v>65</v>
      </c>
    </row>
    <row r="28" spans="1:29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23"/>
        <v>3</v>
      </c>
      <c r="J28" s="17">
        <f>I20/21</f>
        <v>2.6666666666666665</v>
      </c>
      <c r="L28" s="22">
        <v>0</v>
      </c>
      <c r="M28" s="22">
        <v>5.5</v>
      </c>
      <c r="N28" s="22"/>
      <c r="O28" s="22"/>
      <c r="P28" s="22"/>
      <c r="Q28" s="22"/>
      <c r="R28" s="22"/>
      <c r="S28" s="21">
        <f t="shared" si="24"/>
        <v>5.5</v>
      </c>
      <c r="T28" s="17">
        <f>S20/21</f>
        <v>6.5238095238095237</v>
      </c>
      <c r="V28" s="21">
        <f t="shared" ref="V28:V35" si="27">B28+L28</f>
        <v>0</v>
      </c>
      <c r="W28" s="21">
        <f t="shared" si="25"/>
        <v>8.5</v>
      </c>
      <c r="X28" s="21">
        <f t="shared" si="25"/>
        <v>0</v>
      </c>
      <c r="Y28" s="21">
        <f t="shared" si="25"/>
        <v>0</v>
      </c>
      <c r="Z28" s="22"/>
      <c r="AA28" s="22"/>
      <c r="AB28" s="22"/>
      <c r="AC28" s="21">
        <f t="shared" si="26"/>
        <v>8.5</v>
      </c>
    </row>
    <row r="29" spans="1:29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  <c r="L29" s="21">
        <v>2</v>
      </c>
      <c r="M29" s="21"/>
      <c r="N29" s="21"/>
      <c r="O29" s="21"/>
      <c r="P29" s="21"/>
      <c r="Q29" s="21"/>
      <c r="R29" s="21"/>
      <c r="S29" s="21">
        <f>SUM(L29:R29)</f>
        <v>2</v>
      </c>
      <c r="T29" s="11"/>
      <c r="V29" s="21">
        <f t="shared" si="27"/>
        <v>3</v>
      </c>
      <c r="W29" s="21">
        <f t="shared" si="25"/>
        <v>0</v>
      </c>
      <c r="X29" s="21">
        <f t="shared" si="25"/>
        <v>0</v>
      </c>
      <c r="Y29" s="21">
        <f t="shared" si="25"/>
        <v>0</v>
      </c>
      <c r="Z29" s="21"/>
      <c r="AA29" s="21"/>
      <c r="AB29" s="21"/>
      <c r="AC29" s="21">
        <f>SUM(V29:AB29)</f>
        <v>3</v>
      </c>
    </row>
    <row r="30" spans="1:29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23"/>
        <v>1</v>
      </c>
      <c r="J30" s="11"/>
      <c r="L30" s="21">
        <v>2</v>
      </c>
      <c r="M30" s="21"/>
      <c r="N30" s="21"/>
      <c r="O30" s="21"/>
      <c r="P30" s="21"/>
      <c r="Q30" s="21"/>
      <c r="R30" s="21"/>
      <c r="S30" s="21">
        <f t="shared" ref="S30:S32" si="28">SUM(L30:R30)</f>
        <v>2</v>
      </c>
      <c r="T30" s="11"/>
      <c r="V30" s="21">
        <f t="shared" si="27"/>
        <v>3</v>
      </c>
      <c r="W30" s="21">
        <f t="shared" si="25"/>
        <v>0</v>
      </c>
      <c r="X30" s="21">
        <f t="shared" si="25"/>
        <v>0</v>
      </c>
      <c r="Y30" s="21">
        <f t="shared" si="25"/>
        <v>0</v>
      </c>
      <c r="Z30" s="21"/>
      <c r="AA30" s="21"/>
      <c r="AB30" s="21"/>
      <c r="AC30" s="21">
        <f t="shared" ref="AC30:AC32" si="29">SUM(V30:AB30)</f>
        <v>3</v>
      </c>
    </row>
    <row r="31" spans="1:29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23"/>
        <v>1</v>
      </c>
      <c r="J31" s="11"/>
      <c r="L31" s="21">
        <v>2</v>
      </c>
      <c r="M31" s="21"/>
      <c r="N31" s="21"/>
      <c r="O31" s="21"/>
      <c r="P31" s="21"/>
      <c r="Q31" s="21"/>
      <c r="R31" s="21"/>
      <c r="S31" s="21">
        <f t="shared" si="28"/>
        <v>2</v>
      </c>
      <c r="T31" s="11"/>
      <c r="V31" s="21">
        <f t="shared" si="27"/>
        <v>3</v>
      </c>
      <c r="W31" s="21">
        <f t="shared" si="25"/>
        <v>0</v>
      </c>
      <c r="X31" s="21">
        <f t="shared" si="25"/>
        <v>0</v>
      </c>
      <c r="Y31" s="21">
        <f t="shared" si="25"/>
        <v>0</v>
      </c>
      <c r="Z31" s="21"/>
      <c r="AA31" s="21"/>
      <c r="AB31" s="21"/>
      <c r="AC31" s="21">
        <f t="shared" si="29"/>
        <v>3</v>
      </c>
    </row>
    <row r="32" spans="1:29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23"/>
        <v>0</v>
      </c>
      <c r="J32" s="11"/>
      <c r="L32" s="21">
        <v>0</v>
      </c>
      <c r="M32" s="21"/>
      <c r="N32" s="21"/>
      <c r="O32" s="21"/>
      <c r="P32" s="21"/>
      <c r="Q32" s="21"/>
      <c r="R32" s="21"/>
      <c r="S32" s="21">
        <f t="shared" si="28"/>
        <v>0</v>
      </c>
      <c r="T32" s="11"/>
      <c r="V32" s="21">
        <f t="shared" si="27"/>
        <v>0</v>
      </c>
      <c r="W32" s="21">
        <f t="shared" si="25"/>
        <v>0</v>
      </c>
      <c r="X32" s="21">
        <f t="shared" si="25"/>
        <v>0</v>
      </c>
      <c r="Y32" s="21">
        <f t="shared" si="25"/>
        <v>0</v>
      </c>
      <c r="Z32" s="21"/>
      <c r="AA32" s="21"/>
      <c r="AB32" s="21"/>
      <c r="AC32" s="21">
        <f t="shared" si="29"/>
        <v>0</v>
      </c>
    </row>
    <row r="33" spans="1:29" x14ac:dyDescent="0.35">
      <c r="A33" s="100" t="s">
        <v>32</v>
      </c>
      <c r="B33" s="21">
        <v>0</v>
      </c>
      <c r="C33" s="21"/>
      <c r="D33" s="21"/>
      <c r="E33" s="21"/>
      <c r="F33" s="21"/>
      <c r="G33" s="21"/>
      <c r="H33" s="21"/>
      <c r="I33" s="21">
        <f>SUM(B33:H33)</f>
        <v>0</v>
      </c>
      <c r="J33" s="11"/>
      <c r="L33" s="21">
        <v>0</v>
      </c>
      <c r="M33" s="21"/>
      <c r="N33" s="21"/>
      <c r="O33" s="21"/>
      <c r="P33" s="21"/>
      <c r="Q33" s="21"/>
      <c r="R33" s="21"/>
      <c r="S33" s="21">
        <f>SUM(L33:R33)</f>
        <v>0</v>
      </c>
      <c r="T33" s="11"/>
      <c r="V33" s="21">
        <f t="shared" si="27"/>
        <v>0</v>
      </c>
      <c r="W33" s="21">
        <f t="shared" si="25"/>
        <v>0</v>
      </c>
      <c r="X33" s="21">
        <f t="shared" si="25"/>
        <v>0</v>
      </c>
      <c r="Y33" s="21">
        <f t="shared" si="25"/>
        <v>0</v>
      </c>
      <c r="Z33" s="21"/>
      <c r="AA33" s="21"/>
      <c r="AB33" s="21"/>
      <c r="AC33" s="21">
        <f>SUM(V33:AB33)</f>
        <v>0</v>
      </c>
    </row>
    <row r="34" spans="1:29" x14ac:dyDescent="0.35">
      <c r="A34" s="100" t="s">
        <v>33</v>
      </c>
      <c r="B34" s="21">
        <v>0</v>
      </c>
      <c r="C34" s="21"/>
      <c r="D34" s="21"/>
      <c r="E34" s="21"/>
      <c r="F34" s="21"/>
      <c r="G34" s="21"/>
      <c r="H34" s="21"/>
      <c r="I34" s="21">
        <f>SUM(B34:H34)</f>
        <v>0</v>
      </c>
      <c r="J34" s="11"/>
      <c r="L34" s="21">
        <v>2</v>
      </c>
      <c r="M34" s="21"/>
      <c r="N34" s="21"/>
      <c r="O34" s="21"/>
      <c r="P34" s="21"/>
      <c r="Q34" s="21"/>
      <c r="R34" s="21"/>
      <c r="S34" s="21">
        <f>SUM(L34:R34)</f>
        <v>2</v>
      </c>
      <c r="T34" s="11"/>
      <c r="V34" s="21">
        <f t="shared" si="27"/>
        <v>2</v>
      </c>
      <c r="W34" s="21">
        <f t="shared" si="25"/>
        <v>0</v>
      </c>
      <c r="X34" s="21">
        <f t="shared" si="25"/>
        <v>0</v>
      </c>
      <c r="Y34" s="21">
        <f t="shared" si="25"/>
        <v>0</v>
      </c>
      <c r="Z34" s="21"/>
      <c r="AA34" s="21"/>
      <c r="AB34" s="21"/>
      <c r="AC34" s="21">
        <f>SUM(V34:AB34)</f>
        <v>2</v>
      </c>
    </row>
    <row r="35" spans="1:29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  <c r="L35" s="21">
        <v>0</v>
      </c>
      <c r="M35" s="21"/>
      <c r="N35" s="21"/>
      <c r="O35" s="21"/>
      <c r="P35" s="21"/>
      <c r="Q35" s="21"/>
      <c r="R35" s="21"/>
      <c r="S35" s="21">
        <f>SUM(L35:R35)</f>
        <v>0</v>
      </c>
      <c r="T35" s="11"/>
      <c r="V35" s="21">
        <f t="shared" si="27"/>
        <v>0</v>
      </c>
      <c r="W35" s="21">
        <f t="shared" si="25"/>
        <v>0</v>
      </c>
      <c r="X35" s="21">
        <f t="shared" si="25"/>
        <v>0</v>
      </c>
      <c r="Y35" s="21">
        <f t="shared" si="25"/>
        <v>0</v>
      </c>
      <c r="Z35" s="21"/>
      <c r="AA35" s="21"/>
      <c r="AB35" s="21"/>
      <c r="AC35" s="21">
        <f>SUM(V35:AB35)</f>
        <v>0</v>
      </c>
    </row>
    <row r="36" spans="1:29" x14ac:dyDescent="0.35">
      <c r="A36" s="20" t="s">
        <v>37</v>
      </c>
      <c r="B36" s="24">
        <f>SUM(B27:B35)</f>
        <v>21</v>
      </c>
      <c r="C36" s="24">
        <f t="shared" ref="C36:H36" si="30">SUM(C27:C35)</f>
        <v>3</v>
      </c>
      <c r="D36" s="24">
        <f t="shared" si="30"/>
        <v>0</v>
      </c>
      <c r="E36" s="24"/>
      <c r="F36" s="24">
        <f t="shared" si="30"/>
        <v>0</v>
      </c>
      <c r="G36" s="24">
        <f t="shared" si="30"/>
        <v>0</v>
      </c>
      <c r="H36" s="24">
        <f t="shared" si="30"/>
        <v>0</v>
      </c>
      <c r="I36" s="24">
        <f>SUM(I27:I35)</f>
        <v>24</v>
      </c>
      <c r="J36" s="7"/>
      <c r="L36" s="24">
        <f>SUM(L27:L35)</f>
        <v>55</v>
      </c>
      <c r="M36" s="24">
        <f t="shared" ref="M36:N36" si="31">SUM(M27:M35)</f>
        <v>5.5</v>
      </c>
      <c r="N36" s="24">
        <f t="shared" si="31"/>
        <v>0</v>
      </c>
      <c r="O36" s="24"/>
      <c r="P36" s="24">
        <f t="shared" ref="P36:R36" si="32">SUM(P27:P35)</f>
        <v>0</v>
      </c>
      <c r="Q36" s="24">
        <f t="shared" si="32"/>
        <v>0</v>
      </c>
      <c r="R36" s="24">
        <f t="shared" si="32"/>
        <v>0</v>
      </c>
      <c r="S36" s="24">
        <f>SUM(S27:S35)</f>
        <v>60.5</v>
      </c>
      <c r="T36" s="7"/>
      <c r="V36" s="24">
        <f>SUM(V27:V35)</f>
        <v>76</v>
      </c>
      <c r="W36" s="24">
        <f t="shared" ref="W36:X36" si="33">SUM(W27:W35)</f>
        <v>8.5</v>
      </c>
      <c r="X36" s="24">
        <f t="shared" si="33"/>
        <v>0</v>
      </c>
      <c r="Y36" s="24"/>
      <c r="Z36" s="24">
        <f t="shared" ref="Z36:AB36" si="34">SUM(Z27:Z35)</f>
        <v>0</v>
      </c>
      <c r="AA36" s="24">
        <f t="shared" si="34"/>
        <v>0</v>
      </c>
      <c r="AB36" s="24">
        <f t="shared" si="34"/>
        <v>0</v>
      </c>
      <c r="AC36" s="24">
        <f>SUM(AC27:AC35)</f>
        <v>84.5</v>
      </c>
    </row>
    <row r="37" spans="1:29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  <c r="L37" s="5"/>
      <c r="M37" s="5"/>
      <c r="N37" s="5"/>
      <c r="O37" s="5"/>
      <c r="P37" s="5"/>
      <c r="Q37" s="5"/>
      <c r="R37" s="5"/>
      <c r="S37" s="5"/>
      <c r="T37" s="7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20" t="s">
        <v>39</v>
      </c>
      <c r="B38" s="15" t="str">
        <f t="shared" ref="B38:I38" si="35">B1</f>
        <v>Operating</v>
      </c>
      <c r="C38" s="15" t="str">
        <f t="shared" si="35"/>
        <v>SPED</v>
      </c>
      <c r="D38" s="15" t="str">
        <f t="shared" si="35"/>
        <v>NSLP</v>
      </c>
      <c r="E38" s="15" t="str">
        <f t="shared" si="35"/>
        <v>Other</v>
      </c>
      <c r="F38" s="15" t="str">
        <f t="shared" si="35"/>
        <v>Title I</v>
      </c>
      <c r="G38" s="15" t="str">
        <f t="shared" si="35"/>
        <v>Title II</v>
      </c>
      <c r="H38" s="15" t="str">
        <f t="shared" si="35"/>
        <v>Title III</v>
      </c>
      <c r="I38" s="15" t="str">
        <f t="shared" si="35"/>
        <v>B&amp;G</v>
      </c>
      <c r="J38" s="16"/>
      <c r="L38" s="15" t="str">
        <f t="shared" ref="L38:S38" si="36">L1</f>
        <v>Operating</v>
      </c>
      <c r="M38" s="15" t="str">
        <f t="shared" si="36"/>
        <v>SPED</v>
      </c>
      <c r="N38" s="15" t="str">
        <f t="shared" si="36"/>
        <v>NSLP</v>
      </c>
      <c r="O38" s="15" t="str">
        <f t="shared" si="36"/>
        <v>Other</v>
      </c>
      <c r="P38" s="15" t="str">
        <f t="shared" si="36"/>
        <v>Title I</v>
      </c>
      <c r="Q38" s="15" t="str">
        <f t="shared" si="36"/>
        <v>Title II</v>
      </c>
      <c r="R38" s="15" t="str">
        <f t="shared" si="36"/>
        <v>Title III</v>
      </c>
      <c r="S38" s="15" t="str">
        <f t="shared" si="36"/>
        <v>New</v>
      </c>
      <c r="T38" s="16"/>
      <c r="V38" s="15" t="str">
        <f t="shared" ref="V38:AC38" si="37">V1</f>
        <v>Operating</v>
      </c>
      <c r="W38" s="15" t="str">
        <f t="shared" si="37"/>
        <v>SPED</v>
      </c>
      <c r="X38" s="15" t="str">
        <f t="shared" si="37"/>
        <v>NSLP</v>
      </c>
      <c r="Y38" s="15" t="str">
        <f t="shared" si="37"/>
        <v>Other</v>
      </c>
      <c r="Z38" s="15" t="str">
        <f t="shared" si="37"/>
        <v>Title I</v>
      </c>
      <c r="AA38" s="15" t="str">
        <f t="shared" si="37"/>
        <v>Title II</v>
      </c>
      <c r="AB38" s="15" t="str">
        <f t="shared" si="37"/>
        <v>Title III</v>
      </c>
      <c r="AC38" s="15" t="str">
        <f t="shared" si="37"/>
        <v>MANN</v>
      </c>
    </row>
    <row r="39" spans="1:29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38">SUM(B39:H39)</f>
        <v>1</v>
      </c>
      <c r="J39" s="11"/>
      <c r="L39" s="22">
        <v>1</v>
      </c>
      <c r="M39" s="22"/>
      <c r="N39" s="22"/>
      <c r="O39" s="22"/>
      <c r="P39" s="22"/>
      <c r="Q39" s="22"/>
      <c r="R39" s="22"/>
      <c r="S39" s="21">
        <f t="shared" ref="S39" si="39">SUM(L39:R39)</f>
        <v>1</v>
      </c>
      <c r="T39" s="11"/>
      <c r="V39" s="22">
        <f>B39+L39</f>
        <v>2</v>
      </c>
      <c r="W39" s="22">
        <f t="shared" ref="W39:Y54" si="40">C39+M39</f>
        <v>0</v>
      </c>
      <c r="X39" s="22">
        <f t="shared" si="40"/>
        <v>0</v>
      </c>
      <c r="Y39" s="22">
        <f t="shared" si="40"/>
        <v>0</v>
      </c>
      <c r="Z39" s="22"/>
      <c r="AA39" s="22"/>
      <c r="AB39" s="22"/>
      <c r="AC39" s="21">
        <f t="shared" ref="AC39" si="41">SUM(V39:AB39)</f>
        <v>2</v>
      </c>
    </row>
    <row r="40" spans="1:29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  <c r="L40" s="22">
        <v>3</v>
      </c>
      <c r="M40" s="22"/>
      <c r="N40" s="22"/>
      <c r="O40" s="22"/>
      <c r="P40" s="22"/>
      <c r="Q40" s="22"/>
      <c r="R40" s="22"/>
      <c r="S40" s="21">
        <f>SUM(L40:R40)</f>
        <v>3</v>
      </c>
      <c r="T40" s="11"/>
      <c r="V40" s="22">
        <f t="shared" ref="V40:Y60" si="42">B40+L40</f>
        <v>4</v>
      </c>
      <c r="W40" s="22">
        <f t="shared" si="40"/>
        <v>0</v>
      </c>
      <c r="X40" s="22">
        <f t="shared" si="40"/>
        <v>0</v>
      </c>
      <c r="Y40" s="22">
        <f t="shared" si="40"/>
        <v>0</v>
      </c>
      <c r="Z40" s="22"/>
      <c r="AA40" s="22"/>
      <c r="AB40" s="22"/>
      <c r="AC40" s="21">
        <f>SUM(V40:AB40)</f>
        <v>4</v>
      </c>
    </row>
    <row r="41" spans="1:29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  <c r="L41" s="22">
        <v>1</v>
      </c>
      <c r="M41" s="22"/>
      <c r="N41" s="22"/>
      <c r="O41" s="22"/>
      <c r="P41" s="22"/>
      <c r="Q41" s="22"/>
      <c r="R41" s="22"/>
      <c r="S41" s="21">
        <f>SUM(L41:R41)</f>
        <v>1</v>
      </c>
      <c r="T41" s="11"/>
      <c r="V41" s="22">
        <f t="shared" si="42"/>
        <v>1</v>
      </c>
      <c r="W41" s="22">
        <f t="shared" si="40"/>
        <v>0</v>
      </c>
      <c r="X41" s="22">
        <f t="shared" si="40"/>
        <v>0</v>
      </c>
      <c r="Y41" s="22">
        <f t="shared" si="40"/>
        <v>0</v>
      </c>
      <c r="Z41" s="22"/>
      <c r="AA41" s="22"/>
      <c r="AB41" s="22"/>
      <c r="AC41" s="21">
        <f>SUM(V41:AB41)</f>
        <v>1</v>
      </c>
    </row>
    <row r="42" spans="1:29" x14ac:dyDescent="0.35">
      <c r="A42" s="27" t="s">
        <v>36</v>
      </c>
      <c r="B42" s="22">
        <v>0</v>
      </c>
      <c r="C42" s="22"/>
      <c r="D42" s="22"/>
      <c r="E42" s="22"/>
      <c r="F42" s="22"/>
      <c r="G42" s="22"/>
      <c r="H42" s="22"/>
      <c r="I42" s="21">
        <f>SUM(B42:H42)</f>
        <v>0</v>
      </c>
      <c r="J42" s="11"/>
      <c r="L42" s="22">
        <v>0</v>
      </c>
      <c r="M42" s="22"/>
      <c r="N42" s="22"/>
      <c r="O42" s="22"/>
      <c r="P42" s="22"/>
      <c r="Q42" s="22"/>
      <c r="R42" s="22"/>
      <c r="S42" s="21">
        <f>SUM(L42:R42)</f>
        <v>0</v>
      </c>
      <c r="T42" s="11"/>
      <c r="V42" s="22">
        <f t="shared" si="42"/>
        <v>0</v>
      </c>
      <c r="W42" s="22">
        <f t="shared" si="40"/>
        <v>0</v>
      </c>
      <c r="X42" s="22">
        <f t="shared" si="40"/>
        <v>0</v>
      </c>
      <c r="Y42" s="22">
        <f t="shared" si="40"/>
        <v>0</v>
      </c>
      <c r="Z42" s="22"/>
      <c r="AA42" s="22"/>
      <c r="AB42" s="22"/>
      <c r="AC42" s="21">
        <f>SUM(V42:AB42)</f>
        <v>0</v>
      </c>
    </row>
    <row r="43" spans="1:29" x14ac:dyDescent="0.35">
      <c r="A43" s="27" t="s">
        <v>38</v>
      </c>
      <c r="B43" s="22">
        <v>1</v>
      </c>
      <c r="C43" s="22"/>
      <c r="D43" s="22"/>
      <c r="E43" s="22"/>
      <c r="F43" s="22"/>
      <c r="G43" s="22"/>
      <c r="H43" s="22"/>
      <c r="I43" s="21">
        <f>SUM(B43:H43)</f>
        <v>1</v>
      </c>
      <c r="J43" s="11"/>
      <c r="L43" s="22">
        <v>2</v>
      </c>
      <c r="M43" s="22"/>
      <c r="N43" s="22"/>
      <c r="O43" s="22"/>
      <c r="P43" s="22"/>
      <c r="Q43" s="22"/>
      <c r="R43" s="22"/>
      <c r="S43" s="21">
        <f>SUM(L43:R43)</f>
        <v>2</v>
      </c>
      <c r="T43" s="11"/>
      <c r="V43" s="22">
        <f t="shared" si="42"/>
        <v>3</v>
      </c>
      <c r="W43" s="22">
        <f t="shared" si="40"/>
        <v>0</v>
      </c>
      <c r="X43" s="22">
        <f t="shared" si="40"/>
        <v>0</v>
      </c>
      <c r="Y43" s="22">
        <f t="shared" si="40"/>
        <v>0</v>
      </c>
      <c r="Z43" s="22"/>
      <c r="AA43" s="22"/>
      <c r="AB43" s="22"/>
      <c r="AC43" s="21">
        <f>SUM(V43:AB43)</f>
        <v>3</v>
      </c>
    </row>
    <row r="44" spans="1:29" x14ac:dyDescent="0.35">
      <c r="A44" s="27" t="s">
        <v>46</v>
      </c>
      <c r="B44" s="22">
        <v>1</v>
      </c>
      <c r="C44" s="22"/>
      <c r="D44" s="22"/>
      <c r="E44" s="22"/>
      <c r="F44" s="22"/>
      <c r="G44" s="22"/>
      <c r="H44" s="22"/>
      <c r="I44" s="21">
        <f>SUM(B44:H44)</f>
        <v>1</v>
      </c>
      <c r="J44" s="11"/>
      <c r="L44" s="22">
        <v>2</v>
      </c>
      <c r="M44" s="22"/>
      <c r="N44" s="22"/>
      <c r="O44" s="22"/>
      <c r="P44" s="22"/>
      <c r="Q44" s="22"/>
      <c r="R44" s="22"/>
      <c r="S44" s="21">
        <f>SUM(L44:R44)</f>
        <v>2</v>
      </c>
      <c r="T44" s="11"/>
      <c r="V44" s="22">
        <f t="shared" si="42"/>
        <v>3</v>
      </c>
      <c r="W44" s="22">
        <f t="shared" si="40"/>
        <v>0</v>
      </c>
      <c r="X44" s="22">
        <f t="shared" si="40"/>
        <v>0</v>
      </c>
      <c r="Y44" s="22">
        <f t="shared" si="40"/>
        <v>0</v>
      </c>
      <c r="Z44" s="22"/>
      <c r="AA44" s="22"/>
      <c r="AB44" s="22"/>
      <c r="AC44" s="21">
        <f>SUM(V44:AB44)</f>
        <v>3</v>
      </c>
    </row>
    <row r="45" spans="1:29" x14ac:dyDescent="0.35">
      <c r="A45" s="27" t="s">
        <v>48</v>
      </c>
      <c r="B45" s="22">
        <v>0</v>
      </c>
      <c r="C45" s="22"/>
      <c r="D45" s="22"/>
      <c r="E45" s="22"/>
      <c r="F45" s="22"/>
      <c r="G45" s="22"/>
      <c r="H45" s="22"/>
      <c r="I45" s="21">
        <f t="shared" si="38"/>
        <v>0</v>
      </c>
      <c r="J45" s="11"/>
      <c r="L45" s="22">
        <v>1</v>
      </c>
      <c r="M45" s="22"/>
      <c r="N45" s="22"/>
      <c r="O45" s="22"/>
      <c r="P45" s="22"/>
      <c r="Q45" s="22"/>
      <c r="R45" s="22"/>
      <c r="S45" s="21">
        <f t="shared" ref="S45:S46" si="43">SUM(L45:R45)</f>
        <v>1</v>
      </c>
      <c r="T45" s="11"/>
      <c r="V45" s="22">
        <f t="shared" si="42"/>
        <v>1</v>
      </c>
      <c r="W45" s="22">
        <f t="shared" si="40"/>
        <v>0</v>
      </c>
      <c r="X45" s="22">
        <f t="shared" si="40"/>
        <v>0</v>
      </c>
      <c r="Y45" s="22">
        <f t="shared" si="40"/>
        <v>0</v>
      </c>
      <c r="Z45" s="22"/>
      <c r="AA45" s="22"/>
      <c r="AB45" s="22"/>
      <c r="AC45" s="21">
        <f t="shared" ref="AC45:AC46" si="44">SUM(V45:AB45)</f>
        <v>1</v>
      </c>
    </row>
    <row r="46" spans="1:29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38"/>
        <v>1</v>
      </c>
      <c r="J46" s="11"/>
      <c r="L46" s="22">
        <v>2</v>
      </c>
      <c r="M46" s="22"/>
      <c r="N46" s="22"/>
      <c r="O46" s="22"/>
      <c r="P46" s="22"/>
      <c r="Q46" s="22"/>
      <c r="R46" s="22"/>
      <c r="S46" s="21">
        <f t="shared" si="43"/>
        <v>2</v>
      </c>
      <c r="T46" s="11"/>
      <c r="V46" s="22">
        <f t="shared" si="42"/>
        <v>3</v>
      </c>
      <c r="W46" s="22">
        <f t="shared" si="40"/>
        <v>0</v>
      </c>
      <c r="X46" s="22">
        <f t="shared" si="40"/>
        <v>0</v>
      </c>
      <c r="Y46" s="22">
        <f t="shared" si="40"/>
        <v>0</v>
      </c>
      <c r="Z46" s="22"/>
      <c r="AA46" s="22"/>
      <c r="AB46" s="22"/>
      <c r="AC46" s="21">
        <f t="shared" si="44"/>
        <v>3</v>
      </c>
    </row>
    <row r="47" spans="1:29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  <c r="L47" s="22">
        <v>1</v>
      </c>
      <c r="M47" s="22"/>
      <c r="N47" s="22"/>
      <c r="O47" s="22"/>
      <c r="P47" s="22"/>
      <c r="Q47" s="22"/>
      <c r="R47" s="22"/>
      <c r="S47" s="21">
        <f>SUM(L47:R47)</f>
        <v>1</v>
      </c>
      <c r="T47" s="11"/>
      <c r="V47" s="22">
        <f t="shared" si="42"/>
        <v>2</v>
      </c>
      <c r="W47" s="22">
        <f t="shared" si="40"/>
        <v>0</v>
      </c>
      <c r="X47" s="22">
        <f t="shared" si="40"/>
        <v>0</v>
      </c>
      <c r="Y47" s="22">
        <f t="shared" si="40"/>
        <v>0</v>
      </c>
      <c r="Z47" s="22"/>
      <c r="AA47" s="22"/>
      <c r="AB47" s="22"/>
      <c r="AC47" s="21">
        <f>SUM(V47:AB47)</f>
        <v>2</v>
      </c>
    </row>
    <row r="48" spans="1:29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38"/>
        <v>1</v>
      </c>
      <c r="J48" s="11"/>
      <c r="L48" s="22">
        <v>1</v>
      </c>
      <c r="M48" s="22"/>
      <c r="N48" s="22"/>
      <c r="O48" s="22"/>
      <c r="P48" s="22"/>
      <c r="Q48" s="22"/>
      <c r="R48" s="22"/>
      <c r="S48" s="21">
        <f t="shared" ref="S48" si="45">SUM(L48:R48)</f>
        <v>1</v>
      </c>
      <c r="T48" s="11"/>
      <c r="V48" s="22">
        <f t="shared" si="42"/>
        <v>2</v>
      </c>
      <c r="W48" s="22">
        <f t="shared" si="40"/>
        <v>0</v>
      </c>
      <c r="X48" s="22">
        <f t="shared" si="40"/>
        <v>0</v>
      </c>
      <c r="Y48" s="22">
        <f t="shared" si="40"/>
        <v>0</v>
      </c>
      <c r="Z48" s="22"/>
      <c r="AA48" s="22"/>
      <c r="AB48" s="22"/>
      <c r="AC48" s="21">
        <f t="shared" ref="AC48" si="46">SUM(V48:AB48)</f>
        <v>2</v>
      </c>
    </row>
    <row r="49" spans="1:29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  <c r="L49" s="22">
        <v>1</v>
      </c>
      <c r="M49" s="22"/>
      <c r="N49" s="22"/>
      <c r="O49" s="22"/>
      <c r="P49" s="22"/>
      <c r="Q49" s="22"/>
      <c r="R49" s="22"/>
      <c r="S49" s="21">
        <f>SUM(L49:R49)</f>
        <v>1</v>
      </c>
      <c r="T49" s="11"/>
      <c r="V49" s="22">
        <f t="shared" si="42"/>
        <v>1</v>
      </c>
      <c r="W49" s="22">
        <f t="shared" si="40"/>
        <v>0</v>
      </c>
      <c r="X49" s="22">
        <f t="shared" si="40"/>
        <v>0</v>
      </c>
      <c r="Y49" s="22">
        <f t="shared" si="40"/>
        <v>0</v>
      </c>
      <c r="Z49" s="22"/>
      <c r="AA49" s="22"/>
      <c r="AB49" s="22"/>
      <c r="AC49" s="21">
        <f>SUM(V49:AB49)</f>
        <v>1</v>
      </c>
    </row>
    <row r="50" spans="1:29" x14ac:dyDescent="0.35">
      <c r="A50" s="25" t="s">
        <v>51</v>
      </c>
      <c r="B50" s="22">
        <v>5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10</v>
      </c>
      <c r="J50" s="11"/>
      <c r="L50" s="22">
        <v>6</v>
      </c>
      <c r="M50" s="22">
        <v>5</v>
      </c>
      <c r="N50" s="22">
        <v>3</v>
      </c>
      <c r="O50" s="22"/>
      <c r="P50" s="22"/>
      <c r="Q50" s="22"/>
      <c r="R50" s="22"/>
      <c r="S50" s="21">
        <f>SUM(L50:R50)</f>
        <v>14</v>
      </c>
      <c r="T50" s="11"/>
      <c r="V50" s="22">
        <f t="shared" si="42"/>
        <v>11</v>
      </c>
      <c r="W50" s="22">
        <f t="shared" si="40"/>
        <v>8</v>
      </c>
      <c r="X50" s="22">
        <f t="shared" si="40"/>
        <v>5</v>
      </c>
      <c r="Y50" s="22">
        <f t="shared" si="40"/>
        <v>0</v>
      </c>
      <c r="Z50" s="22"/>
      <c r="AA50" s="22"/>
      <c r="AB50" s="22"/>
      <c r="AC50" s="21">
        <f>SUM(V50:AB50)</f>
        <v>24</v>
      </c>
    </row>
    <row r="51" spans="1:29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38"/>
        <v>0</v>
      </c>
      <c r="J51" s="11"/>
      <c r="L51" s="22">
        <v>5</v>
      </c>
      <c r="M51" s="22"/>
      <c r="N51" s="22"/>
      <c r="O51" s="22"/>
      <c r="P51" s="22"/>
      <c r="Q51" s="22"/>
      <c r="R51" s="22"/>
      <c r="S51" s="21">
        <f t="shared" ref="S51" si="47">SUM(L51:R51)</f>
        <v>5</v>
      </c>
      <c r="T51" s="11"/>
      <c r="V51" s="22">
        <f t="shared" si="42"/>
        <v>5</v>
      </c>
      <c r="W51" s="22">
        <f t="shared" si="40"/>
        <v>0</v>
      </c>
      <c r="X51" s="22">
        <f t="shared" si="40"/>
        <v>0</v>
      </c>
      <c r="Y51" s="22">
        <f t="shared" si="40"/>
        <v>0</v>
      </c>
      <c r="Z51" s="22"/>
      <c r="AA51" s="22"/>
      <c r="AB51" s="22"/>
      <c r="AC51" s="21">
        <f t="shared" ref="AC51" si="48">SUM(V51:AB51)</f>
        <v>5</v>
      </c>
    </row>
    <row r="52" spans="1:29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  <c r="L52" s="22"/>
      <c r="M52" s="22"/>
      <c r="N52" s="22">
        <v>1</v>
      </c>
      <c r="O52" s="22"/>
      <c r="P52" s="22"/>
      <c r="Q52" s="22"/>
      <c r="R52" s="22"/>
      <c r="S52" s="21">
        <f>SUM(L52:R52)</f>
        <v>1</v>
      </c>
      <c r="T52" s="11"/>
      <c r="V52" s="22">
        <f t="shared" si="42"/>
        <v>0</v>
      </c>
      <c r="W52" s="22">
        <f t="shared" si="40"/>
        <v>0</v>
      </c>
      <c r="X52" s="22">
        <f t="shared" si="40"/>
        <v>1</v>
      </c>
      <c r="Y52" s="22">
        <f t="shared" si="40"/>
        <v>0</v>
      </c>
      <c r="Z52" s="22"/>
      <c r="AA52" s="22"/>
      <c r="AB52" s="22"/>
      <c r="AC52" s="21">
        <f>SUM(V52:AB52)</f>
        <v>1</v>
      </c>
    </row>
    <row r="53" spans="1:29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38"/>
        <v>0</v>
      </c>
      <c r="J53" s="6"/>
      <c r="L53" s="22">
        <v>0</v>
      </c>
      <c r="M53" s="22"/>
      <c r="N53" s="22"/>
      <c r="O53" s="22"/>
      <c r="P53" s="22"/>
      <c r="Q53" s="22"/>
      <c r="R53" s="22"/>
      <c r="S53" s="21">
        <f t="shared" ref="S53:S55" si="49">SUM(L53:R53)</f>
        <v>0</v>
      </c>
      <c r="T53" s="6"/>
      <c r="V53" s="22">
        <f t="shared" si="42"/>
        <v>0</v>
      </c>
      <c r="W53" s="22">
        <f t="shared" si="40"/>
        <v>0</v>
      </c>
      <c r="X53" s="22">
        <f t="shared" si="40"/>
        <v>0</v>
      </c>
      <c r="Y53" s="22">
        <f t="shared" si="40"/>
        <v>0</v>
      </c>
      <c r="Z53" s="22"/>
      <c r="AA53" s="22"/>
      <c r="AB53" s="22"/>
      <c r="AC53" s="21">
        <f t="shared" ref="AC53:AC55" si="50">SUM(V53:AB53)</f>
        <v>0</v>
      </c>
    </row>
    <row r="54" spans="1:29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38"/>
        <v>0</v>
      </c>
      <c r="J54" s="6"/>
      <c r="L54" s="22"/>
      <c r="M54" s="22">
        <v>0</v>
      </c>
      <c r="N54" s="22"/>
      <c r="O54" s="22"/>
      <c r="P54" s="22"/>
      <c r="Q54" s="22"/>
      <c r="R54" s="22"/>
      <c r="S54" s="21">
        <f t="shared" si="49"/>
        <v>0</v>
      </c>
      <c r="T54" s="6"/>
      <c r="V54" s="22">
        <f t="shared" si="42"/>
        <v>0</v>
      </c>
      <c r="W54" s="22">
        <f t="shared" si="40"/>
        <v>0</v>
      </c>
      <c r="X54" s="22">
        <f t="shared" si="40"/>
        <v>0</v>
      </c>
      <c r="Y54" s="22">
        <f t="shared" si="40"/>
        <v>0</v>
      </c>
      <c r="Z54" s="22"/>
      <c r="AA54" s="22"/>
      <c r="AB54" s="22"/>
      <c r="AC54" s="21">
        <f t="shared" si="50"/>
        <v>0</v>
      </c>
    </row>
    <row r="55" spans="1:29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38"/>
        <v>1</v>
      </c>
      <c r="J55" s="6"/>
      <c r="L55" s="22"/>
      <c r="M55" s="22">
        <v>0</v>
      </c>
      <c r="N55" s="22"/>
      <c r="O55" s="22"/>
      <c r="P55" s="22"/>
      <c r="Q55" s="22"/>
      <c r="R55" s="22"/>
      <c r="S55" s="21">
        <f t="shared" si="49"/>
        <v>0</v>
      </c>
      <c r="T55" s="6"/>
      <c r="V55" s="22">
        <f t="shared" si="42"/>
        <v>0</v>
      </c>
      <c r="W55" s="22">
        <f t="shared" si="42"/>
        <v>1</v>
      </c>
      <c r="X55" s="22">
        <f t="shared" si="42"/>
        <v>0</v>
      </c>
      <c r="Y55" s="22">
        <f t="shared" si="42"/>
        <v>0</v>
      </c>
      <c r="Z55" s="22"/>
      <c r="AA55" s="22"/>
      <c r="AB55" s="22"/>
      <c r="AC55" s="21">
        <f t="shared" si="50"/>
        <v>1</v>
      </c>
    </row>
    <row r="56" spans="1:29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  <c r="L56" s="22"/>
      <c r="M56" s="22">
        <v>0</v>
      </c>
      <c r="N56" s="22"/>
      <c r="O56" s="22"/>
      <c r="P56" s="22"/>
      <c r="Q56" s="22"/>
      <c r="R56" s="22"/>
      <c r="S56" s="21">
        <f>SUM(L56:R56)</f>
        <v>0</v>
      </c>
      <c r="T56" s="6"/>
      <c r="V56" s="22">
        <f t="shared" si="42"/>
        <v>0</v>
      </c>
      <c r="W56" s="22">
        <f t="shared" si="42"/>
        <v>0</v>
      </c>
      <c r="X56" s="22">
        <f t="shared" si="42"/>
        <v>0</v>
      </c>
      <c r="Y56" s="22">
        <f t="shared" si="42"/>
        <v>0</v>
      </c>
      <c r="Z56" s="22"/>
      <c r="AA56" s="22"/>
      <c r="AB56" s="22"/>
      <c r="AC56" s="21">
        <f>SUM(V56:AB56)</f>
        <v>0</v>
      </c>
    </row>
    <row r="57" spans="1:29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38"/>
        <v>0</v>
      </c>
      <c r="J57" s="6"/>
      <c r="L57" s="22"/>
      <c r="M57" s="22"/>
      <c r="N57" s="22"/>
      <c r="O57" s="22"/>
      <c r="P57" s="22"/>
      <c r="Q57" s="22"/>
      <c r="R57" s="22"/>
      <c r="S57" s="21">
        <f t="shared" ref="S57" si="51">SUM(L57:R57)</f>
        <v>0</v>
      </c>
      <c r="T57" s="6"/>
      <c r="V57" s="22">
        <f t="shared" si="42"/>
        <v>0</v>
      </c>
      <c r="W57" s="22">
        <f t="shared" si="42"/>
        <v>0</v>
      </c>
      <c r="X57" s="22">
        <f t="shared" si="42"/>
        <v>0</v>
      </c>
      <c r="Y57" s="22">
        <f t="shared" si="42"/>
        <v>0</v>
      </c>
      <c r="Z57" s="22"/>
      <c r="AA57" s="22"/>
      <c r="AB57" s="22"/>
      <c r="AC57" s="21">
        <f t="shared" ref="AC57" si="52">SUM(V57:AB57)</f>
        <v>0</v>
      </c>
    </row>
    <row r="58" spans="1:29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  <c r="L58" s="22">
        <v>0</v>
      </c>
      <c r="M58" s="22"/>
      <c r="N58" s="22"/>
      <c r="O58" s="22"/>
      <c r="P58" s="22"/>
      <c r="Q58" s="22"/>
      <c r="R58" s="22"/>
      <c r="S58" s="21">
        <f>SUM(L58:R58)</f>
        <v>0</v>
      </c>
      <c r="T58" s="6"/>
      <c r="V58" s="22">
        <f t="shared" si="42"/>
        <v>0</v>
      </c>
      <c r="W58" s="22">
        <f t="shared" si="42"/>
        <v>0</v>
      </c>
      <c r="X58" s="22">
        <f t="shared" si="42"/>
        <v>0</v>
      </c>
      <c r="Y58" s="22">
        <f t="shared" si="42"/>
        <v>0</v>
      </c>
      <c r="Z58" s="22"/>
      <c r="AA58" s="22"/>
      <c r="AB58" s="22"/>
      <c r="AC58" s="21">
        <f>SUM(V58:AB58)</f>
        <v>0</v>
      </c>
    </row>
    <row r="59" spans="1:29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38"/>
        <v>0</v>
      </c>
      <c r="J59" s="6"/>
      <c r="L59" s="22">
        <v>0</v>
      </c>
      <c r="M59" s="22"/>
      <c r="N59" s="22"/>
      <c r="O59" s="22"/>
      <c r="P59" s="22"/>
      <c r="Q59" s="22"/>
      <c r="R59" s="22"/>
      <c r="S59" s="21">
        <f t="shared" ref="S59:S60" si="53">SUM(L59:R59)</f>
        <v>0</v>
      </c>
      <c r="T59" s="6"/>
      <c r="V59" s="22">
        <f t="shared" si="42"/>
        <v>0</v>
      </c>
      <c r="W59" s="22">
        <f t="shared" si="42"/>
        <v>0</v>
      </c>
      <c r="X59" s="22">
        <f t="shared" si="42"/>
        <v>0</v>
      </c>
      <c r="Y59" s="22">
        <f t="shared" si="42"/>
        <v>0</v>
      </c>
      <c r="Z59" s="22"/>
      <c r="AA59" s="22"/>
      <c r="AB59" s="22"/>
      <c r="AC59" s="21">
        <f t="shared" ref="AC59:AC60" si="54">SUM(V59:AB59)</f>
        <v>0</v>
      </c>
    </row>
    <row r="60" spans="1:29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38"/>
        <v>0</v>
      </c>
      <c r="J60" s="6"/>
      <c r="L60" s="21"/>
      <c r="M60" s="21"/>
      <c r="N60" s="21"/>
      <c r="O60" s="21"/>
      <c r="P60" s="21"/>
      <c r="Q60" s="21"/>
      <c r="R60" s="21"/>
      <c r="S60" s="21">
        <f t="shared" si="53"/>
        <v>0</v>
      </c>
      <c r="T60" s="6"/>
      <c r="V60" s="22">
        <f t="shared" si="42"/>
        <v>0</v>
      </c>
      <c r="W60" s="22">
        <f t="shared" si="42"/>
        <v>0</v>
      </c>
      <c r="X60" s="22">
        <f t="shared" si="42"/>
        <v>0</v>
      </c>
      <c r="Y60" s="22">
        <f t="shared" si="42"/>
        <v>0</v>
      </c>
      <c r="Z60" s="21"/>
      <c r="AA60" s="21"/>
      <c r="AB60" s="21"/>
      <c r="AC60" s="21">
        <f t="shared" si="54"/>
        <v>0</v>
      </c>
    </row>
    <row r="61" spans="1:29" x14ac:dyDescent="0.35">
      <c r="A61" s="20" t="s">
        <v>58</v>
      </c>
      <c r="B61" s="28">
        <f t="shared" ref="B61:I61" si="55">SUM(B39:B60)</f>
        <v>12</v>
      </c>
      <c r="C61" s="28">
        <f t="shared" si="55"/>
        <v>4</v>
      </c>
      <c r="D61" s="28">
        <f t="shared" si="55"/>
        <v>2</v>
      </c>
      <c r="E61" s="28">
        <f t="shared" si="55"/>
        <v>0</v>
      </c>
      <c r="F61" s="28">
        <f t="shared" si="55"/>
        <v>0</v>
      </c>
      <c r="G61" s="28">
        <f t="shared" si="55"/>
        <v>0</v>
      </c>
      <c r="H61" s="28">
        <f t="shared" si="55"/>
        <v>0</v>
      </c>
      <c r="I61" s="28">
        <f t="shared" si="55"/>
        <v>18</v>
      </c>
      <c r="J61" s="7"/>
      <c r="L61" s="28">
        <f t="shared" ref="L61:S61" si="56">SUM(L39:L60)</f>
        <v>26</v>
      </c>
      <c r="M61" s="28">
        <f t="shared" si="56"/>
        <v>5</v>
      </c>
      <c r="N61" s="28">
        <f t="shared" si="56"/>
        <v>4</v>
      </c>
      <c r="O61" s="28">
        <f t="shared" si="56"/>
        <v>0</v>
      </c>
      <c r="P61" s="28">
        <f t="shared" si="56"/>
        <v>0</v>
      </c>
      <c r="Q61" s="28">
        <f t="shared" si="56"/>
        <v>0</v>
      </c>
      <c r="R61" s="28">
        <f t="shared" si="56"/>
        <v>0</v>
      </c>
      <c r="S61" s="28">
        <f t="shared" si="56"/>
        <v>35</v>
      </c>
      <c r="T61" s="7"/>
      <c r="V61" s="28">
        <f t="shared" ref="V61:AC61" si="57">SUM(V39:V60)</f>
        <v>38</v>
      </c>
      <c r="W61" s="28">
        <f t="shared" si="57"/>
        <v>9</v>
      </c>
      <c r="X61" s="28">
        <f t="shared" si="57"/>
        <v>6</v>
      </c>
      <c r="Y61" s="28">
        <f t="shared" si="57"/>
        <v>0</v>
      </c>
      <c r="Z61" s="28">
        <f t="shared" si="57"/>
        <v>0</v>
      </c>
      <c r="AA61" s="28">
        <f t="shared" si="57"/>
        <v>0</v>
      </c>
      <c r="AB61" s="28">
        <f t="shared" si="57"/>
        <v>0</v>
      </c>
      <c r="AC61" s="28">
        <f t="shared" si="57"/>
        <v>53</v>
      </c>
    </row>
    <row r="62" spans="1:29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  <c r="L62" s="30"/>
      <c r="M62" s="30"/>
      <c r="N62" s="30"/>
      <c r="O62" s="30"/>
      <c r="P62" s="30"/>
      <c r="Q62" s="30"/>
      <c r="R62" s="30"/>
      <c r="S62" s="30"/>
      <c r="T62" s="7"/>
      <c r="V62" s="30"/>
      <c r="W62" s="30"/>
      <c r="X62" s="30"/>
      <c r="Y62" s="30"/>
      <c r="Z62" s="30"/>
      <c r="AA62" s="30"/>
      <c r="AB62" s="30"/>
      <c r="AC62" s="30"/>
    </row>
    <row r="63" spans="1:29" x14ac:dyDescent="0.35">
      <c r="A63" s="31" t="s">
        <v>59</v>
      </c>
      <c r="B63" s="32">
        <f t="shared" ref="B63:I63" si="58">B36</f>
        <v>21</v>
      </c>
      <c r="C63" s="32">
        <f t="shared" si="58"/>
        <v>3</v>
      </c>
      <c r="D63" s="32">
        <f t="shared" si="58"/>
        <v>0</v>
      </c>
      <c r="E63" s="32">
        <f t="shared" si="58"/>
        <v>0</v>
      </c>
      <c r="F63" s="32">
        <f t="shared" si="58"/>
        <v>0</v>
      </c>
      <c r="G63" s="32">
        <f t="shared" si="58"/>
        <v>0</v>
      </c>
      <c r="H63" s="32">
        <f t="shared" si="58"/>
        <v>0</v>
      </c>
      <c r="I63" s="32">
        <f t="shared" si="58"/>
        <v>24</v>
      </c>
      <c r="J63" s="7"/>
      <c r="L63" s="32">
        <f t="shared" ref="L63:S63" si="59">L36</f>
        <v>55</v>
      </c>
      <c r="M63" s="32">
        <f t="shared" si="59"/>
        <v>5.5</v>
      </c>
      <c r="N63" s="32">
        <f t="shared" si="59"/>
        <v>0</v>
      </c>
      <c r="O63" s="32">
        <f t="shared" si="59"/>
        <v>0</v>
      </c>
      <c r="P63" s="32">
        <f t="shared" si="59"/>
        <v>0</v>
      </c>
      <c r="Q63" s="32">
        <f t="shared" si="59"/>
        <v>0</v>
      </c>
      <c r="R63" s="32">
        <f t="shared" si="59"/>
        <v>0</v>
      </c>
      <c r="S63" s="32">
        <f t="shared" si="59"/>
        <v>60.5</v>
      </c>
      <c r="T63" s="7"/>
      <c r="V63" s="32">
        <f t="shared" ref="V63:AC63" si="60">V36</f>
        <v>76</v>
      </c>
      <c r="W63" s="32">
        <f t="shared" si="60"/>
        <v>8.5</v>
      </c>
      <c r="X63" s="32">
        <f t="shared" si="60"/>
        <v>0</v>
      </c>
      <c r="Y63" s="32">
        <f t="shared" si="60"/>
        <v>0</v>
      </c>
      <c r="Z63" s="32">
        <f t="shared" si="60"/>
        <v>0</v>
      </c>
      <c r="AA63" s="32">
        <f t="shared" si="60"/>
        <v>0</v>
      </c>
      <c r="AB63" s="32">
        <f t="shared" si="60"/>
        <v>0</v>
      </c>
      <c r="AC63" s="32">
        <f t="shared" si="60"/>
        <v>84.5</v>
      </c>
    </row>
    <row r="64" spans="1:29" x14ac:dyDescent="0.35">
      <c r="A64" s="33" t="s">
        <v>60</v>
      </c>
      <c r="B64" s="34">
        <f>B61</f>
        <v>12</v>
      </c>
      <c r="C64" s="34">
        <f t="shared" ref="C64:I64" si="61">C61</f>
        <v>4</v>
      </c>
      <c r="D64" s="34">
        <f t="shared" si="61"/>
        <v>2</v>
      </c>
      <c r="E64" s="34">
        <f t="shared" si="61"/>
        <v>0</v>
      </c>
      <c r="F64" s="34">
        <f t="shared" si="61"/>
        <v>0</v>
      </c>
      <c r="G64" s="34">
        <f t="shared" si="61"/>
        <v>0</v>
      </c>
      <c r="H64" s="34">
        <f t="shared" si="61"/>
        <v>0</v>
      </c>
      <c r="I64" s="34">
        <f t="shared" si="61"/>
        <v>18</v>
      </c>
      <c r="J64" s="7"/>
      <c r="L64" s="34">
        <f>L61</f>
        <v>26</v>
      </c>
      <c r="M64" s="34">
        <f t="shared" ref="M64:S64" si="62">M61</f>
        <v>5</v>
      </c>
      <c r="N64" s="34">
        <f t="shared" si="62"/>
        <v>4</v>
      </c>
      <c r="O64" s="34">
        <f t="shared" si="62"/>
        <v>0</v>
      </c>
      <c r="P64" s="34">
        <f t="shared" si="62"/>
        <v>0</v>
      </c>
      <c r="Q64" s="34">
        <f t="shared" si="62"/>
        <v>0</v>
      </c>
      <c r="R64" s="34">
        <f t="shared" si="62"/>
        <v>0</v>
      </c>
      <c r="S64" s="34">
        <f t="shared" si="62"/>
        <v>35</v>
      </c>
      <c r="T64" s="7"/>
      <c r="V64" s="34">
        <f>V61</f>
        <v>38</v>
      </c>
      <c r="W64" s="34">
        <f t="shared" ref="W64:AC64" si="63">W61</f>
        <v>9</v>
      </c>
      <c r="X64" s="34">
        <f t="shared" si="63"/>
        <v>6</v>
      </c>
      <c r="Y64" s="34">
        <f t="shared" si="63"/>
        <v>0</v>
      </c>
      <c r="Z64" s="34">
        <f t="shared" si="63"/>
        <v>0</v>
      </c>
      <c r="AA64" s="34">
        <f t="shared" si="63"/>
        <v>0</v>
      </c>
      <c r="AB64" s="34">
        <f t="shared" si="63"/>
        <v>0</v>
      </c>
      <c r="AC64" s="34">
        <f t="shared" si="63"/>
        <v>53</v>
      </c>
    </row>
    <row r="65" spans="1:29" ht="15" thickBot="1" x14ac:dyDescent="0.4">
      <c r="A65" s="35" t="s">
        <v>61</v>
      </c>
      <c r="B65" s="36">
        <f>SUM(B63:B64)</f>
        <v>33</v>
      </c>
      <c r="C65" s="36">
        <f t="shared" ref="C65:H65" si="64">SUM(C63:C64)</f>
        <v>7</v>
      </c>
      <c r="D65" s="36">
        <f t="shared" si="64"/>
        <v>2</v>
      </c>
      <c r="E65" s="36">
        <f t="shared" si="64"/>
        <v>0</v>
      </c>
      <c r="F65" s="36">
        <f t="shared" si="64"/>
        <v>0</v>
      </c>
      <c r="G65" s="36">
        <f t="shared" si="64"/>
        <v>0</v>
      </c>
      <c r="H65" s="36">
        <f t="shared" si="64"/>
        <v>0</v>
      </c>
      <c r="I65" s="36">
        <f>SUM(I63:I64)</f>
        <v>42</v>
      </c>
      <c r="J65" s="7"/>
      <c r="L65" s="36">
        <f>SUM(L63:L64)</f>
        <v>81</v>
      </c>
      <c r="M65" s="36">
        <f t="shared" ref="M65:R65" si="65">SUM(M63:M64)</f>
        <v>10.5</v>
      </c>
      <c r="N65" s="36">
        <f t="shared" si="65"/>
        <v>4</v>
      </c>
      <c r="O65" s="36">
        <f t="shared" si="65"/>
        <v>0</v>
      </c>
      <c r="P65" s="36">
        <f t="shared" si="65"/>
        <v>0</v>
      </c>
      <c r="Q65" s="36">
        <f t="shared" si="65"/>
        <v>0</v>
      </c>
      <c r="R65" s="36">
        <f t="shared" si="65"/>
        <v>0</v>
      </c>
      <c r="S65" s="36">
        <f>SUM(S63:S64)</f>
        <v>95.5</v>
      </c>
      <c r="T65" s="7"/>
      <c r="V65" s="36">
        <f>SUM(V63:V64)</f>
        <v>114</v>
      </c>
      <c r="W65" s="36">
        <f t="shared" ref="W65:AB65" si="66">SUM(W63:W64)</f>
        <v>17.5</v>
      </c>
      <c r="X65" s="36">
        <f t="shared" si="66"/>
        <v>6</v>
      </c>
      <c r="Y65" s="36">
        <f t="shared" si="66"/>
        <v>0</v>
      </c>
      <c r="Z65" s="36">
        <f t="shared" si="66"/>
        <v>0</v>
      </c>
      <c r="AA65" s="36">
        <f t="shared" si="66"/>
        <v>0</v>
      </c>
      <c r="AB65" s="36">
        <f t="shared" si="66"/>
        <v>0</v>
      </c>
      <c r="AC65" s="36">
        <f>SUM(AC63:AC64)</f>
        <v>137.5</v>
      </c>
    </row>
    <row r="66" spans="1:29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  <c r="L66" s="37"/>
      <c r="M66" s="37"/>
      <c r="N66" s="37"/>
      <c r="O66" s="37"/>
      <c r="P66" s="37"/>
      <c r="Q66" s="37"/>
      <c r="R66" s="37"/>
      <c r="S66" s="37"/>
      <c r="T66" s="7"/>
      <c r="V66" s="37"/>
      <c r="W66" s="37"/>
      <c r="X66" s="37"/>
      <c r="Y66" s="37"/>
      <c r="Z66" s="37"/>
      <c r="AA66" s="37"/>
      <c r="AB66" s="37"/>
      <c r="AC66" s="37"/>
    </row>
    <row r="67" spans="1:29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0.64721486278638041</v>
      </c>
      <c r="J67" s="7"/>
      <c r="L67" s="39"/>
      <c r="M67" s="39"/>
      <c r="N67" s="39"/>
      <c r="O67" s="39"/>
      <c r="P67" s="39"/>
      <c r="Q67" s="39"/>
      <c r="R67" s="39"/>
      <c r="S67" s="40">
        <f>S142/(S210+S212+S213+S214+S215+S216)</f>
        <v>0.53281771493448327</v>
      </c>
      <c r="T67" s="7"/>
      <c r="V67" s="39"/>
      <c r="W67" s="39"/>
      <c r="X67" s="39"/>
      <c r="Y67" s="39"/>
      <c r="Z67" s="39"/>
      <c r="AA67" s="39"/>
      <c r="AB67" s="39"/>
      <c r="AC67" s="40">
        <f>AC142/(AC210+AC212+AC213+AC214+AC215+AC216)</f>
        <v>0.56323178324091117</v>
      </c>
    </row>
    <row r="68" spans="1:29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0.74820268449043559</v>
      </c>
      <c r="J68" s="7"/>
      <c r="L68" s="39"/>
      <c r="M68" s="39"/>
      <c r="N68" s="39"/>
      <c r="O68" s="39"/>
      <c r="P68" s="39"/>
      <c r="Q68" s="39"/>
      <c r="R68" s="39"/>
      <c r="S68" s="40">
        <f>(S114+S115+S118+S128)/S132</f>
        <v>0.7523726815164532</v>
      </c>
      <c r="T68" s="7"/>
      <c r="V68" s="39"/>
      <c r="W68" s="39"/>
      <c r="X68" s="39"/>
      <c r="Y68" s="39"/>
      <c r="Z68" s="39"/>
      <c r="AA68" s="39"/>
      <c r="AB68" s="39"/>
      <c r="AC68" s="40">
        <f>(AC114+AC115+AC118+AC128)/AC132</f>
        <v>0.7511097815919402</v>
      </c>
    </row>
    <row r="69" spans="1:29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0.21611970729726915</v>
      </c>
      <c r="J69" s="7"/>
      <c r="L69" s="39"/>
      <c r="M69" s="39"/>
      <c r="N69" s="39"/>
      <c r="O69" s="39"/>
      <c r="P69" s="39"/>
      <c r="Q69" s="39"/>
      <c r="R69" s="39"/>
      <c r="S69" s="40">
        <f>(S107+S108+S109+S112+S116+S117+S119+S120++S123+S124+S125+S126+S127+S129+S130)/S132</f>
        <v>0.2055850332569765</v>
      </c>
      <c r="T69" s="7"/>
      <c r="V69" s="39"/>
      <c r="W69" s="39"/>
      <c r="X69" s="39"/>
      <c r="Y69" s="39"/>
      <c r="Z69" s="39"/>
      <c r="AA69" s="39"/>
      <c r="AB69" s="39"/>
      <c r="AC69" s="40">
        <f>(AC107+AC108+AC109+AC112+AC116+AC117+AC119+AC120++AC123+AC124+AC125+AC126+AC127+AC129+AC130)/AC132</f>
        <v>0.2087755005324318</v>
      </c>
    </row>
    <row r="70" spans="1:29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(I213+I214+I215+I216+I212)/(I97-I83-I84)</f>
        <v>0.10850543497210675</v>
      </c>
      <c r="J70" s="7"/>
      <c r="L70" s="39"/>
      <c r="M70" s="39"/>
      <c r="N70" s="39"/>
      <c r="O70" s="39"/>
      <c r="P70" s="39"/>
      <c r="Q70" s="39"/>
      <c r="R70" s="39"/>
      <c r="S70" s="40">
        <f>(S213+S214+S215+S216+S212)/(S97-S83-S84)</f>
        <v>0.17524928636840695</v>
      </c>
      <c r="T70" s="7"/>
      <c r="V70" s="39"/>
      <c r="W70" s="39"/>
      <c r="X70" s="39"/>
      <c r="Y70" s="39"/>
      <c r="Z70" s="39"/>
      <c r="AA70" s="39"/>
      <c r="AB70" s="39"/>
      <c r="AC70" s="40">
        <f>(AC213+AC214+AC215+AC216+AC212)/(AC97-AC83-AC84)</f>
        <v>0.1574433605318793</v>
      </c>
    </row>
    <row r="71" spans="1:29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  <c r="L71" s="37"/>
      <c r="M71" s="37"/>
      <c r="N71" s="37"/>
      <c r="O71" s="37"/>
      <c r="P71" s="37"/>
      <c r="Q71" s="37"/>
      <c r="R71" s="37"/>
      <c r="S71" s="37"/>
      <c r="T71" s="7"/>
      <c r="V71" s="37"/>
      <c r="W71" s="37"/>
      <c r="X71" s="37"/>
      <c r="Y71" s="37"/>
      <c r="Z71" s="37"/>
      <c r="AA71" s="37"/>
      <c r="AB71" s="37"/>
      <c r="AC71" s="37"/>
    </row>
    <row r="72" spans="1:29" ht="15" thickBot="1" x14ac:dyDescent="0.4">
      <c r="A72" s="41" t="s">
        <v>66</v>
      </c>
      <c r="B72" s="42" t="str">
        <f t="shared" ref="B72:I72" si="67">B1</f>
        <v>Operating</v>
      </c>
      <c r="C72" s="42" t="str">
        <f t="shared" si="67"/>
        <v>SPED</v>
      </c>
      <c r="D72" s="42" t="str">
        <f t="shared" si="67"/>
        <v>NSLP</v>
      </c>
      <c r="E72" s="42" t="str">
        <f t="shared" si="67"/>
        <v>Other</v>
      </c>
      <c r="F72" s="42" t="str">
        <f t="shared" si="67"/>
        <v>Title I</v>
      </c>
      <c r="G72" s="42" t="str">
        <f t="shared" si="67"/>
        <v>Title II</v>
      </c>
      <c r="H72" s="42" t="str">
        <f t="shared" si="67"/>
        <v>Title III</v>
      </c>
      <c r="I72" s="42" t="str">
        <f t="shared" si="67"/>
        <v>B&amp;G</v>
      </c>
      <c r="J72" s="7"/>
      <c r="L72" s="42" t="str">
        <f t="shared" ref="L72:S72" si="68">L1</f>
        <v>Operating</v>
      </c>
      <c r="M72" s="42" t="str">
        <f t="shared" si="68"/>
        <v>SPED</v>
      </c>
      <c r="N72" s="42" t="str">
        <f t="shared" si="68"/>
        <v>NSLP</v>
      </c>
      <c r="O72" s="42" t="str">
        <f t="shared" si="68"/>
        <v>Other</v>
      </c>
      <c r="P72" s="42" t="str">
        <f t="shared" si="68"/>
        <v>Title I</v>
      </c>
      <c r="Q72" s="42" t="str">
        <f t="shared" si="68"/>
        <v>Title II</v>
      </c>
      <c r="R72" s="42" t="str">
        <f t="shared" si="68"/>
        <v>Title III</v>
      </c>
      <c r="S72" s="42" t="str">
        <f t="shared" si="68"/>
        <v>New</v>
      </c>
      <c r="T72" s="7"/>
      <c r="V72" s="42" t="str">
        <f t="shared" ref="V72:AC72" si="69">V1</f>
        <v>Operating</v>
      </c>
      <c r="W72" s="42" t="str">
        <f t="shared" si="69"/>
        <v>SPED</v>
      </c>
      <c r="X72" s="42" t="str">
        <f t="shared" si="69"/>
        <v>NSLP</v>
      </c>
      <c r="Y72" s="42" t="str">
        <f t="shared" si="69"/>
        <v>Other</v>
      </c>
      <c r="Z72" s="42" t="str">
        <f t="shared" si="69"/>
        <v>Title I</v>
      </c>
      <c r="AA72" s="42" t="str">
        <f t="shared" si="69"/>
        <v>Title II</v>
      </c>
      <c r="AB72" s="42" t="str">
        <f t="shared" si="69"/>
        <v>Title III</v>
      </c>
      <c r="AC72" s="42" t="str">
        <f t="shared" si="69"/>
        <v>MANN</v>
      </c>
    </row>
    <row r="73" spans="1:29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  <c r="L73" s="44"/>
      <c r="M73" s="44"/>
      <c r="N73" s="44"/>
      <c r="O73" s="44"/>
      <c r="P73" s="44"/>
      <c r="Q73" s="44"/>
      <c r="R73" s="44"/>
      <c r="S73" s="45"/>
      <c r="T73" s="7"/>
      <c r="V73" s="44"/>
      <c r="W73" s="44"/>
      <c r="X73" s="44"/>
      <c r="Y73" s="44"/>
      <c r="Z73" s="44"/>
      <c r="AA73" s="44"/>
      <c r="AB73" s="44"/>
      <c r="AC73" s="45"/>
    </row>
    <row r="74" spans="1:29" x14ac:dyDescent="0.35">
      <c r="A74" s="26" t="s">
        <v>68</v>
      </c>
      <c r="B74" s="46">
        <f>(B2*B3)</f>
        <v>4643955</v>
      </c>
      <c r="C74" s="46"/>
      <c r="D74" s="46"/>
      <c r="E74" s="46"/>
      <c r="F74" s="46"/>
      <c r="G74" s="46"/>
      <c r="H74" s="46"/>
      <c r="I74" s="47">
        <f t="shared" ref="I74:I79" si="70">SUM(B74:H74)</f>
        <v>4643955</v>
      </c>
      <c r="J74" s="11"/>
      <c r="L74" s="46">
        <f>(L2*L3)</f>
        <v>13122918</v>
      </c>
      <c r="M74" s="46"/>
      <c r="N74" s="46"/>
      <c r="O74" s="46"/>
      <c r="P74" s="46"/>
      <c r="Q74" s="46"/>
      <c r="R74" s="46"/>
      <c r="S74" s="47">
        <f t="shared" ref="S74:S79" si="71">SUM(L74:R74)</f>
        <v>13122918</v>
      </c>
      <c r="T74" s="11"/>
      <c r="V74" s="46">
        <f>B74+L74</f>
        <v>17766873</v>
      </c>
      <c r="W74" s="46">
        <f t="shared" ref="W74:Y79" si="72">C74+M74</f>
        <v>0</v>
      </c>
      <c r="X74" s="46">
        <f t="shared" si="72"/>
        <v>0</v>
      </c>
      <c r="Y74" s="46">
        <f t="shared" si="72"/>
        <v>0</v>
      </c>
      <c r="Z74" s="46"/>
      <c r="AA74" s="46"/>
      <c r="AB74" s="46"/>
      <c r="AC74" s="47">
        <f t="shared" ref="AC74:AC79" si="73">SUM(V74:AB74)</f>
        <v>17766873</v>
      </c>
    </row>
    <row r="75" spans="1:29" x14ac:dyDescent="0.35">
      <c r="A75" s="26" t="s">
        <v>69</v>
      </c>
      <c r="B75" s="30">
        <f>4236*B21</f>
        <v>609984</v>
      </c>
      <c r="C75" s="30"/>
      <c r="D75" s="30"/>
      <c r="E75" s="30"/>
      <c r="F75" s="30"/>
      <c r="G75" s="30"/>
      <c r="H75" s="30"/>
      <c r="I75" s="5">
        <f t="shared" si="70"/>
        <v>609984</v>
      </c>
      <c r="J75" s="6">
        <v>4236</v>
      </c>
      <c r="L75" s="30">
        <f>4236*L21</f>
        <v>1503780</v>
      </c>
      <c r="M75" s="30"/>
      <c r="N75" s="30"/>
      <c r="O75" s="30"/>
      <c r="P75" s="30"/>
      <c r="Q75" s="30"/>
      <c r="R75" s="30"/>
      <c r="S75" s="5">
        <f t="shared" si="71"/>
        <v>1503780</v>
      </c>
      <c r="T75" s="6">
        <v>4236</v>
      </c>
      <c r="V75" s="46">
        <f t="shared" ref="V75:V79" si="74">B75+L75</f>
        <v>2113764</v>
      </c>
      <c r="W75" s="46">
        <f t="shared" si="72"/>
        <v>0</v>
      </c>
      <c r="X75" s="46">
        <f t="shared" si="72"/>
        <v>0</v>
      </c>
      <c r="Y75" s="46">
        <f t="shared" si="72"/>
        <v>0</v>
      </c>
      <c r="Z75" s="30"/>
      <c r="AA75" s="30"/>
      <c r="AB75" s="30"/>
      <c r="AC75" s="5">
        <f t="shared" si="73"/>
        <v>2113764</v>
      </c>
    </row>
    <row r="76" spans="1:29" x14ac:dyDescent="0.35">
      <c r="A76" s="26" t="s">
        <v>70</v>
      </c>
      <c r="B76" s="5">
        <f>1129*B22</f>
        <v>0</v>
      </c>
      <c r="C76" s="5"/>
      <c r="D76" s="5"/>
      <c r="E76" s="5"/>
      <c r="F76" s="5"/>
      <c r="G76" s="5"/>
      <c r="H76" s="5"/>
      <c r="I76" s="5">
        <f t="shared" si="70"/>
        <v>0</v>
      </c>
      <c r="J76" s="6">
        <v>1129</v>
      </c>
      <c r="L76" s="5">
        <f>1129*L22</f>
        <v>0</v>
      </c>
      <c r="M76" s="5"/>
      <c r="N76" s="5"/>
      <c r="O76" s="5"/>
      <c r="P76" s="5"/>
      <c r="Q76" s="5"/>
      <c r="R76" s="5"/>
      <c r="S76" s="5">
        <f t="shared" si="71"/>
        <v>0</v>
      </c>
      <c r="T76" s="6">
        <v>1129</v>
      </c>
      <c r="V76" s="46">
        <f t="shared" si="74"/>
        <v>0</v>
      </c>
      <c r="W76" s="46">
        <f t="shared" si="72"/>
        <v>0</v>
      </c>
      <c r="X76" s="46">
        <f t="shared" si="72"/>
        <v>0</v>
      </c>
      <c r="Y76" s="46">
        <f t="shared" si="72"/>
        <v>0</v>
      </c>
      <c r="Z76" s="5"/>
      <c r="AA76" s="5"/>
      <c r="AB76" s="5"/>
      <c r="AC76" s="5">
        <f t="shared" si="73"/>
        <v>0</v>
      </c>
    </row>
    <row r="77" spans="1:29" x14ac:dyDescent="0.35">
      <c r="A77" s="26" t="s">
        <v>71</v>
      </c>
      <c r="B77" s="5">
        <f>3294*B24</f>
        <v>13176</v>
      </c>
      <c r="C77" s="5"/>
      <c r="D77" s="5"/>
      <c r="E77" s="5"/>
      <c r="F77" s="5"/>
      <c r="G77" s="5"/>
      <c r="H77" s="5"/>
      <c r="I77" s="5">
        <f t="shared" si="70"/>
        <v>13176</v>
      </c>
      <c r="J77" s="6">
        <v>3294</v>
      </c>
      <c r="L77" s="5">
        <f>3294*L24</f>
        <v>39528</v>
      </c>
      <c r="M77" s="5"/>
      <c r="N77" s="5"/>
      <c r="O77" s="5"/>
      <c r="P77" s="5"/>
      <c r="Q77" s="5"/>
      <c r="R77" s="5"/>
      <c r="S77" s="5">
        <f t="shared" si="71"/>
        <v>39528</v>
      </c>
      <c r="T77" s="6">
        <v>3294</v>
      </c>
      <c r="V77" s="46">
        <f t="shared" si="74"/>
        <v>52704</v>
      </c>
      <c r="W77" s="46">
        <f t="shared" si="72"/>
        <v>0</v>
      </c>
      <c r="X77" s="46">
        <f t="shared" si="72"/>
        <v>0</v>
      </c>
      <c r="Y77" s="46">
        <f t="shared" si="72"/>
        <v>0</v>
      </c>
      <c r="Z77" s="5"/>
      <c r="AA77" s="5"/>
      <c r="AB77" s="5"/>
      <c r="AC77" s="5">
        <f t="shared" si="73"/>
        <v>52704</v>
      </c>
    </row>
    <row r="78" spans="1:29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70"/>
        <v>53862</v>
      </c>
      <c r="J78" s="48"/>
      <c r="L78" s="30">
        <v>0</v>
      </c>
      <c r="M78" s="30">
        <v>40000</v>
      </c>
      <c r="N78" s="30"/>
      <c r="O78" s="30"/>
      <c r="P78" s="30"/>
      <c r="Q78" s="30"/>
      <c r="R78" s="30"/>
      <c r="S78" s="30">
        <f t="shared" si="71"/>
        <v>40000</v>
      </c>
      <c r="T78" s="48"/>
      <c r="V78" s="46">
        <f t="shared" si="74"/>
        <v>0</v>
      </c>
      <c r="W78" s="46">
        <f t="shared" si="72"/>
        <v>93862</v>
      </c>
      <c r="X78" s="46">
        <f t="shared" si="72"/>
        <v>0</v>
      </c>
      <c r="Y78" s="46">
        <f t="shared" si="72"/>
        <v>0</v>
      </c>
      <c r="Z78" s="30"/>
      <c r="AA78" s="30"/>
      <c r="AB78" s="30"/>
      <c r="AC78" s="30">
        <f t="shared" si="73"/>
        <v>93862</v>
      </c>
    </row>
    <row r="79" spans="1:29" x14ac:dyDescent="0.35">
      <c r="A79" s="26" t="s">
        <v>72</v>
      </c>
      <c r="B79" s="30">
        <v>0</v>
      </c>
      <c r="C79" s="30">
        <f>3900*C20</f>
        <v>218400</v>
      </c>
      <c r="D79" s="30"/>
      <c r="E79" s="30"/>
      <c r="F79" s="30"/>
      <c r="G79" s="30"/>
      <c r="H79" s="30"/>
      <c r="I79" s="30">
        <f t="shared" si="70"/>
        <v>218400</v>
      </c>
      <c r="J79" s="6">
        <v>3900</v>
      </c>
      <c r="L79" s="30">
        <v>0</v>
      </c>
      <c r="M79" s="30">
        <f>3900*M20</f>
        <v>534300</v>
      </c>
      <c r="N79" s="30"/>
      <c r="O79" s="30"/>
      <c r="P79" s="30"/>
      <c r="Q79" s="30"/>
      <c r="R79" s="30"/>
      <c r="S79" s="30">
        <f t="shared" si="71"/>
        <v>534300</v>
      </c>
      <c r="T79" s="6">
        <v>3900</v>
      </c>
      <c r="V79" s="46">
        <f t="shared" si="74"/>
        <v>0</v>
      </c>
      <c r="W79" s="46">
        <f t="shared" si="72"/>
        <v>752700</v>
      </c>
      <c r="X79" s="46">
        <f t="shared" si="72"/>
        <v>0</v>
      </c>
      <c r="Y79" s="46">
        <f t="shared" si="72"/>
        <v>0</v>
      </c>
      <c r="Z79" s="30"/>
      <c r="AA79" s="30"/>
      <c r="AB79" s="30"/>
      <c r="AC79" s="30">
        <f t="shared" si="73"/>
        <v>752700</v>
      </c>
    </row>
    <row r="80" spans="1:29" x14ac:dyDescent="0.35">
      <c r="A80" s="49" t="s">
        <v>74</v>
      </c>
      <c r="B80" s="50">
        <f t="shared" ref="B80:I80" si="75">SUM(B74:B79)</f>
        <v>5267115</v>
      </c>
      <c r="C80" s="50">
        <f t="shared" si="75"/>
        <v>272262</v>
      </c>
      <c r="D80" s="50">
        <f t="shared" si="75"/>
        <v>0</v>
      </c>
      <c r="E80" s="50"/>
      <c r="F80" s="50">
        <f t="shared" si="75"/>
        <v>0</v>
      </c>
      <c r="G80" s="50">
        <f t="shared" si="75"/>
        <v>0</v>
      </c>
      <c r="H80" s="50">
        <f t="shared" si="75"/>
        <v>0</v>
      </c>
      <c r="I80" s="50">
        <f t="shared" si="75"/>
        <v>5539377</v>
      </c>
      <c r="J80" s="7"/>
      <c r="L80" s="50">
        <f t="shared" ref="L80:N80" si="76">SUM(L74:L79)</f>
        <v>14666226</v>
      </c>
      <c r="M80" s="50">
        <f t="shared" si="76"/>
        <v>574300</v>
      </c>
      <c r="N80" s="50">
        <f t="shared" si="76"/>
        <v>0</v>
      </c>
      <c r="O80" s="50"/>
      <c r="P80" s="50">
        <f t="shared" ref="P80:S80" si="77">SUM(P74:P79)</f>
        <v>0</v>
      </c>
      <c r="Q80" s="50">
        <f t="shared" si="77"/>
        <v>0</v>
      </c>
      <c r="R80" s="50">
        <f t="shared" si="77"/>
        <v>0</v>
      </c>
      <c r="S80" s="50">
        <f t="shared" si="77"/>
        <v>15240526</v>
      </c>
      <c r="T80" s="7"/>
      <c r="V80" s="50">
        <f t="shared" ref="V80:X80" si="78">SUM(V74:V79)</f>
        <v>19933341</v>
      </c>
      <c r="W80" s="50">
        <f t="shared" si="78"/>
        <v>846562</v>
      </c>
      <c r="X80" s="50">
        <f t="shared" si="78"/>
        <v>0</v>
      </c>
      <c r="Y80" s="50"/>
      <c r="Z80" s="50">
        <f t="shared" ref="Z80:AC80" si="79">SUM(Z74:Z79)</f>
        <v>0</v>
      </c>
      <c r="AA80" s="50">
        <f t="shared" si="79"/>
        <v>0</v>
      </c>
      <c r="AB80" s="50">
        <f t="shared" si="79"/>
        <v>0</v>
      </c>
      <c r="AC80" s="50">
        <f t="shared" si="79"/>
        <v>20779903</v>
      </c>
    </row>
    <row r="81" spans="1:29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  <c r="L81" s="44"/>
      <c r="M81" s="44"/>
      <c r="N81" s="44"/>
      <c r="O81" s="44"/>
      <c r="P81" s="44"/>
      <c r="Q81" s="44"/>
      <c r="R81" s="44"/>
      <c r="S81" s="45"/>
      <c r="T81" s="7"/>
      <c r="V81" s="44"/>
      <c r="W81" s="44"/>
      <c r="X81" s="44"/>
      <c r="Y81" s="44"/>
      <c r="Z81" s="44"/>
      <c r="AA81" s="44"/>
      <c r="AB81" s="44"/>
      <c r="AC81" s="45"/>
    </row>
    <row r="82" spans="1:29" x14ac:dyDescent="0.35">
      <c r="A82" s="26" t="s">
        <v>76</v>
      </c>
      <c r="B82" s="5"/>
      <c r="C82" s="5">
        <f>950*C20</f>
        <v>53200</v>
      </c>
      <c r="D82" s="5"/>
      <c r="E82" s="5"/>
      <c r="F82" s="5"/>
      <c r="G82" s="5"/>
      <c r="H82" s="5"/>
      <c r="I82" s="5">
        <f>SUM(B82:H82)</f>
        <v>53200</v>
      </c>
      <c r="J82" s="6"/>
      <c r="L82" s="5"/>
      <c r="M82" s="5">
        <f>950*M20</f>
        <v>130150</v>
      </c>
      <c r="N82" s="5"/>
      <c r="O82" s="5"/>
      <c r="P82" s="5"/>
      <c r="Q82" s="5"/>
      <c r="R82" s="5"/>
      <c r="S82" s="5">
        <f>SUM(L82:R82)</f>
        <v>130150</v>
      </c>
      <c r="T82" s="6"/>
      <c r="V82" s="5">
        <f>B82+L82</f>
        <v>0</v>
      </c>
      <c r="W82" s="5">
        <f t="shared" ref="W82:Y89" si="80">C82+M82</f>
        <v>183350</v>
      </c>
      <c r="X82" s="5">
        <f t="shared" si="80"/>
        <v>0</v>
      </c>
      <c r="Y82" s="5">
        <f t="shared" si="80"/>
        <v>0</v>
      </c>
      <c r="Z82" s="5"/>
      <c r="AA82" s="5"/>
      <c r="AB82" s="5"/>
      <c r="AC82" s="5">
        <f>SUM(V82:AB82)</f>
        <v>183350</v>
      </c>
    </row>
    <row r="83" spans="1:29" x14ac:dyDescent="0.35">
      <c r="A83" s="26" t="s">
        <v>77</v>
      </c>
      <c r="B83" s="5"/>
      <c r="C83" s="5"/>
      <c r="D83" s="10">
        <f>((B17*0.95)*2.82*180)</f>
        <v>224232.3</v>
      </c>
      <c r="E83" s="10"/>
      <c r="F83" s="10"/>
      <c r="G83" s="10"/>
      <c r="H83" s="10"/>
      <c r="I83" s="5">
        <f t="shared" ref="I83:I95" si="81">SUM(B83:H83)</f>
        <v>224232.3</v>
      </c>
      <c r="J83" s="52">
        <v>2.82</v>
      </c>
      <c r="L83" s="5"/>
      <c r="M83" s="5"/>
      <c r="N83" s="10">
        <f>((L17*0.95)*2.82*180)</f>
        <v>633637.07999999996</v>
      </c>
      <c r="O83" s="10"/>
      <c r="P83" s="10"/>
      <c r="Q83" s="10"/>
      <c r="R83" s="10"/>
      <c r="S83" s="5">
        <f t="shared" ref="S83:S88" si="82">SUM(L83:R83)</f>
        <v>633637.07999999996</v>
      </c>
      <c r="T83" s="52">
        <v>2.82</v>
      </c>
      <c r="V83" s="5">
        <f t="shared" ref="V83:V89" si="83">B83+L83</f>
        <v>0</v>
      </c>
      <c r="W83" s="5">
        <f t="shared" si="80"/>
        <v>0</v>
      </c>
      <c r="X83" s="5">
        <f t="shared" si="80"/>
        <v>857869.37999999989</v>
      </c>
      <c r="Y83" s="5">
        <f t="shared" si="80"/>
        <v>0</v>
      </c>
      <c r="Z83" s="10"/>
      <c r="AA83" s="10"/>
      <c r="AB83" s="10"/>
      <c r="AC83" s="5">
        <f t="shared" ref="AC83:AC88" si="84">SUM(V83:AB83)</f>
        <v>857869.37999999989</v>
      </c>
    </row>
    <row r="84" spans="1:29" x14ac:dyDescent="0.35">
      <c r="A84" s="26" t="s">
        <v>78</v>
      </c>
      <c r="B84" s="30"/>
      <c r="C84" s="30"/>
      <c r="D84" s="10">
        <f>((B17*0.95)*4.44*180)</f>
        <v>353046.60000000003</v>
      </c>
      <c r="E84" s="10"/>
      <c r="F84" s="10"/>
      <c r="G84" s="10"/>
      <c r="H84" s="10"/>
      <c r="I84" s="5">
        <f t="shared" si="81"/>
        <v>353046.60000000003</v>
      </c>
      <c r="J84" s="52">
        <v>4.4400000000000004</v>
      </c>
      <c r="L84" s="30"/>
      <c r="M84" s="30"/>
      <c r="N84" s="10">
        <f>((L17*0.95)*4.44*180)</f>
        <v>997641.36</v>
      </c>
      <c r="O84" s="10"/>
      <c r="P84" s="10"/>
      <c r="Q84" s="10"/>
      <c r="R84" s="10"/>
      <c r="S84" s="5">
        <f t="shared" si="82"/>
        <v>997641.36</v>
      </c>
      <c r="T84" s="52">
        <v>4.4400000000000004</v>
      </c>
      <c r="V84" s="5">
        <f t="shared" si="83"/>
        <v>0</v>
      </c>
      <c r="W84" s="5">
        <f t="shared" si="80"/>
        <v>0</v>
      </c>
      <c r="X84" s="5">
        <f t="shared" si="80"/>
        <v>1350687.96</v>
      </c>
      <c r="Y84" s="5">
        <f t="shared" si="80"/>
        <v>0</v>
      </c>
      <c r="Z84" s="10"/>
      <c r="AA84" s="10"/>
      <c r="AB84" s="10"/>
      <c r="AC84" s="5">
        <f t="shared" si="84"/>
        <v>1350687.96</v>
      </c>
    </row>
    <row r="85" spans="1:29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81"/>
        <v>0</v>
      </c>
      <c r="J85" s="6"/>
      <c r="L85" s="30"/>
      <c r="M85" s="30"/>
      <c r="N85" s="30"/>
      <c r="O85" s="30"/>
      <c r="P85" s="30"/>
      <c r="Q85" s="30"/>
      <c r="R85" s="30"/>
      <c r="S85" s="5">
        <f t="shared" si="82"/>
        <v>0</v>
      </c>
      <c r="T85" s="6"/>
      <c r="V85" s="5">
        <f t="shared" si="83"/>
        <v>0</v>
      </c>
      <c r="W85" s="5">
        <f t="shared" si="80"/>
        <v>0</v>
      </c>
      <c r="X85" s="5">
        <f t="shared" si="80"/>
        <v>0</v>
      </c>
      <c r="Y85" s="5">
        <f t="shared" si="80"/>
        <v>0</v>
      </c>
      <c r="Z85" s="30"/>
      <c r="AA85" s="30"/>
      <c r="AB85" s="30"/>
      <c r="AC85" s="5">
        <f t="shared" si="84"/>
        <v>0</v>
      </c>
    </row>
    <row r="86" spans="1:29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81"/>
        <v>0</v>
      </c>
      <c r="J86" s="6"/>
      <c r="L86" s="30"/>
      <c r="M86" s="30"/>
      <c r="N86" s="30"/>
      <c r="O86" s="30"/>
      <c r="P86" s="30"/>
      <c r="Q86" s="30"/>
      <c r="R86" s="30"/>
      <c r="S86" s="5">
        <f t="shared" si="82"/>
        <v>0</v>
      </c>
      <c r="T86" s="6"/>
      <c r="V86" s="5">
        <f t="shared" si="83"/>
        <v>0</v>
      </c>
      <c r="W86" s="5">
        <f t="shared" si="80"/>
        <v>0</v>
      </c>
      <c r="X86" s="5">
        <f t="shared" si="80"/>
        <v>0</v>
      </c>
      <c r="Y86" s="5">
        <f t="shared" si="80"/>
        <v>0</v>
      </c>
      <c r="Z86" s="30"/>
      <c r="AA86" s="30"/>
      <c r="AB86" s="30"/>
      <c r="AC86" s="5">
        <f t="shared" si="84"/>
        <v>0</v>
      </c>
    </row>
    <row r="87" spans="1:29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81"/>
        <v>0</v>
      </c>
      <c r="J87" s="6"/>
      <c r="L87" s="30"/>
      <c r="M87" s="30"/>
      <c r="N87" s="30"/>
      <c r="O87" s="30"/>
      <c r="P87" s="30"/>
      <c r="Q87" s="30"/>
      <c r="R87" s="30"/>
      <c r="S87" s="5">
        <f t="shared" si="82"/>
        <v>0</v>
      </c>
      <c r="T87" s="6"/>
      <c r="V87" s="5">
        <f t="shared" si="83"/>
        <v>0</v>
      </c>
      <c r="W87" s="5">
        <f t="shared" si="80"/>
        <v>0</v>
      </c>
      <c r="X87" s="5">
        <f t="shared" si="80"/>
        <v>0</v>
      </c>
      <c r="Y87" s="5">
        <f t="shared" si="80"/>
        <v>0</v>
      </c>
      <c r="Z87" s="30"/>
      <c r="AA87" s="30"/>
      <c r="AB87" s="30"/>
      <c r="AC87" s="5">
        <f t="shared" si="84"/>
        <v>0</v>
      </c>
    </row>
    <row r="88" spans="1:29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81"/>
        <v>0</v>
      </c>
      <c r="J88" s="6"/>
      <c r="L88" s="30"/>
      <c r="M88" s="30"/>
      <c r="N88" s="30"/>
      <c r="O88" s="30"/>
      <c r="P88" s="30"/>
      <c r="Q88" s="30"/>
      <c r="R88" s="30"/>
      <c r="S88" s="5">
        <f t="shared" si="82"/>
        <v>0</v>
      </c>
      <c r="T88" s="6"/>
      <c r="V88" s="5">
        <f t="shared" si="83"/>
        <v>0</v>
      </c>
      <c r="W88" s="5">
        <f t="shared" si="80"/>
        <v>0</v>
      </c>
      <c r="X88" s="5">
        <f t="shared" si="80"/>
        <v>0</v>
      </c>
      <c r="Y88" s="5">
        <f t="shared" si="80"/>
        <v>0</v>
      </c>
      <c r="Z88" s="30"/>
      <c r="AA88" s="30"/>
      <c r="AB88" s="30"/>
      <c r="AC88" s="5">
        <f t="shared" si="84"/>
        <v>0</v>
      </c>
    </row>
    <row r="89" spans="1:29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  <c r="L89" s="30"/>
      <c r="M89" s="30"/>
      <c r="N89" s="30"/>
      <c r="O89" s="30"/>
      <c r="P89" s="30"/>
      <c r="Q89" s="30"/>
      <c r="R89" s="30"/>
      <c r="S89" s="5"/>
      <c r="T89" s="53"/>
      <c r="V89" s="5">
        <f t="shared" si="83"/>
        <v>0</v>
      </c>
      <c r="W89" s="5">
        <f t="shared" si="80"/>
        <v>0</v>
      </c>
      <c r="X89" s="5">
        <f t="shared" si="80"/>
        <v>0</v>
      </c>
      <c r="Y89" s="5">
        <f t="shared" si="80"/>
        <v>0</v>
      </c>
      <c r="Z89" s="30"/>
      <c r="AA89" s="30"/>
      <c r="AB89" s="30"/>
      <c r="AC89" s="5"/>
    </row>
    <row r="90" spans="1:29" x14ac:dyDescent="0.35">
      <c r="A90" s="49" t="s">
        <v>84</v>
      </c>
      <c r="B90" s="50">
        <f>SUM(B82:B88)</f>
        <v>0</v>
      </c>
      <c r="C90" s="50">
        <f t="shared" ref="C90:I90" si="85">SUM(C82:C88)</f>
        <v>53200</v>
      </c>
      <c r="D90" s="50">
        <f t="shared" si="85"/>
        <v>577278.9</v>
      </c>
      <c r="E90" s="50"/>
      <c r="F90" s="50">
        <f t="shared" si="85"/>
        <v>0</v>
      </c>
      <c r="G90" s="50">
        <f t="shared" si="85"/>
        <v>0</v>
      </c>
      <c r="H90" s="50">
        <f t="shared" si="85"/>
        <v>0</v>
      </c>
      <c r="I90" s="50">
        <f t="shared" si="85"/>
        <v>630478.9</v>
      </c>
      <c r="J90" s="7"/>
      <c r="L90" s="50">
        <f>SUM(L82:L88)</f>
        <v>0</v>
      </c>
      <c r="M90" s="50">
        <f t="shared" ref="M90:N90" si="86">SUM(M82:M88)</f>
        <v>130150</v>
      </c>
      <c r="N90" s="50">
        <f t="shared" si="86"/>
        <v>1631278.44</v>
      </c>
      <c r="O90" s="50"/>
      <c r="P90" s="50">
        <f t="shared" ref="P90:S90" si="87">SUM(P82:P88)</f>
        <v>0</v>
      </c>
      <c r="Q90" s="50">
        <f t="shared" si="87"/>
        <v>0</v>
      </c>
      <c r="R90" s="50">
        <f t="shared" si="87"/>
        <v>0</v>
      </c>
      <c r="S90" s="50">
        <f t="shared" si="87"/>
        <v>1761428.44</v>
      </c>
      <c r="T90" s="7"/>
      <c r="V90" s="50">
        <f>SUM(V82:V88)</f>
        <v>0</v>
      </c>
      <c r="W90" s="50">
        <f t="shared" ref="W90:X90" si="88">SUM(W82:W88)</f>
        <v>183350</v>
      </c>
      <c r="X90" s="50">
        <f t="shared" si="88"/>
        <v>2208557.34</v>
      </c>
      <c r="Y90" s="50"/>
      <c r="Z90" s="50">
        <f t="shared" ref="Z90:AC90" si="89">SUM(Z82:Z88)</f>
        <v>0</v>
      </c>
      <c r="AA90" s="50">
        <f t="shared" si="89"/>
        <v>0</v>
      </c>
      <c r="AB90" s="50">
        <f t="shared" si="89"/>
        <v>0</v>
      </c>
      <c r="AC90" s="50">
        <f t="shared" si="89"/>
        <v>2391907.34</v>
      </c>
    </row>
    <row r="91" spans="1:29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  <c r="L91" s="44"/>
      <c r="M91" s="44"/>
      <c r="N91" s="44"/>
      <c r="O91" s="44"/>
      <c r="P91" s="44"/>
      <c r="Q91" s="44"/>
      <c r="R91" s="44"/>
      <c r="S91" s="45"/>
      <c r="T91" s="7"/>
      <c r="V91" s="44"/>
      <c r="W91" s="44"/>
      <c r="X91" s="44"/>
      <c r="Y91" s="44"/>
      <c r="Z91" s="44"/>
      <c r="AA91" s="44"/>
      <c r="AB91" s="44"/>
      <c r="AC91" s="45"/>
    </row>
    <row r="92" spans="1:29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81"/>
        <v>0</v>
      </c>
      <c r="J92" s="11"/>
      <c r="L92" s="5">
        <v>0</v>
      </c>
      <c r="M92" s="5"/>
      <c r="N92" s="5"/>
      <c r="O92" s="5"/>
      <c r="P92" s="5"/>
      <c r="Q92" s="5"/>
      <c r="R92" s="5"/>
      <c r="S92" s="5">
        <f t="shared" ref="S92:S95" si="90">SUM(L92:R92)</f>
        <v>0</v>
      </c>
      <c r="T92" s="11"/>
      <c r="V92" s="5">
        <f>B92+L92</f>
        <v>0</v>
      </c>
      <c r="W92" s="5">
        <f t="shared" ref="W92:Y95" si="91">C92+M92</f>
        <v>0</v>
      </c>
      <c r="X92" s="5">
        <f t="shared" si="91"/>
        <v>0</v>
      </c>
      <c r="Y92" s="5">
        <f t="shared" si="91"/>
        <v>0</v>
      </c>
      <c r="Z92" s="5"/>
      <c r="AA92" s="5"/>
      <c r="AB92" s="5"/>
      <c r="AC92" s="5">
        <f t="shared" ref="AC92:AC95" si="92">SUM(V92:AB92)</f>
        <v>0</v>
      </c>
    </row>
    <row r="93" spans="1:29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93">F161</f>
        <v>0</v>
      </c>
      <c r="G93" s="10">
        <f t="shared" si="93"/>
        <v>0</v>
      </c>
      <c r="H93" s="10">
        <f t="shared" si="93"/>
        <v>0</v>
      </c>
      <c r="I93" s="5">
        <f t="shared" si="81"/>
        <v>0</v>
      </c>
      <c r="J93" s="11"/>
      <c r="L93" s="10">
        <v>0</v>
      </c>
      <c r="M93" s="10">
        <v>0</v>
      </c>
      <c r="N93" s="10">
        <v>0</v>
      </c>
      <c r="O93" s="10"/>
      <c r="P93" s="10">
        <f t="shared" ref="P93:R93" si="94">P161</f>
        <v>0</v>
      </c>
      <c r="Q93" s="10">
        <f t="shared" si="94"/>
        <v>0</v>
      </c>
      <c r="R93" s="10">
        <f t="shared" si="94"/>
        <v>0</v>
      </c>
      <c r="S93" s="5">
        <f t="shared" si="90"/>
        <v>0</v>
      </c>
      <c r="T93" s="11"/>
      <c r="V93" s="5">
        <f t="shared" ref="V93:V95" si="95">B93+L93</f>
        <v>0</v>
      </c>
      <c r="W93" s="5">
        <f t="shared" si="91"/>
        <v>0</v>
      </c>
      <c r="X93" s="5">
        <f t="shared" si="91"/>
        <v>0</v>
      </c>
      <c r="Y93" s="5">
        <f t="shared" si="91"/>
        <v>0</v>
      </c>
      <c r="Z93" s="10">
        <f t="shared" ref="Z93:AB93" si="96">Z161</f>
        <v>0</v>
      </c>
      <c r="AA93" s="10">
        <f t="shared" si="96"/>
        <v>0</v>
      </c>
      <c r="AB93" s="10">
        <f t="shared" si="96"/>
        <v>0</v>
      </c>
      <c r="AC93" s="5">
        <f t="shared" si="92"/>
        <v>0</v>
      </c>
    </row>
    <row r="94" spans="1:29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81"/>
        <v>0</v>
      </c>
      <c r="J94" s="11"/>
      <c r="L94" s="30"/>
      <c r="M94" s="30"/>
      <c r="N94" s="30"/>
      <c r="O94" s="30"/>
      <c r="P94" s="30"/>
      <c r="Q94" s="30"/>
      <c r="R94" s="30"/>
      <c r="S94" s="30">
        <f t="shared" si="90"/>
        <v>0</v>
      </c>
      <c r="T94" s="11"/>
      <c r="V94" s="5">
        <f t="shared" si="95"/>
        <v>0</v>
      </c>
      <c r="W94" s="5">
        <f t="shared" si="91"/>
        <v>0</v>
      </c>
      <c r="X94" s="5">
        <f t="shared" si="91"/>
        <v>0</v>
      </c>
      <c r="Y94" s="5">
        <f t="shared" si="91"/>
        <v>0</v>
      </c>
      <c r="Z94" s="30"/>
      <c r="AA94" s="30"/>
      <c r="AB94" s="30"/>
      <c r="AC94" s="30">
        <f t="shared" si="92"/>
        <v>0</v>
      </c>
    </row>
    <row r="95" spans="1:29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81"/>
        <v>0</v>
      </c>
      <c r="J95" s="11"/>
      <c r="L95" s="30">
        <v>0</v>
      </c>
      <c r="M95" s="30"/>
      <c r="N95" s="30"/>
      <c r="O95" s="30"/>
      <c r="P95" s="30"/>
      <c r="Q95" s="30"/>
      <c r="R95" s="30"/>
      <c r="S95" s="30">
        <f t="shared" si="90"/>
        <v>0</v>
      </c>
      <c r="T95" s="11"/>
      <c r="V95" s="5">
        <f t="shared" si="95"/>
        <v>0</v>
      </c>
      <c r="W95" s="5">
        <f t="shared" si="91"/>
        <v>0</v>
      </c>
      <c r="X95" s="5">
        <f t="shared" si="91"/>
        <v>0</v>
      </c>
      <c r="Y95" s="5">
        <f t="shared" si="91"/>
        <v>0</v>
      </c>
      <c r="Z95" s="30"/>
      <c r="AA95" s="30"/>
      <c r="AB95" s="30"/>
      <c r="AC95" s="30">
        <f t="shared" si="92"/>
        <v>0</v>
      </c>
    </row>
    <row r="96" spans="1:29" x14ac:dyDescent="0.35">
      <c r="A96" s="49" t="s">
        <v>87</v>
      </c>
      <c r="B96" s="50">
        <f>SUM(B92:B95)</f>
        <v>0</v>
      </c>
      <c r="C96" s="50">
        <f t="shared" ref="C96:H96" si="97">SUM(C92:C95)</f>
        <v>0</v>
      </c>
      <c r="D96" s="50">
        <f t="shared" si="97"/>
        <v>0</v>
      </c>
      <c r="E96" s="50"/>
      <c r="F96" s="50">
        <f t="shared" si="97"/>
        <v>0</v>
      </c>
      <c r="G96" s="50">
        <f t="shared" si="97"/>
        <v>0</v>
      </c>
      <c r="H96" s="50">
        <f t="shared" si="97"/>
        <v>0</v>
      </c>
      <c r="I96" s="50">
        <f>SUM(I92:I95)</f>
        <v>0</v>
      </c>
      <c r="J96" s="7"/>
      <c r="L96" s="50">
        <f>SUM(L92:L95)</f>
        <v>0</v>
      </c>
      <c r="M96" s="50">
        <f t="shared" ref="M96:N96" si="98">SUM(M92:M95)</f>
        <v>0</v>
      </c>
      <c r="N96" s="50">
        <f t="shared" si="98"/>
        <v>0</v>
      </c>
      <c r="O96" s="50"/>
      <c r="P96" s="50">
        <f t="shared" ref="P96:R96" si="99">SUM(P92:P95)</f>
        <v>0</v>
      </c>
      <c r="Q96" s="50">
        <f t="shared" si="99"/>
        <v>0</v>
      </c>
      <c r="R96" s="50">
        <f t="shared" si="99"/>
        <v>0</v>
      </c>
      <c r="S96" s="50">
        <f>SUM(S92:S95)</f>
        <v>0</v>
      </c>
      <c r="T96" s="7"/>
      <c r="V96" s="50">
        <f>SUM(V92:V95)</f>
        <v>0</v>
      </c>
      <c r="W96" s="50">
        <f t="shared" ref="W96:X96" si="100">SUM(W92:W95)</f>
        <v>0</v>
      </c>
      <c r="X96" s="50">
        <f t="shared" si="100"/>
        <v>0</v>
      </c>
      <c r="Y96" s="50"/>
      <c r="Z96" s="50">
        <f t="shared" ref="Z96:AB96" si="101">SUM(Z92:Z95)</f>
        <v>0</v>
      </c>
      <c r="AA96" s="50">
        <f t="shared" si="101"/>
        <v>0</v>
      </c>
      <c r="AB96" s="50">
        <f t="shared" si="101"/>
        <v>0</v>
      </c>
      <c r="AC96" s="50">
        <f>SUM(AC92:AC95)</f>
        <v>0</v>
      </c>
    </row>
    <row r="97" spans="1:29" x14ac:dyDescent="0.35">
      <c r="A97" s="150" t="s">
        <v>88</v>
      </c>
      <c r="B97" s="151">
        <f t="shared" ref="B97:H97" si="102">B80+B90+B96</f>
        <v>5267115</v>
      </c>
      <c r="C97" s="151">
        <f t="shared" si="102"/>
        <v>325462</v>
      </c>
      <c r="D97" s="151">
        <f t="shared" si="102"/>
        <v>577278.9</v>
      </c>
      <c r="E97" s="151"/>
      <c r="F97" s="151">
        <f t="shared" si="102"/>
        <v>0</v>
      </c>
      <c r="G97" s="151">
        <f t="shared" si="102"/>
        <v>0</v>
      </c>
      <c r="H97" s="151">
        <f t="shared" si="102"/>
        <v>0</v>
      </c>
      <c r="I97" s="151">
        <f>I80+I90+I96</f>
        <v>6169855.9000000004</v>
      </c>
      <c r="J97" s="7"/>
      <c r="L97" s="151">
        <f>L80+L90+L96</f>
        <v>14666226</v>
      </c>
      <c r="M97" s="151">
        <f t="shared" ref="M97:N97" si="103">M80+M90+M96</f>
        <v>704450</v>
      </c>
      <c r="N97" s="151">
        <f t="shared" si="103"/>
        <v>1631278.44</v>
      </c>
      <c r="O97" s="151"/>
      <c r="P97" s="151">
        <f t="shared" ref="P97:R97" si="104">P80+P90+P96</f>
        <v>0</v>
      </c>
      <c r="Q97" s="151">
        <f t="shared" si="104"/>
        <v>0</v>
      </c>
      <c r="R97" s="151">
        <f t="shared" si="104"/>
        <v>0</v>
      </c>
      <c r="S97" s="151">
        <f>S80+S90+S96</f>
        <v>17001954.440000001</v>
      </c>
      <c r="T97" s="7"/>
      <c r="V97" s="151">
        <f>V80+V90+V96</f>
        <v>19933341</v>
      </c>
      <c r="W97" s="151">
        <f t="shared" ref="W97:X97" si="105">W80+W90+W96</f>
        <v>1029912</v>
      </c>
      <c r="X97" s="151">
        <f t="shared" si="105"/>
        <v>2208557.34</v>
      </c>
      <c r="Y97" s="151"/>
      <c r="Z97" s="151">
        <f t="shared" ref="Z97:AB97" si="106">Z80+Z90+Z96</f>
        <v>0</v>
      </c>
      <c r="AA97" s="151">
        <f t="shared" si="106"/>
        <v>0</v>
      </c>
      <c r="AB97" s="151">
        <f t="shared" si="106"/>
        <v>0</v>
      </c>
      <c r="AC97" s="151">
        <f>AC80+AC90+AC96</f>
        <v>23171810.34</v>
      </c>
    </row>
    <row r="98" spans="1:29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  <c r="L98" s="44"/>
      <c r="M98" s="44"/>
      <c r="N98" s="44"/>
      <c r="O98" s="44"/>
      <c r="P98" s="44"/>
      <c r="Q98" s="44"/>
      <c r="R98" s="44"/>
      <c r="S98" s="45"/>
      <c r="T98" s="7"/>
      <c r="V98" s="44"/>
      <c r="W98" s="44"/>
      <c r="X98" s="44"/>
      <c r="Y98" s="44"/>
      <c r="Z98" s="44"/>
      <c r="AA98" s="44"/>
      <c r="AB98" s="44"/>
      <c r="AC98" s="45"/>
    </row>
    <row r="99" spans="1:29" x14ac:dyDescent="0.35">
      <c r="A99" s="26" t="s">
        <v>281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11"/>
      <c r="L99" s="5">
        <v>0</v>
      </c>
      <c r="M99" s="5"/>
      <c r="N99" s="5"/>
      <c r="O99" s="5"/>
      <c r="P99" s="5"/>
      <c r="Q99" s="5"/>
      <c r="R99" s="5"/>
      <c r="S99" s="5">
        <f>SUM(L99:R99)</f>
        <v>0</v>
      </c>
      <c r="T99" s="11"/>
      <c r="V99" s="5">
        <f>B99+L99</f>
        <v>0</v>
      </c>
      <c r="W99" s="5">
        <f t="shared" ref="W99:Y102" si="107">C99+M99</f>
        <v>0</v>
      </c>
      <c r="X99" s="5">
        <f t="shared" si="107"/>
        <v>0</v>
      </c>
      <c r="Y99" s="5">
        <f t="shared" si="107"/>
        <v>0</v>
      </c>
      <c r="Z99" s="5"/>
      <c r="AA99" s="5"/>
      <c r="AB99" s="5"/>
      <c r="AC99" s="5">
        <f>SUM(V99:AB99)</f>
        <v>0</v>
      </c>
    </row>
    <row r="100" spans="1:29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108">F168</f>
        <v>0</v>
      </c>
      <c r="G100" s="10">
        <f t="shared" si="108"/>
        <v>0</v>
      </c>
      <c r="H100" s="10">
        <f t="shared" si="108"/>
        <v>0</v>
      </c>
      <c r="I100" s="5">
        <f t="shared" ref="I100:I102" si="109">SUM(B100:H100)</f>
        <v>0</v>
      </c>
      <c r="J100" s="11"/>
      <c r="L100" s="10">
        <v>0</v>
      </c>
      <c r="M100" s="10">
        <v>0</v>
      </c>
      <c r="N100" s="10">
        <v>0</v>
      </c>
      <c r="O100" s="10"/>
      <c r="P100" s="10">
        <f t="shared" ref="P100:R100" si="110">P168</f>
        <v>0</v>
      </c>
      <c r="Q100" s="10">
        <f t="shared" si="110"/>
        <v>0</v>
      </c>
      <c r="R100" s="10">
        <f t="shared" si="110"/>
        <v>0</v>
      </c>
      <c r="S100" s="5">
        <f t="shared" ref="S100:S102" si="111">SUM(L100:R100)</f>
        <v>0</v>
      </c>
      <c r="T100" s="11"/>
      <c r="V100" s="5">
        <f t="shared" ref="V100:V102" si="112">B100+L100</f>
        <v>0</v>
      </c>
      <c r="W100" s="5">
        <f t="shared" si="107"/>
        <v>0</v>
      </c>
      <c r="X100" s="5">
        <f t="shared" si="107"/>
        <v>0</v>
      </c>
      <c r="Y100" s="5">
        <f t="shared" si="107"/>
        <v>0</v>
      </c>
      <c r="Z100" s="10">
        <f t="shared" ref="Z100:AB100" si="113">Z168</f>
        <v>0</v>
      </c>
      <c r="AA100" s="10">
        <f t="shared" si="113"/>
        <v>0</v>
      </c>
      <c r="AB100" s="10">
        <f t="shared" si="113"/>
        <v>0</v>
      </c>
      <c r="AC100" s="5">
        <f t="shared" ref="AC100:AC102" si="114">SUM(V100:AB100)</f>
        <v>0</v>
      </c>
    </row>
    <row r="101" spans="1:29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109"/>
        <v>0</v>
      </c>
      <c r="J101" s="11"/>
      <c r="L101" s="30"/>
      <c r="M101" s="30"/>
      <c r="N101" s="30"/>
      <c r="O101" s="30"/>
      <c r="P101" s="30"/>
      <c r="Q101" s="30"/>
      <c r="R101" s="30"/>
      <c r="S101" s="5">
        <f t="shared" si="111"/>
        <v>0</v>
      </c>
      <c r="T101" s="11"/>
      <c r="V101" s="5">
        <f t="shared" si="112"/>
        <v>0</v>
      </c>
      <c r="W101" s="5">
        <f t="shared" si="107"/>
        <v>0</v>
      </c>
      <c r="X101" s="5">
        <f t="shared" si="107"/>
        <v>0</v>
      </c>
      <c r="Y101" s="5">
        <f t="shared" si="107"/>
        <v>0</v>
      </c>
      <c r="Z101" s="30"/>
      <c r="AA101" s="30"/>
      <c r="AB101" s="30"/>
      <c r="AC101" s="5">
        <f t="shared" si="114"/>
        <v>0</v>
      </c>
    </row>
    <row r="102" spans="1:29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109"/>
        <v>0</v>
      </c>
      <c r="J102" s="11"/>
      <c r="L102" s="30"/>
      <c r="M102" s="30"/>
      <c r="N102" s="30"/>
      <c r="O102" s="30"/>
      <c r="P102" s="30"/>
      <c r="Q102" s="30"/>
      <c r="R102" s="30"/>
      <c r="S102" s="5">
        <f t="shared" si="111"/>
        <v>0</v>
      </c>
      <c r="T102" s="11"/>
      <c r="V102" s="5">
        <f t="shared" si="112"/>
        <v>0</v>
      </c>
      <c r="W102" s="5">
        <f t="shared" si="107"/>
        <v>0</v>
      </c>
      <c r="X102" s="5">
        <f t="shared" si="107"/>
        <v>0</v>
      </c>
      <c r="Y102" s="5">
        <f t="shared" si="107"/>
        <v>0</v>
      </c>
      <c r="Z102" s="30"/>
      <c r="AA102" s="30"/>
      <c r="AB102" s="30"/>
      <c r="AC102" s="5">
        <f t="shared" si="114"/>
        <v>0</v>
      </c>
    </row>
    <row r="103" spans="1:29" x14ac:dyDescent="0.35">
      <c r="A103" s="49" t="s">
        <v>280</v>
      </c>
      <c r="B103" s="50">
        <f>SUM(B99:B102)</f>
        <v>0</v>
      </c>
      <c r="C103" s="50">
        <f t="shared" ref="C103:I103" si="115">SUM(C99:C102)</f>
        <v>0</v>
      </c>
      <c r="D103" s="50">
        <f t="shared" si="115"/>
        <v>0</v>
      </c>
      <c r="E103" s="50">
        <f t="shared" si="115"/>
        <v>0</v>
      </c>
      <c r="F103" s="50">
        <f t="shared" si="115"/>
        <v>0</v>
      </c>
      <c r="G103" s="50">
        <f t="shared" si="115"/>
        <v>0</v>
      </c>
      <c r="H103" s="50">
        <f t="shared" si="115"/>
        <v>0</v>
      </c>
      <c r="I103" s="50">
        <f t="shared" si="115"/>
        <v>0</v>
      </c>
      <c r="J103" s="7"/>
      <c r="L103" s="50">
        <f>SUM(L99:L102)</f>
        <v>0</v>
      </c>
      <c r="M103" s="50">
        <f t="shared" ref="M103:S103" si="116">SUM(M99:M102)</f>
        <v>0</v>
      </c>
      <c r="N103" s="50">
        <f t="shared" si="116"/>
        <v>0</v>
      </c>
      <c r="O103" s="50">
        <f t="shared" si="116"/>
        <v>0</v>
      </c>
      <c r="P103" s="50">
        <f t="shared" si="116"/>
        <v>0</v>
      </c>
      <c r="Q103" s="50">
        <f t="shared" si="116"/>
        <v>0</v>
      </c>
      <c r="R103" s="50">
        <f t="shared" si="116"/>
        <v>0</v>
      </c>
      <c r="S103" s="50">
        <f t="shared" si="116"/>
        <v>0</v>
      </c>
      <c r="T103" s="7"/>
      <c r="V103" s="50">
        <f>SUM(V99:V102)</f>
        <v>0</v>
      </c>
      <c r="W103" s="50">
        <f t="shared" ref="W103:AC103" si="117">SUM(W99:W102)</f>
        <v>0</v>
      </c>
      <c r="X103" s="50">
        <f t="shared" si="117"/>
        <v>0</v>
      </c>
      <c r="Y103" s="50">
        <f t="shared" si="117"/>
        <v>0</v>
      </c>
      <c r="Z103" s="50">
        <f t="shared" si="117"/>
        <v>0</v>
      </c>
      <c r="AA103" s="50">
        <f t="shared" si="117"/>
        <v>0</v>
      </c>
      <c r="AB103" s="50">
        <f t="shared" si="117"/>
        <v>0</v>
      </c>
      <c r="AC103" s="50">
        <f t="shared" si="117"/>
        <v>0</v>
      </c>
    </row>
    <row r="104" spans="1:29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  <c r="L104" s="37"/>
      <c r="M104" s="37"/>
      <c r="N104" s="37"/>
      <c r="O104" s="37"/>
      <c r="P104" s="37"/>
      <c r="Q104" s="37"/>
      <c r="R104" s="37"/>
      <c r="S104" s="37"/>
      <c r="T104" s="7"/>
      <c r="V104" s="37"/>
      <c r="W104" s="37"/>
      <c r="X104" s="37"/>
      <c r="Y104" s="37"/>
      <c r="Z104" s="37"/>
      <c r="AA104" s="37"/>
      <c r="AB104" s="37"/>
      <c r="AC104" s="37"/>
    </row>
    <row r="105" spans="1:29" ht="15" thickBot="1" x14ac:dyDescent="0.4">
      <c r="A105" s="55" t="s">
        <v>89</v>
      </c>
      <c r="B105" s="56" t="str">
        <f t="shared" ref="B105:I105" si="118">B1</f>
        <v>Operating</v>
      </c>
      <c r="C105" s="56" t="str">
        <f t="shared" si="118"/>
        <v>SPED</v>
      </c>
      <c r="D105" s="56" t="str">
        <f t="shared" si="118"/>
        <v>NSLP</v>
      </c>
      <c r="E105" s="56" t="str">
        <f t="shared" si="118"/>
        <v>Other</v>
      </c>
      <c r="F105" s="56" t="str">
        <f t="shared" si="118"/>
        <v>Title I</v>
      </c>
      <c r="G105" s="56" t="str">
        <f t="shared" si="118"/>
        <v>Title II</v>
      </c>
      <c r="H105" s="56" t="str">
        <f t="shared" si="118"/>
        <v>Title III</v>
      </c>
      <c r="I105" s="56" t="str">
        <f t="shared" si="118"/>
        <v>B&amp;G</v>
      </c>
      <c r="J105" s="7"/>
      <c r="L105" s="56" t="str">
        <f t="shared" ref="L105:S105" si="119">L1</f>
        <v>Operating</v>
      </c>
      <c r="M105" s="56" t="str">
        <f t="shared" si="119"/>
        <v>SPED</v>
      </c>
      <c r="N105" s="56" t="str">
        <f t="shared" si="119"/>
        <v>NSLP</v>
      </c>
      <c r="O105" s="56" t="str">
        <f t="shared" si="119"/>
        <v>Other</v>
      </c>
      <c r="P105" s="56" t="str">
        <f t="shared" si="119"/>
        <v>Title I</v>
      </c>
      <c r="Q105" s="56" t="str">
        <f t="shared" si="119"/>
        <v>Title II</v>
      </c>
      <c r="R105" s="56" t="str">
        <f t="shared" si="119"/>
        <v>Title III</v>
      </c>
      <c r="S105" s="56" t="str">
        <f t="shared" si="119"/>
        <v>New</v>
      </c>
      <c r="T105" s="7"/>
      <c r="V105" s="56" t="str">
        <f t="shared" ref="V105:AC105" si="120">V1</f>
        <v>Operating</v>
      </c>
      <c r="W105" s="56" t="str">
        <f t="shared" si="120"/>
        <v>SPED</v>
      </c>
      <c r="X105" s="56" t="str">
        <f t="shared" si="120"/>
        <v>NSLP</v>
      </c>
      <c r="Y105" s="56" t="str">
        <f t="shared" si="120"/>
        <v>Other</v>
      </c>
      <c r="Z105" s="56" t="str">
        <f t="shared" si="120"/>
        <v>Title I</v>
      </c>
      <c r="AA105" s="56" t="str">
        <f t="shared" si="120"/>
        <v>Title II</v>
      </c>
      <c r="AB105" s="56" t="str">
        <f t="shared" si="120"/>
        <v>Title III</v>
      </c>
      <c r="AC105" s="56" t="str">
        <f t="shared" si="120"/>
        <v>MANN</v>
      </c>
    </row>
    <row r="106" spans="1:29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  <c r="L106" s="44"/>
      <c r="M106" s="44"/>
      <c r="N106" s="44"/>
      <c r="O106" s="44"/>
      <c r="P106" s="44"/>
      <c r="Q106" s="44"/>
      <c r="R106" s="44"/>
      <c r="S106" s="45"/>
      <c r="T106" s="7"/>
      <c r="V106" s="44"/>
      <c r="W106" s="44"/>
      <c r="X106" s="44"/>
      <c r="Y106" s="44"/>
      <c r="Z106" s="44"/>
      <c r="AA106" s="44"/>
      <c r="AB106" s="44"/>
      <c r="AC106" s="45"/>
    </row>
    <row r="107" spans="1:29" x14ac:dyDescent="0.35">
      <c r="A107" s="26" t="s">
        <v>40</v>
      </c>
      <c r="B107" s="72">
        <f>120000*1.03*1.015*1.015*1.015*1.01</f>
        <v>130538.30562149995</v>
      </c>
      <c r="C107" s="10"/>
      <c r="D107" s="5"/>
      <c r="E107" s="5"/>
      <c r="F107" s="5"/>
      <c r="G107" s="5"/>
      <c r="H107" s="5"/>
      <c r="I107" s="5">
        <f t="shared" ref="I107:I120" si="121">SUM(B107:H107)</f>
        <v>130538.30562149995</v>
      </c>
      <c r="J107" s="11"/>
      <c r="L107" s="72">
        <f>140000*1.015*1.05*1.015*1.015</f>
        <v>153714.72112499998</v>
      </c>
      <c r="M107" s="10"/>
      <c r="N107" s="5"/>
      <c r="O107" s="5"/>
      <c r="P107" s="5"/>
      <c r="Q107" s="5"/>
      <c r="R107" s="5"/>
      <c r="S107" s="5">
        <f t="shared" ref="S107:S120" si="122">SUM(L107:R107)</f>
        <v>153714.72112499998</v>
      </c>
      <c r="T107" s="11"/>
      <c r="V107" s="72">
        <f>B107+L107</f>
        <v>284253.02674649993</v>
      </c>
      <c r="W107" s="72">
        <f t="shared" ref="W107:Y120" si="123">C107+M107</f>
        <v>0</v>
      </c>
      <c r="X107" s="72">
        <f t="shared" si="123"/>
        <v>0</v>
      </c>
      <c r="Y107" s="72">
        <f t="shared" si="123"/>
        <v>0</v>
      </c>
      <c r="Z107" s="5"/>
      <c r="AA107" s="5"/>
      <c r="AB107" s="5"/>
      <c r="AC107" s="5">
        <f t="shared" ref="AC107:AC120" si="124">SUM(V107:AB107)</f>
        <v>284253.02674649993</v>
      </c>
    </row>
    <row r="108" spans="1:29" x14ac:dyDescent="0.35">
      <c r="A108" s="26" t="s">
        <v>91</v>
      </c>
      <c r="B108" s="72">
        <f>100000*1.015*1.015*1.01</f>
        <v>104052.72499999998</v>
      </c>
      <c r="C108" s="10"/>
      <c r="D108" s="5"/>
      <c r="E108" s="5"/>
      <c r="F108" s="5"/>
      <c r="G108" s="5"/>
      <c r="H108" s="5"/>
      <c r="I108" s="5">
        <f t="shared" si="121"/>
        <v>104052.72499999998</v>
      </c>
      <c r="J108" s="11"/>
      <c r="L108" s="72">
        <f>(95000+100000+90000)*1.015*1.02*1.015*1.015*1.01</f>
        <v>307018.49064862495</v>
      </c>
      <c r="M108" s="10"/>
      <c r="N108" s="5"/>
      <c r="O108" s="5"/>
      <c r="P108" s="5"/>
      <c r="Q108" s="5"/>
      <c r="R108" s="5"/>
      <c r="S108" s="5">
        <f t="shared" si="122"/>
        <v>307018.49064862495</v>
      </c>
      <c r="T108" s="11"/>
      <c r="V108" s="72">
        <f t="shared" ref="V108:V120" si="125">B108+L108</f>
        <v>411071.21564862493</v>
      </c>
      <c r="W108" s="72">
        <f t="shared" si="123"/>
        <v>0</v>
      </c>
      <c r="X108" s="72">
        <f t="shared" si="123"/>
        <v>0</v>
      </c>
      <c r="Y108" s="72">
        <f t="shared" si="123"/>
        <v>0</v>
      </c>
      <c r="Z108" s="5"/>
      <c r="AA108" s="5"/>
      <c r="AB108" s="5"/>
      <c r="AC108" s="5">
        <f t="shared" si="124"/>
        <v>411071.21564862493</v>
      </c>
    </row>
    <row r="109" spans="1:29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121"/>
        <v>0</v>
      </c>
      <c r="J109" s="11"/>
      <c r="L109" s="72">
        <f>(80000*L41)*1.015*1.015*1.015*1.01</f>
        <v>84490.812699999966</v>
      </c>
      <c r="M109" s="10"/>
      <c r="N109" s="5"/>
      <c r="O109" s="5"/>
      <c r="P109" s="5"/>
      <c r="Q109" s="5"/>
      <c r="R109" s="5"/>
      <c r="S109" s="5">
        <f t="shared" si="122"/>
        <v>84490.812699999966</v>
      </c>
      <c r="T109" s="11"/>
      <c r="V109" s="72">
        <f t="shared" si="125"/>
        <v>84490.812699999966</v>
      </c>
      <c r="W109" s="72">
        <f t="shared" si="123"/>
        <v>0</v>
      </c>
      <c r="X109" s="72">
        <f t="shared" si="123"/>
        <v>0</v>
      </c>
      <c r="Y109" s="72">
        <f t="shared" si="123"/>
        <v>0</v>
      </c>
      <c r="Z109" s="5"/>
      <c r="AA109" s="5"/>
      <c r="AB109" s="5"/>
      <c r="AC109" s="5">
        <f t="shared" si="124"/>
        <v>84490.812699999966</v>
      </c>
    </row>
    <row r="110" spans="1:29" x14ac:dyDescent="0.35">
      <c r="A110" s="27" t="s">
        <v>36</v>
      </c>
      <c r="B110" s="72">
        <v>0</v>
      </c>
      <c r="C110" s="10"/>
      <c r="D110" s="5"/>
      <c r="E110" s="5"/>
      <c r="F110" s="5"/>
      <c r="G110" s="5"/>
      <c r="H110" s="5"/>
      <c r="I110" s="5">
        <f t="shared" si="121"/>
        <v>0</v>
      </c>
      <c r="J110" s="11"/>
      <c r="L110" s="72">
        <v>0</v>
      </c>
      <c r="M110" s="10"/>
      <c r="N110" s="5"/>
      <c r="O110" s="5"/>
      <c r="P110" s="5"/>
      <c r="Q110" s="5"/>
      <c r="R110" s="5"/>
      <c r="S110" s="5">
        <f t="shared" si="122"/>
        <v>0</v>
      </c>
      <c r="T110" s="11"/>
      <c r="V110" s="72">
        <f t="shared" si="125"/>
        <v>0</v>
      </c>
      <c r="W110" s="72">
        <f t="shared" si="123"/>
        <v>0</v>
      </c>
      <c r="X110" s="72">
        <f t="shared" si="123"/>
        <v>0</v>
      </c>
      <c r="Y110" s="72">
        <f t="shared" si="123"/>
        <v>0</v>
      </c>
      <c r="Z110" s="5"/>
      <c r="AA110" s="5"/>
      <c r="AB110" s="5"/>
      <c r="AC110" s="5">
        <f t="shared" si="124"/>
        <v>0</v>
      </c>
    </row>
    <row r="111" spans="1:29" x14ac:dyDescent="0.35">
      <c r="A111" s="27" t="s">
        <v>38</v>
      </c>
      <c r="B111" s="72">
        <f>87500*1.015*1.015*1.015</f>
        <v>91496.857812499962</v>
      </c>
      <c r="C111" s="10"/>
      <c r="D111" s="5"/>
      <c r="E111" s="5"/>
      <c r="F111" s="5"/>
      <c r="G111" s="5"/>
      <c r="H111" s="5"/>
      <c r="I111" s="5">
        <f t="shared" si="121"/>
        <v>91496.857812499962</v>
      </c>
      <c r="J111" s="11"/>
      <c r="L111" s="72">
        <f>(L43*80000)*1.015*1.015*1.015*1.01</f>
        <v>168981.62539999993</v>
      </c>
      <c r="M111" s="10"/>
      <c r="N111" s="5"/>
      <c r="O111" s="5"/>
      <c r="P111" s="5"/>
      <c r="Q111" s="5"/>
      <c r="R111" s="5"/>
      <c r="S111" s="5">
        <f t="shared" si="122"/>
        <v>168981.62539999993</v>
      </c>
      <c r="T111" s="11"/>
      <c r="V111" s="72">
        <f t="shared" si="125"/>
        <v>260478.48321249988</v>
      </c>
      <c r="W111" s="72">
        <f t="shared" si="123"/>
        <v>0</v>
      </c>
      <c r="X111" s="72">
        <f t="shared" si="123"/>
        <v>0</v>
      </c>
      <c r="Y111" s="72">
        <f t="shared" si="123"/>
        <v>0</v>
      </c>
      <c r="Z111" s="5"/>
      <c r="AA111" s="5"/>
      <c r="AB111" s="5"/>
      <c r="AC111" s="5">
        <f t="shared" si="124"/>
        <v>260478.48321249988</v>
      </c>
    </row>
    <row r="112" spans="1:29" x14ac:dyDescent="0.35">
      <c r="A112" s="26" t="s">
        <v>92</v>
      </c>
      <c r="B112" s="72">
        <f>87500*1.015*1.015*1.015</f>
        <v>91496.857812499962</v>
      </c>
      <c r="C112" s="10"/>
      <c r="D112" s="5"/>
      <c r="E112" s="5"/>
      <c r="F112" s="5"/>
      <c r="G112" s="5"/>
      <c r="H112" s="5"/>
      <c r="I112" s="5">
        <f t="shared" si="121"/>
        <v>91496.857812499962</v>
      </c>
      <c r="J112" s="11"/>
      <c r="L112" s="72">
        <f>(80000*L44)*1.015*1.015*1.015*1.01</f>
        <v>168981.62539999993</v>
      </c>
      <c r="M112" s="10"/>
      <c r="N112" s="5"/>
      <c r="O112" s="5"/>
      <c r="P112" s="5"/>
      <c r="Q112" s="5"/>
      <c r="R112" s="5"/>
      <c r="S112" s="5">
        <f t="shared" si="122"/>
        <v>168981.62539999993</v>
      </c>
      <c r="T112" s="11"/>
      <c r="V112" s="72">
        <f t="shared" si="125"/>
        <v>260478.48321249988</v>
      </c>
      <c r="W112" s="72">
        <f t="shared" si="123"/>
        <v>0</v>
      </c>
      <c r="X112" s="72">
        <f t="shared" si="123"/>
        <v>0</v>
      </c>
      <c r="Y112" s="72">
        <f t="shared" si="123"/>
        <v>0</v>
      </c>
      <c r="Z112" s="5"/>
      <c r="AA112" s="5"/>
      <c r="AB112" s="5"/>
      <c r="AC112" s="5">
        <f t="shared" si="124"/>
        <v>260478.48321249988</v>
      </c>
    </row>
    <row r="113" spans="1:29" x14ac:dyDescent="0.35">
      <c r="A113" s="26" t="s">
        <v>93</v>
      </c>
      <c r="B113" s="10">
        <v>0</v>
      </c>
      <c r="C113" s="10"/>
      <c r="D113" s="5"/>
      <c r="E113" s="5"/>
      <c r="F113" s="5"/>
      <c r="G113" s="5"/>
      <c r="H113" s="5"/>
      <c r="I113" s="5">
        <f t="shared" si="121"/>
        <v>0</v>
      </c>
      <c r="J113" s="11"/>
      <c r="L113" s="72">
        <f>(75000*L45)*1.015*1.015*1.015*1.01</f>
        <v>79210.136906249958</v>
      </c>
      <c r="M113" s="10"/>
      <c r="N113" s="5"/>
      <c r="O113" s="5"/>
      <c r="P113" s="5"/>
      <c r="Q113" s="5"/>
      <c r="R113" s="5"/>
      <c r="S113" s="5">
        <f t="shared" si="122"/>
        <v>79210.136906249958</v>
      </c>
      <c r="T113" s="11"/>
      <c r="V113" s="72">
        <f t="shared" si="125"/>
        <v>79210.136906249958</v>
      </c>
      <c r="W113" s="72">
        <f t="shared" si="123"/>
        <v>0</v>
      </c>
      <c r="X113" s="72">
        <f t="shared" si="123"/>
        <v>0</v>
      </c>
      <c r="Y113" s="72">
        <f t="shared" si="123"/>
        <v>0</v>
      </c>
      <c r="Z113" s="5"/>
      <c r="AA113" s="5"/>
      <c r="AB113" s="5"/>
      <c r="AC113" s="5">
        <f t="shared" si="124"/>
        <v>79210.136906249958</v>
      </c>
    </row>
    <row r="114" spans="1:29" x14ac:dyDescent="0.35">
      <c r="A114" s="26" t="s">
        <v>94</v>
      </c>
      <c r="B114" s="10">
        <f>65250*(B36-B35)</f>
        <v>1370250</v>
      </c>
      <c r="C114" s="10"/>
      <c r="D114" s="5"/>
      <c r="E114" s="5"/>
      <c r="F114" s="5"/>
      <c r="G114" s="5"/>
      <c r="H114" s="5"/>
      <c r="I114" s="5">
        <f t="shared" si="121"/>
        <v>1370250</v>
      </c>
      <c r="J114" s="6">
        <v>65250</v>
      </c>
      <c r="L114" s="10">
        <f>65250*(L36-L35)</f>
        <v>3588750</v>
      </c>
      <c r="M114" s="10"/>
      <c r="N114" s="5"/>
      <c r="O114" s="5"/>
      <c r="P114" s="5"/>
      <c r="Q114" s="5"/>
      <c r="R114" s="5"/>
      <c r="S114" s="5">
        <f t="shared" si="122"/>
        <v>3588750</v>
      </c>
      <c r="T114" s="6">
        <v>65250</v>
      </c>
      <c r="V114" s="72">
        <f t="shared" si="125"/>
        <v>4959000</v>
      </c>
      <c r="W114" s="72">
        <f t="shared" si="123"/>
        <v>0</v>
      </c>
      <c r="X114" s="72">
        <f t="shared" si="123"/>
        <v>0</v>
      </c>
      <c r="Y114" s="72">
        <f t="shared" si="123"/>
        <v>0</v>
      </c>
      <c r="Z114" s="5"/>
      <c r="AA114" s="5"/>
      <c r="AB114" s="5"/>
      <c r="AC114" s="5">
        <f t="shared" si="124"/>
        <v>4959000</v>
      </c>
    </row>
    <row r="115" spans="1:29" x14ac:dyDescent="0.35">
      <c r="A115" s="26" t="s">
        <v>27</v>
      </c>
      <c r="B115" s="10"/>
      <c r="C115" s="10">
        <f>65250*C36</f>
        <v>195750</v>
      </c>
      <c r="D115" s="5"/>
      <c r="E115" s="5"/>
      <c r="F115" s="5"/>
      <c r="G115" s="5"/>
      <c r="H115" s="5"/>
      <c r="I115" s="5">
        <f t="shared" si="121"/>
        <v>195750</v>
      </c>
      <c r="J115" s="11"/>
      <c r="L115" s="10"/>
      <c r="M115" s="10">
        <f>65250*M36</f>
        <v>358875</v>
      </c>
      <c r="N115" s="5"/>
      <c r="O115" s="5"/>
      <c r="P115" s="5"/>
      <c r="Q115" s="5"/>
      <c r="R115" s="5"/>
      <c r="S115" s="5">
        <f t="shared" si="122"/>
        <v>358875</v>
      </c>
      <c r="T115" s="11"/>
      <c r="V115" s="72">
        <f t="shared" si="125"/>
        <v>0</v>
      </c>
      <c r="W115" s="72">
        <f t="shared" si="123"/>
        <v>554625</v>
      </c>
      <c r="X115" s="72">
        <f t="shared" si="123"/>
        <v>0</v>
      </c>
      <c r="Y115" s="72">
        <f t="shared" si="123"/>
        <v>0</v>
      </c>
      <c r="Z115" s="5"/>
      <c r="AA115" s="5"/>
      <c r="AB115" s="5"/>
      <c r="AC115" s="5">
        <f t="shared" si="124"/>
        <v>554625</v>
      </c>
    </row>
    <row r="116" spans="1:29" x14ac:dyDescent="0.35">
      <c r="A116" s="26" t="s">
        <v>95</v>
      </c>
      <c r="B116" s="72">
        <f>(50000+67200)*1.03*1.015*1.015*1.015*1.01</f>
        <v>127492.41182366497</v>
      </c>
      <c r="C116" s="10"/>
      <c r="D116" s="5"/>
      <c r="E116" s="5"/>
      <c r="F116" s="5"/>
      <c r="G116" s="5"/>
      <c r="H116" s="5"/>
      <c r="I116" s="5">
        <f t="shared" si="121"/>
        <v>127492.41182366497</v>
      </c>
      <c r="J116" s="11"/>
      <c r="L116" s="72">
        <f>(52000+45000)*1.015*1.015*1.015*1.015*1.01+(24.5*8*190*1)</f>
        <v>141221.78705473122</v>
      </c>
      <c r="M116" s="10"/>
      <c r="N116" s="5"/>
      <c r="O116" s="5"/>
      <c r="P116" s="5"/>
      <c r="Q116" s="5"/>
      <c r="R116" s="5"/>
      <c r="S116" s="5">
        <f t="shared" si="122"/>
        <v>141221.78705473122</v>
      </c>
      <c r="T116" s="11"/>
      <c r="V116" s="72">
        <f t="shared" si="125"/>
        <v>268714.19887839619</v>
      </c>
      <c r="W116" s="72">
        <f t="shared" si="123"/>
        <v>0</v>
      </c>
      <c r="X116" s="72">
        <f t="shared" si="123"/>
        <v>0</v>
      </c>
      <c r="Y116" s="72">
        <f t="shared" si="123"/>
        <v>0</v>
      </c>
      <c r="Z116" s="5"/>
      <c r="AA116" s="5"/>
      <c r="AB116" s="5"/>
      <c r="AC116" s="5">
        <f t="shared" si="124"/>
        <v>268714.19887839619</v>
      </c>
    </row>
    <row r="117" spans="1:29" x14ac:dyDescent="0.35">
      <c r="A117" s="26" t="s">
        <v>96</v>
      </c>
      <c r="B117" s="10">
        <f>33120*1.03*1.015*1.015*1.015*1.01</f>
        <v>36028.572351533992</v>
      </c>
      <c r="C117" s="10"/>
      <c r="D117" s="5"/>
      <c r="E117" s="5"/>
      <c r="F117" s="5"/>
      <c r="G117" s="5"/>
      <c r="H117" s="5"/>
      <c r="I117" s="5">
        <f t="shared" si="121"/>
        <v>36028.572351533992</v>
      </c>
      <c r="J117" s="11"/>
      <c r="L117" s="10">
        <f>(24.5*8*185)*(L48+L49)</f>
        <v>72520</v>
      </c>
      <c r="M117" s="10"/>
      <c r="N117" s="5"/>
      <c r="O117" s="5"/>
      <c r="P117" s="5"/>
      <c r="Q117" s="5"/>
      <c r="R117" s="5"/>
      <c r="S117" s="5">
        <f t="shared" si="122"/>
        <v>72520</v>
      </c>
      <c r="T117" s="11"/>
      <c r="V117" s="72">
        <f t="shared" si="125"/>
        <v>108548.57235153399</v>
      </c>
      <c r="W117" s="72">
        <f t="shared" si="123"/>
        <v>0</v>
      </c>
      <c r="X117" s="72">
        <f t="shared" si="123"/>
        <v>0</v>
      </c>
      <c r="Y117" s="72">
        <f t="shared" si="123"/>
        <v>0</v>
      </c>
      <c r="Z117" s="5"/>
      <c r="AA117" s="5"/>
      <c r="AB117" s="5"/>
      <c r="AC117" s="5">
        <f t="shared" si="124"/>
        <v>108548.57235153399</v>
      </c>
    </row>
    <row r="118" spans="1:29" x14ac:dyDescent="0.35">
      <c r="A118" s="26" t="s">
        <v>292</v>
      </c>
      <c r="B118" s="10">
        <f>((24.5*8*180)*B50)</f>
        <v>176400</v>
      </c>
      <c r="C118" s="10">
        <f>((24.5*8*180)*C50)</f>
        <v>105840</v>
      </c>
      <c r="D118" s="10">
        <f>((24.5*8*180)*D50)</f>
        <v>70560</v>
      </c>
      <c r="E118" s="5"/>
      <c r="F118" s="5">
        <f>(14*8*180)*F50</f>
        <v>0</v>
      </c>
      <c r="G118" s="5"/>
      <c r="H118" s="5"/>
      <c r="I118" s="5">
        <f t="shared" si="121"/>
        <v>352800</v>
      </c>
      <c r="J118" s="11"/>
      <c r="L118" s="10">
        <f>((24.5*8*180)*L50)</f>
        <v>211680</v>
      </c>
      <c r="M118" s="10">
        <f t="shared" ref="M118:O118" si="126">((24.5*8*180)*M50)</f>
        <v>176400</v>
      </c>
      <c r="N118" s="10">
        <f t="shared" si="126"/>
        <v>105840</v>
      </c>
      <c r="O118" s="10">
        <f t="shared" si="126"/>
        <v>0</v>
      </c>
      <c r="P118" s="5">
        <f>(14*8*180)*P50</f>
        <v>0</v>
      </c>
      <c r="Q118" s="5"/>
      <c r="R118" s="5"/>
      <c r="S118" s="5">
        <f t="shared" si="122"/>
        <v>493920</v>
      </c>
      <c r="T118" s="11"/>
      <c r="V118" s="72">
        <f t="shared" si="125"/>
        <v>388080</v>
      </c>
      <c r="W118" s="72">
        <f t="shared" si="123"/>
        <v>282240</v>
      </c>
      <c r="X118" s="72">
        <f t="shared" si="123"/>
        <v>176400</v>
      </c>
      <c r="Y118" s="72">
        <f t="shared" si="123"/>
        <v>0</v>
      </c>
      <c r="Z118" s="5">
        <f>(14*8*180)*Z50</f>
        <v>0</v>
      </c>
      <c r="AA118" s="5"/>
      <c r="AB118" s="5"/>
      <c r="AC118" s="5">
        <f t="shared" si="124"/>
        <v>846720</v>
      </c>
    </row>
    <row r="119" spans="1:29" x14ac:dyDescent="0.35">
      <c r="A119" s="26" t="s">
        <v>97</v>
      </c>
      <c r="B119" s="10">
        <f>(24.5*8*240)*B51</f>
        <v>0</v>
      </c>
      <c r="C119" s="10"/>
      <c r="D119" s="5"/>
      <c r="E119" s="5"/>
      <c r="F119" s="5"/>
      <c r="G119" s="5"/>
      <c r="H119" s="5"/>
      <c r="I119" s="5">
        <f t="shared" si="121"/>
        <v>0</v>
      </c>
      <c r="J119" s="11"/>
      <c r="L119" s="10">
        <f>(24.5*8*240)*L51</f>
        <v>235200</v>
      </c>
      <c r="M119" s="10"/>
      <c r="N119" s="5"/>
      <c r="O119" s="5"/>
      <c r="P119" s="5"/>
      <c r="Q119" s="5"/>
      <c r="R119" s="5"/>
      <c r="S119" s="5">
        <f t="shared" si="122"/>
        <v>235200</v>
      </c>
      <c r="T119" s="11"/>
      <c r="V119" s="72">
        <f t="shared" si="125"/>
        <v>235200</v>
      </c>
      <c r="W119" s="72">
        <f t="shared" si="123"/>
        <v>0</v>
      </c>
      <c r="X119" s="72">
        <f t="shared" si="123"/>
        <v>0</v>
      </c>
      <c r="Y119" s="72">
        <f t="shared" si="123"/>
        <v>0</v>
      </c>
      <c r="Z119" s="5"/>
      <c r="AA119" s="5"/>
      <c r="AB119" s="5"/>
      <c r="AC119" s="5">
        <f t="shared" si="124"/>
        <v>235200</v>
      </c>
    </row>
    <row r="120" spans="1:29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121"/>
        <v>0</v>
      </c>
      <c r="J120" s="11"/>
      <c r="L120" s="10"/>
      <c r="M120" s="10"/>
      <c r="N120" s="5">
        <f>50000*1.01</f>
        <v>50500</v>
      </c>
      <c r="O120" s="5"/>
      <c r="P120" s="5"/>
      <c r="Q120" s="5"/>
      <c r="R120" s="5"/>
      <c r="S120" s="5">
        <f t="shared" si="122"/>
        <v>50500</v>
      </c>
      <c r="T120" s="11"/>
      <c r="V120" s="72">
        <f t="shared" si="125"/>
        <v>0</v>
      </c>
      <c r="W120" s="72">
        <f t="shared" si="123"/>
        <v>0</v>
      </c>
      <c r="X120" s="72">
        <f t="shared" si="123"/>
        <v>50500</v>
      </c>
      <c r="Y120" s="72">
        <f t="shared" si="123"/>
        <v>0</v>
      </c>
      <c r="Z120" s="5"/>
      <c r="AA120" s="5"/>
      <c r="AB120" s="5"/>
      <c r="AC120" s="5">
        <f t="shared" si="124"/>
        <v>50500</v>
      </c>
    </row>
    <row r="121" spans="1:29" x14ac:dyDescent="0.35">
      <c r="A121" s="57" t="s">
        <v>98</v>
      </c>
      <c r="B121" s="58">
        <f>SUM(B107:B120)</f>
        <v>2127755.7304216987</v>
      </c>
      <c r="C121" s="58">
        <f t="shared" ref="C121:D121" si="127">SUM(C107:C120)</f>
        <v>301590</v>
      </c>
      <c r="D121" s="58">
        <f t="shared" si="127"/>
        <v>70560</v>
      </c>
      <c r="E121" s="58"/>
      <c r="F121" s="58">
        <f t="shared" ref="F121:I121" si="128">SUM(F107:F120)</f>
        <v>0</v>
      </c>
      <c r="G121" s="58">
        <f t="shared" si="128"/>
        <v>0</v>
      </c>
      <c r="H121" s="58">
        <f t="shared" si="128"/>
        <v>0</v>
      </c>
      <c r="I121" s="58">
        <f t="shared" si="128"/>
        <v>2499905.7304216987</v>
      </c>
      <c r="J121" s="7"/>
      <c r="L121" s="58">
        <f>SUM(L107:L120)</f>
        <v>5211769.1992346058</v>
      </c>
      <c r="M121" s="58">
        <f t="shared" ref="M121:N121" si="129">SUM(M107:M120)</f>
        <v>535275</v>
      </c>
      <c r="N121" s="58">
        <f t="shared" si="129"/>
        <v>156340</v>
      </c>
      <c r="O121" s="58"/>
      <c r="P121" s="58">
        <f t="shared" ref="P121:S121" si="130">SUM(P107:P120)</f>
        <v>0</v>
      </c>
      <c r="Q121" s="58">
        <f t="shared" si="130"/>
        <v>0</v>
      </c>
      <c r="R121" s="58">
        <f t="shared" si="130"/>
        <v>0</v>
      </c>
      <c r="S121" s="58">
        <f t="shared" si="130"/>
        <v>5903384.1992346058</v>
      </c>
      <c r="T121" s="7"/>
      <c r="V121" s="58">
        <f>SUM(V107:V120)</f>
        <v>7339524.9296563044</v>
      </c>
      <c r="W121" s="58">
        <f t="shared" ref="W121:X121" si="131">SUM(W107:W120)</f>
        <v>836865</v>
      </c>
      <c r="X121" s="58">
        <f t="shared" si="131"/>
        <v>226900</v>
      </c>
      <c r="Y121" s="58"/>
      <c r="Z121" s="58">
        <f t="shared" ref="Z121:AC121" si="132">SUM(Z107:Z120)</f>
        <v>0</v>
      </c>
      <c r="AA121" s="58">
        <f t="shared" si="132"/>
        <v>0</v>
      </c>
      <c r="AB121" s="58">
        <f t="shared" si="132"/>
        <v>0</v>
      </c>
      <c r="AC121" s="58">
        <f t="shared" si="132"/>
        <v>8403289.9296563044</v>
      </c>
    </row>
    <row r="122" spans="1:29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  <c r="L122" s="44"/>
      <c r="M122" s="44"/>
      <c r="N122" s="44"/>
      <c r="O122" s="44"/>
      <c r="P122" s="44"/>
      <c r="Q122" s="44"/>
      <c r="R122" s="44"/>
      <c r="S122" s="45"/>
      <c r="T122" s="7"/>
      <c r="V122" s="44"/>
      <c r="W122" s="44"/>
      <c r="X122" s="44"/>
      <c r="Y122" s="44"/>
      <c r="Z122" s="44"/>
      <c r="AA122" s="44"/>
      <c r="AB122" s="44"/>
      <c r="AC122" s="45"/>
    </row>
    <row r="123" spans="1:29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133">SUM(B123:H123)</f>
        <v>0</v>
      </c>
      <c r="J123" s="11"/>
      <c r="L123" s="10">
        <v>0</v>
      </c>
      <c r="M123" s="72">
        <v>0</v>
      </c>
      <c r="N123" s="10"/>
      <c r="O123" s="10"/>
      <c r="P123" s="5"/>
      <c r="Q123" s="5"/>
      <c r="R123" s="5"/>
      <c r="S123" s="5">
        <f t="shared" ref="S123:S128" si="134">SUM(L123:R123)</f>
        <v>0</v>
      </c>
      <c r="T123" s="11"/>
      <c r="V123" s="10">
        <f>B123+L123</f>
        <v>0</v>
      </c>
      <c r="W123" s="10">
        <f t="shared" ref="W123:Y130" si="135">C123+M123</f>
        <v>0</v>
      </c>
      <c r="X123" s="10">
        <f t="shared" si="135"/>
        <v>0</v>
      </c>
      <c r="Y123" s="10">
        <f t="shared" si="135"/>
        <v>0</v>
      </c>
      <c r="Z123" s="5"/>
      <c r="AA123" s="5"/>
      <c r="AB123" s="5"/>
      <c r="AC123" s="5">
        <f t="shared" ref="AC123:AC128" si="136">SUM(V123:AB123)</f>
        <v>0</v>
      </c>
    </row>
    <row r="124" spans="1:29" x14ac:dyDescent="0.35">
      <c r="A124" s="26" t="s">
        <v>43</v>
      </c>
      <c r="B124" s="10">
        <v>0</v>
      </c>
      <c r="C124" s="72">
        <f>64000*1.01</f>
        <v>64640</v>
      </c>
      <c r="D124" s="10"/>
      <c r="E124" s="10"/>
      <c r="F124" s="5"/>
      <c r="G124" s="5"/>
      <c r="H124" s="5"/>
      <c r="I124" s="5">
        <f t="shared" si="133"/>
        <v>64640</v>
      </c>
      <c r="J124" s="11"/>
      <c r="L124" s="10">
        <v>0</v>
      </c>
      <c r="M124" s="72">
        <v>0</v>
      </c>
      <c r="N124" s="10"/>
      <c r="O124" s="10"/>
      <c r="P124" s="5"/>
      <c r="Q124" s="5"/>
      <c r="R124" s="5"/>
      <c r="S124" s="5">
        <f t="shared" si="134"/>
        <v>0</v>
      </c>
      <c r="T124" s="11"/>
      <c r="V124" s="10">
        <f t="shared" ref="V124:V130" si="137">B124+L124</f>
        <v>0</v>
      </c>
      <c r="W124" s="10">
        <f t="shared" si="135"/>
        <v>64640</v>
      </c>
      <c r="X124" s="10">
        <f t="shared" si="135"/>
        <v>0</v>
      </c>
      <c r="Y124" s="10">
        <f t="shared" si="135"/>
        <v>0</v>
      </c>
      <c r="Z124" s="5"/>
      <c r="AA124" s="5"/>
      <c r="AB124" s="5"/>
      <c r="AC124" s="5">
        <f t="shared" si="136"/>
        <v>64640</v>
      </c>
    </row>
    <row r="125" spans="1:29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133"/>
        <v>0</v>
      </c>
      <c r="J125" s="11"/>
      <c r="L125" s="10">
        <v>0</v>
      </c>
      <c r="M125" s="10">
        <v>0</v>
      </c>
      <c r="N125" s="10"/>
      <c r="O125" s="10"/>
      <c r="P125" s="5"/>
      <c r="Q125" s="5"/>
      <c r="R125" s="5"/>
      <c r="S125" s="5">
        <f t="shared" si="134"/>
        <v>0</v>
      </c>
      <c r="T125" s="11"/>
      <c r="V125" s="10">
        <f t="shared" si="137"/>
        <v>0</v>
      </c>
      <c r="W125" s="10">
        <f t="shared" si="135"/>
        <v>0</v>
      </c>
      <c r="X125" s="10">
        <f t="shared" si="135"/>
        <v>0</v>
      </c>
      <c r="Y125" s="10">
        <f t="shared" si="135"/>
        <v>0</v>
      </c>
      <c r="Z125" s="5"/>
      <c r="AA125" s="5"/>
      <c r="AB125" s="5"/>
      <c r="AC125" s="5">
        <f t="shared" si="136"/>
        <v>0</v>
      </c>
    </row>
    <row r="126" spans="1:29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133"/>
        <v>0</v>
      </c>
      <c r="J126" s="11"/>
      <c r="L126" s="10">
        <v>0</v>
      </c>
      <c r="M126" s="10"/>
      <c r="N126" s="10"/>
      <c r="O126" s="10"/>
      <c r="P126" s="5"/>
      <c r="Q126" s="5"/>
      <c r="R126" s="5"/>
      <c r="S126" s="21">
        <f t="shared" si="134"/>
        <v>0</v>
      </c>
      <c r="T126" s="11"/>
      <c r="V126" s="10">
        <f t="shared" si="137"/>
        <v>0</v>
      </c>
      <c r="W126" s="10">
        <f t="shared" si="135"/>
        <v>0</v>
      </c>
      <c r="X126" s="10">
        <f t="shared" si="135"/>
        <v>0</v>
      </c>
      <c r="Y126" s="10">
        <f t="shared" si="135"/>
        <v>0</v>
      </c>
      <c r="Z126" s="5"/>
      <c r="AA126" s="5"/>
      <c r="AB126" s="5"/>
      <c r="AC126" s="21">
        <f t="shared" si="136"/>
        <v>0</v>
      </c>
    </row>
    <row r="127" spans="1:29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133"/>
        <v>0</v>
      </c>
      <c r="J127" s="11"/>
      <c r="L127" s="10">
        <v>0</v>
      </c>
      <c r="M127" s="10"/>
      <c r="N127" s="10"/>
      <c r="O127" s="10"/>
      <c r="P127" s="5"/>
      <c r="Q127" s="5"/>
      <c r="R127" s="5"/>
      <c r="S127" s="5">
        <f t="shared" si="134"/>
        <v>0</v>
      </c>
      <c r="T127" s="11"/>
      <c r="V127" s="10">
        <f t="shared" si="137"/>
        <v>0</v>
      </c>
      <c r="W127" s="10">
        <f t="shared" si="135"/>
        <v>0</v>
      </c>
      <c r="X127" s="10">
        <f t="shared" si="135"/>
        <v>0</v>
      </c>
      <c r="Y127" s="10">
        <f t="shared" si="135"/>
        <v>0</v>
      </c>
      <c r="Z127" s="5"/>
      <c r="AA127" s="5"/>
      <c r="AB127" s="5"/>
      <c r="AC127" s="5">
        <f t="shared" si="136"/>
        <v>0</v>
      </c>
    </row>
    <row r="128" spans="1:29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133"/>
        <v>0</v>
      </c>
      <c r="J128" s="11"/>
      <c r="L128" s="72">
        <v>0</v>
      </c>
      <c r="M128" s="10"/>
      <c r="N128" s="10"/>
      <c r="O128" s="10"/>
      <c r="P128" s="5"/>
      <c r="Q128" s="5"/>
      <c r="R128" s="5"/>
      <c r="S128" s="5">
        <f t="shared" si="134"/>
        <v>0</v>
      </c>
      <c r="T128" s="11"/>
      <c r="V128" s="10">
        <f t="shared" si="137"/>
        <v>0</v>
      </c>
      <c r="W128" s="10">
        <f t="shared" si="135"/>
        <v>0</v>
      </c>
      <c r="X128" s="10">
        <f t="shared" si="135"/>
        <v>0</v>
      </c>
      <c r="Y128" s="10">
        <f t="shared" si="135"/>
        <v>0</v>
      </c>
      <c r="Z128" s="5"/>
      <c r="AA128" s="5"/>
      <c r="AB128" s="5"/>
      <c r="AC128" s="5">
        <f t="shared" si="136"/>
        <v>0</v>
      </c>
    </row>
    <row r="129" spans="1:29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  <c r="L129" s="10"/>
      <c r="M129" s="10">
        <f>(12.5*6*185)*M52</f>
        <v>0</v>
      </c>
      <c r="N129" s="72"/>
      <c r="O129" s="72"/>
      <c r="P129" s="5"/>
      <c r="Q129" s="5"/>
      <c r="R129" s="5"/>
      <c r="S129" s="5">
        <f>SUM(L129:R129)</f>
        <v>0</v>
      </c>
      <c r="T129" s="11"/>
      <c r="V129" s="10">
        <f t="shared" si="137"/>
        <v>0</v>
      </c>
      <c r="W129" s="10">
        <f t="shared" si="135"/>
        <v>0</v>
      </c>
      <c r="X129" s="10">
        <f t="shared" si="135"/>
        <v>0</v>
      </c>
      <c r="Y129" s="10">
        <f t="shared" si="135"/>
        <v>0</v>
      </c>
      <c r="Z129" s="5"/>
      <c r="AA129" s="5"/>
      <c r="AB129" s="5"/>
      <c r="AC129" s="5">
        <f>SUM(V129:AB129)</f>
        <v>0</v>
      </c>
    </row>
    <row r="130" spans="1:29" x14ac:dyDescent="0.35">
      <c r="A130" s="26" t="s">
        <v>55</v>
      </c>
      <c r="B130" s="148">
        <f>150*180*B59</f>
        <v>0</v>
      </c>
      <c r="C130" s="148">
        <f t="shared" ref="C130:H130" si="138">150*180*C59</f>
        <v>0</v>
      </c>
      <c r="D130" s="148">
        <f t="shared" si="138"/>
        <v>0</v>
      </c>
      <c r="E130" s="148">
        <f t="shared" si="138"/>
        <v>0</v>
      </c>
      <c r="F130" s="148">
        <f t="shared" si="138"/>
        <v>0</v>
      </c>
      <c r="G130" s="148">
        <f t="shared" si="138"/>
        <v>0</v>
      </c>
      <c r="H130" s="148">
        <f t="shared" si="138"/>
        <v>0</v>
      </c>
      <c r="I130" s="5">
        <f>SUM(B130:H130)</f>
        <v>0</v>
      </c>
      <c r="J130" s="11"/>
      <c r="L130" s="148">
        <f>150*180*L59</f>
        <v>0</v>
      </c>
      <c r="M130" s="148">
        <f t="shared" ref="M130:R130" si="139">150*180*M59</f>
        <v>0</v>
      </c>
      <c r="N130" s="148">
        <f t="shared" si="139"/>
        <v>0</v>
      </c>
      <c r="O130" s="148">
        <f t="shared" si="139"/>
        <v>0</v>
      </c>
      <c r="P130" s="148">
        <f t="shared" si="139"/>
        <v>0</v>
      </c>
      <c r="Q130" s="148">
        <f t="shared" si="139"/>
        <v>0</v>
      </c>
      <c r="R130" s="148">
        <f t="shared" si="139"/>
        <v>0</v>
      </c>
      <c r="S130" s="5">
        <f>SUM(L130:R130)</f>
        <v>0</v>
      </c>
      <c r="T130" s="11"/>
      <c r="V130" s="10">
        <f t="shared" si="137"/>
        <v>0</v>
      </c>
      <c r="W130" s="10">
        <f t="shared" si="135"/>
        <v>0</v>
      </c>
      <c r="X130" s="10">
        <f t="shared" si="135"/>
        <v>0</v>
      </c>
      <c r="Y130" s="10">
        <f t="shared" si="135"/>
        <v>0</v>
      </c>
      <c r="Z130" s="148">
        <f t="shared" ref="Z130:AB130" si="140">150*180*Z59</f>
        <v>0</v>
      </c>
      <c r="AA130" s="148">
        <f t="shared" si="140"/>
        <v>0</v>
      </c>
      <c r="AB130" s="148">
        <f t="shared" si="140"/>
        <v>0</v>
      </c>
      <c r="AC130" s="5">
        <f>SUM(V130:AB130)</f>
        <v>0</v>
      </c>
    </row>
    <row r="131" spans="1:29" x14ac:dyDescent="0.35">
      <c r="A131" s="60" t="s">
        <v>101</v>
      </c>
      <c r="B131" s="61">
        <f>SUM(B123:B130)</f>
        <v>0</v>
      </c>
      <c r="C131" s="61">
        <f t="shared" ref="C131:I131" si="141">SUM(C123:C130)</f>
        <v>64640</v>
      </c>
      <c r="D131" s="61">
        <f t="shared" si="141"/>
        <v>0</v>
      </c>
      <c r="E131" s="61"/>
      <c r="F131" s="61">
        <f t="shared" si="141"/>
        <v>0</v>
      </c>
      <c r="G131" s="61">
        <f t="shared" si="141"/>
        <v>0</v>
      </c>
      <c r="H131" s="61">
        <f t="shared" si="141"/>
        <v>0</v>
      </c>
      <c r="I131" s="61">
        <f t="shared" si="141"/>
        <v>64640</v>
      </c>
      <c r="J131" s="7"/>
      <c r="L131" s="61">
        <f>SUM(L123:L130)</f>
        <v>0</v>
      </c>
      <c r="M131" s="61">
        <f t="shared" ref="M131:N131" si="142">SUM(M123:M130)</f>
        <v>0</v>
      </c>
      <c r="N131" s="61">
        <f t="shared" si="142"/>
        <v>0</v>
      </c>
      <c r="O131" s="61"/>
      <c r="P131" s="61">
        <f t="shared" ref="P131:S131" si="143">SUM(P123:P130)</f>
        <v>0</v>
      </c>
      <c r="Q131" s="61">
        <f t="shared" si="143"/>
        <v>0</v>
      </c>
      <c r="R131" s="61">
        <f t="shared" si="143"/>
        <v>0</v>
      </c>
      <c r="S131" s="61">
        <f t="shared" si="143"/>
        <v>0</v>
      </c>
      <c r="T131" s="7"/>
      <c r="V131" s="61">
        <f>SUM(V123:V130)</f>
        <v>0</v>
      </c>
      <c r="W131" s="61">
        <f t="shared" ref="W131:X131" si="144">SUM(W123:W130)</f>
        <v>64640</v>
      </c>
      <c r="X131" s="61">
        <f t="shared" si="144"/>
        <v>0</v>
      </c>
      <c r="Y131" s="61"/>
      <c r="Z131" s="61">
        <f t="shared" ref="Z131:AC131" si="145">SUM(Z123:Z130)</f>
        <v>0</v>
      </c>
      <c r="AA131" s="61">
        <f t="shared" si="145"/>
        <v>0</v>
      </c>
      <c r="AB131" s="61">
        <f t="shared" si="145"/>
        <v>0</v>
      </c>
      <c r="AC131" s="61">
        <f t="shared" si="145"/>
        <v>64640</v>
      </c>
    </row>
    <row r="132" spans="1:29" x14ac:dyDescent="0.35">
      <c r="A132" s="62" t="s">
        <v>102</v>
      </c>
      <c r="B132" s="63">
        <f t="shared" ref="B132:H132" si="146">B121+B131</f>
        <v>2127755.7304216987</v>
      </c>
      <c r="C132" s="63">
        <f t="shared" si="146"/>
        <v>366230</v>
      </c>
      <c r="D132" s="63">
        <f t="shared" si="146"/>
        <v>70560</v>
      </c>
      <c r="E132" s="63"/>
      <c r="F132" s="63">
        <f t="shared" si="146"/>
        <v>0</v>
      </c>
      <c r="G132" s="63">
        <f t="shared" si="146"/>
        <v>0</v>
      </c>
      <c r="H132" s="63">
        <f t="shared" si="146"/>
        <v>0</v>
      </c>
      <c r="I132" s="63">
        <f>I121+I131</f>
        <v>2564545.7304216987</v>
      </c>
      <c r="J132" s="7"/>
      <c r="L132" s="63">
        <f t="shared" ref="L132:N132" si="147">L121+L131</f>
        <v>5211769.1992346058</v>
      </c>
      <c r="M132" s="63">
        <f t="shared" si="147"/>
        <v>535275</v>
      </c>
      <c r="N132" s="63">
        <f t="shared" si="147"/>
        <v>156340</v>
      </c>
      <c r="O132" s="63"/>
      <c r="P132" s="63">
        <f t="shared" ref="P132:R132" si="148">P121+P131</f>
        <v>0</v>
      </c>
      <c r="Q132" s="63">
        <f t="shared" si="148"/>
        <v>0</v>
      </c>
      <c r="R132" s="63">
        <f t="shared" si="148"/>
        <v>0</v>
      </c>
      <c r="S132" s="63">
        <f>S121+S131</f>
        <v>5903384.1992346058</v>
      </c>
      <c r="T132" s="7"/>
      <c r="V132" s="63">
        <f t="shared" ref="V132:X132" si="149">V121+V131</f>
        <v>7339524.9296563044</v>
      </c>
      <c r="W132" s="63">
        <f t="shared" si="149"/>
        <v>901505</v>
      </c>
      <c r="X132" s="63">
        <f t="shared" si="149"/>
        <v>226900</v>
      </c>
      <c r="Y132" s="63"/>
      <c r="Z132" s="63">
        <f t="shared" ref="Z132:AB132" si="150">Z121+Z131</f>
        <v>0</v>
      </c>
      <c r="AA132" s="63">
        <f t="shared" si="150"/>
        <v>0</v>
      </c>
      <c r="AB132" s="63">
        <f t="shared" si="150"/>
        <v>0</v>
      </c>
      <c r="AC132" s="63">
        <f>AC121+AC131</f>
        <v>8467929.9296563044</v>
      </c>
    </row>
    <row r="133" spans="1:29" x14ac:dyDescent="0.35">
      <c r="A133" s="26" t="s">
        <v>258</v>
      </c>
      <c r="B133" s="47">
        <f>B132*0.335</f>
        <v>712798.16969126905</v>
      </c>
      <c r="C133" s="47">
        <f t="shared" ref="C133:H133" si="151">C132*0.335</f>
        <v>122687.05</v>
      </c>
      <c r="D133" s="47">
        <f t="shared" si="151"/>
        <v>23637.600000000002</v>
      </c>
      <c r="E133" s="47"/>
      <c r="F133" s="47">
        <f t="shared" si="151"/>
        <v>0</v>
      </c>
      <c r="G133" s="47">
        <f t="shared" si="151"/>
        <v>0</v>
      </c>
      <c r="H133" s="47">
        <f t="shared" si="151"/>
        <v>0</v>
      </c>
      <c r="I133" s="10">
        <f>SUM(B133:H133)</f>
        <v>859122.81969126908</v>
      </c>
      <c r="J133" s="105">
        <f>I133/I132</f>
        <v>0.33500000000000002</v>
      </c>
      <c r="L133" s="47">
        <f>L132*0.335</f>
        <v>1745942.681743593</v>
      </c>
      <c r="M133" s="47">
        <f t="shared" ref="M133:N133" si="152">M132*0.335</f>
        <v>179317.125</v>
      </c>
      <c r="N133" s="47">
        <f t="shared" si="152"/>
        <v>52373.9</v>
      </c>
      <c r="O133" s="47"/>
      <c r="P133" s="47">
        <f t="shared" ref="P133:R133" si="153">P132*0.335</f>
        <v>0</v>
      </c>
      <c r="Q133" s="47">
        <f t="shared" si="153"/>
        <v>0</v>
      </c>
      <c r="R133" s="47">
        <f t="shared" si="153"/>
        <v>0</v>
      </c>
      <c r="S133" s="10">
        <f>SUM(L133:R133)</f>
        <v>1977633.7067435929</v>
      </c>
      <c r="T133" s="105">
        <f>S133/S132</f>
        <v>0.33499999999999996</v>
      </c>
      <c r="V133" s="47">
        <f>B133+L133</f>
        <v>2458740.8514348622</v>
      </c>
      <c r="W133" s="47">
        <f t="shared" ref="W133:Y140" si="154">C133+M133</f>
        <v>302004.17499999999</v>
      </c>
      <c r="X133" s="47">
        <f t="shared" si="154"/>
        <v>76011.5</v>
      </c>
      <c r="Y133" s="47">
        <f t="shared" si="154"/>
        <v>0</v>
      </c>
      <c r="Z133" s="47">
        <f t="shared" ref="Z133:AB133" si="155">Z132*0.335</f>
        <v>0</v>
      </c>
      <c r="AA133" s="47">
        <f t="shared" si="155"/>
        <v>0</v>
      </c>
      <c r="AB133" s="47">
        <f t="shared" si="155"/>
        <v>0</v>
      </c>
      <c r="AC133" s="10">
        <f>SUM(V133:AB133)</f>
        <v>2836756.5264348621</v>
      </c>
    </row>
    <row r="134" spans="1:29" x14ac:dyDescent="0.35">
      <c r="A134" s="26" t="s">
        <v>103</v>
      </c>
      <c r="B134" s="10">
        <f>((7900*B65)*0.8)+((190*B65)*0.78)+((95*B65)*0.78)+(B132*0.015)+(B132*0.03)</f>
        <v>311644.90786897647</v>
      </c>
      <c r="C134" s="10">
        <f t="shared" ref="C134:E134" si="156">((7900*C65)*0.8)+((190*C65)*0.78)+((95*C65)*0.78)+(C132*0.015)+(C132*0.03)</f>
        <v>62276.45</v>
      </c>
      <c r="D134" s="10">
        <f t="shared" si="156"/>
        <v>16259.8</v>
      </c>
      <c r="E134" s="10">
        <f t="shared" si="156"/>
        <v>0</v>
      </c>
      <c r="F134" s="10">
        <f t="shared" ref="F134:H134" si="157">((6450*F65)*0.78)+((160*F65)*0.78)+((65*F65)*0.78)+(F132*0.015)+(F132*0.03)</f>
        <v>0</v>
      </c>
      <c r="G134" s="10">
        <f t="shared" si="157"/>
        <v>0</v>
      </c>
      <c r="H134" s="10">
        <f t="shared" si="157"/>
        <v>0</v>
      </c>
      <c r="I134" s="10">
        <f>SUM(B134:H134)</f>
        <v>390181.15786897647</v>
      </c>
      <c r="J134" s="105">
        <f>I134/I132</f>
        <v>0.15214435571980126</v>
      </c>
      <c r="L134" s="10">
        <f>((7900*L65)*0.8)+((190*L65)*0.78)+((95*L65)*0.78)+(L132*0.015)+(L132*0.03)</f>
        <v>764455.91396555724</v>
      </c>
      <c r="M134" s="10">
        <f t="shared" ref="M134:O134" si="158">((7900*M65)*0.8)+((190*M65)*0.78)+((95*M65)*0.78)+(M132*0.015)+(M132*0.03)</f>
        <v>92781.525000000009</v>
      </c>
      <c r="N134" s="10">
        <f t="shared" si="158"/>
        <v>33204.5</v>
      </c>
      <c r="O134" s="10">
        <f t="shared" si="158"/>
        <v>0</v>
      </c>
      <c r="P134" s="10">
        <f t="shared" ref="P134:R134" si="159">((6450*P65)*0.78)+((160*P65)*0.78)+((65*P65)*0.78)+(P132*0.015)+(P132*0.03)</f>
        <v>0</v>
      </c>
      <c r="Q134" s="10">
        <f t="shared" si="159"/>
        <v>0</v>
      </c>
      <c r="R134" s="10">
        <f t="shared" si="159"/>
        <v>0</v>
      </c>
      <c r="S134" s="10">
        <f>SUM(L134:R134)</f>
        <v>890441.93896555726</v>
      </c>
      <c r="T134" s="105">
        <f>S134/S132</f>
        <v>0.15083584413852077</v>
      </c>
      <c r="V134" s="47">
        <f t="shared" ref="V134:V140" si="160">B134+L134</f>
        <v>1076100.8218345337</v>
      </c>
      <c r="W134" s="47">
        <f t="shared" si="154"/>
        <v>155057.97500000001</v>
      </c>
      <c r="X134" s="47">
        <f t="shared" si="154"/>
        <v>49464.3</v>
      </c>
      <c r="Y134" s="47">
        <f t="shared" si="154"/>
        <v>0</v>
      </c>
      <c r="Z134" s="10">
        <f t="shared" ref="Z134:AB134" si="161">((6450*Z65)*0.78)+((160*Z65)*0.78)+((65*Z65)*0.78)+(Z132*0.015)+(Z132*0.03)</f>
        <v>0</v>
      </c>
      <c r="AA134" s="10">
        <f t="shared" si="161"/>
        <v>0</v>
      </c>
      <c r="AB134" s="10">
        <f t="shared" si="161"/>
        <v>0</v>
      </c>
      <c r="AC134" s="10">
        <f>SUM(V134:AB134)</f>
        <v>1280623.0968345338</v>
      </c>
    </row>
    <row r="135" spans="1:29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</f>
        <v>32422.5</v>
      </c>
      <c r="C135" s="10">
        <f t="shared" ref="C135:H135" si="162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162"/>
        <v>990</v>
      </c>
      <c r="E135" s="10">
        <f t="shared" si="162"/>
        <v>0</v>
      </c>
      <c r="F135" s="10">
        <f t="shared" si="162"/>
        <v>0</v>
      </c>
      <c r="G135" s="10">
        <f t="shared" si="162"/>
        <v>0</v>
      </c>
      <c r="H135" s="10">
        <f t="shared" si="162"/>
        <v>0</v>
      </c>
      <c r="I135" s="10">
        <f t="shared" ref="I135:I140" si="163">SUM(B135:H135)</f>
        <v>38857.5</v>
      </c>
      <c r="J135" s="11"/>
      <c r="L135" s="10">
        <f>((2000*L39)+(1750*L40)+(1500*L41)+(1500*L42)+(1500*L43)+(1500*L44)+(1500*L45)+(1000*L46)+(1000*L47)+(500*L48)+(500*L49)+(500*L50)+(500*L51)+(500*L52)+(500*L53)+(1000*L54)+(1000*L55)+(1000*L56)+(1000*L57)+(1000*L58)+(500*L59)+(500*L60)+(1000*L36))+20000</f>
        <v>100750</v>
      </c>
      <c r="M135" s="10">
        <f t="shared" ref="M135:R135" si="164">((2000*M39)+(1750*M40)+(1500*M41)+(1500*M42)+(1500*M43)+(1500*M44)+(1500*M45)+(1000*M46)+(1000*M47)+(500*M48)+(500*M49)+(500*M50)+(500*M51)+(500*M52)+(500*M53)+(1000*M54)+(1000*M55)+(1000*M56)+(1000*M57)+(1000*M58)+(500*M59)+(500*M60)+(1000*M36))*0.99</f>
        <v>7920</v>
      </c>
      <c r="N135" s="10">
        <f t="shared" si="164"/>
        <v>1980</v>
      </c>
      <c r="O135" s="10">
        <f t="shared" si="164"/>
        <v>0</v>
      </c>
      <c r="P135" s="10">
        <f t="shared" si="164"/>
        <v>0</v>
      </c>
      <c r="Q135" s="10">
        <f t="shared" si="164"/>
        <v>0</v>
      </c>
      <c r="R135" s="10">
        <f t="shared" si="164"/>
        <v>0</v>
      </c>
      <c r="S135" s="10">
        <f t="shared" ref="S135:S140" si="165">SUM(L135:R135)</f>
        <v>110650</v>
      </c>
      <c r="T135" s="11"/>
      <c r="V135" s="47">
        <f t="shared" si="160"/>
        <v>133172.5</v>
      </c>
      <c r="W135" s="47">
        <f t="shared" si="154"/>
        <v>13365</v>
      </c>
      <c r="X135" s="47">
        <f t="shared" si="154"/>
        <v>2970</v>
      </c>
      <c r="Y135" s="47">
        <f t="shared" si="154"/>
        <v>0</v>
      </c>
      <c r="Z135" s="10">
        <f t="shared" ref="Z135:AB135" si="166">((2000*Z39)+(1750*Z40)+(1500*Z41)+(1500*Z42)+(1500*Z43)+(1500*Z44)+(1500*Z45)+(1000*Z46)+(1000*Z47)+(500*Z48)+(500*Z49)+(500*Z50)+(500*Z51)+(500*Z52)+(500*Z53)+(1000*Z54)+(1000*Z55)+(1000*Z56)+(1000*Z57)+(1000*Z58)+(500*Z59)+(500*Z60)+(1000*Z36))*0.99</f>
        <v>0</v>
      </c>
      <c r="AA135" s="10">
        <f t="shared" si="166"/>
        <v>0</v>
      </c>
      <c r="AB135" s="10">
        <f t="shared" si="166"/>
        <v>0</v>
      </c>
      <c r="AC135" s="10">
        <f t="shared" ref="AC135:AC140" si="167">SUM(V135:AB135)</f>
        <v>149507.5</v>
      </c>
    </row>
    <row r="136" spans="1:29" x14ac:dyDescent="0.35">
      <c r="A136" s="26" t="s">
        <v>105</v>
      </c>
      <c r="B136" s="10">
        <f>125*B65+(125*15)</f>
        <v>6000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163"/>
        <v>7125</v>
      </c>
      <c r="J136" s="11"/>
      <c r="L136" s="10">
        <f>125*L65+(125*35)</f>
        <v>14500</v>
      </c>
      <c r="M136" s="10">
        <f>125*M65</f>
        <v>1312.5</v>
      </c>
      <c r="N136" s="10">
        <f>125*N65</f>
        <v>500</v>
      </c>
      <c r="O136" s="10"/>
      <c r="P136" s="10">
        <f>125*P65</f>
        <v>0</v>
      </c>
      <c r="Q136" s="10">
        <f>125*Q65</f>
        <v>0</v>
      </c>
      <c r="R136" s="10">
        <f>125*R65</f>
        <v>0</v>
      </c>
      <c r="S136" s="10">
        <f t="shared" si="165"/>
        <v>16312.5</v>
      </c>
      <c r="T136" s="11"/>
      <c r="V136" s="47">
        <f t="shared" si="160"/>
        <v>20500</v>
      </c>
      <c r="W136" s="47">
        <f t="shared" si="154"/>
        <v>2187.5</v>
      </c>
      <c r="X136" s="47">
        <f t="shared" si="154"/>
        <v>750</v>
      </c>
      <c r="Y136" s="47">
        <f t="shared" si="154"/>
        <v>0</v>
      </c>
      <c r="Z136" s="10">
        <f>125*Z65</f>
        <v>0</v>
      </c>
      <c r="AA136" s="10">
        <f>125*AA65</f>
        <v>0</v>
      </c>
      <c r="AB136" s="10">
        <f>125*AB65</f>
        <v>0</v>
      </c>
      <c r="AC136" s="10">
        <f t="shared" si="167"/>
        <v>23437.5</v>
      </c>
    </row>
    <row r="137" spans="1:29" x14ac:dyDescent="0.35">
      <c r="A137" s="26" t="s">
        <v>106</v>
      </c>
      <c r="B137" s="10">
        <v>0</v>
      </c>
      <c r="C137" s="10">
        <f>50000*1.03*1.015*1.015*1.015</f>
        <v>53852.43631249998</v>
      </c>
      <c r="D137" s="10"/>
      <c r="E137" s="10"/>
      <c r="F137" s="10">
        <v>0</v>
      </c>
      <c r="G137" s="10"/>
      <c r="H137" s="10"/>
      <c r="I137" s="10">
        <f t="shared" si="163"/>
        <v>53852.43631249998</v>
      </c>
      <c r="J137" s="11"/>
      <c r="L137" s="10">
        <v>0</v>
      </c>
      <c r="M137" s="10">
        <v>0</v>
      </c>
      <c r="N137" s="10"/>
      <c r="O137" s="10"/>
      <c r="P137" s="10">
        <v>0</v>
      </c>
      <c r="Q137" s="10"/>
      <c r="R137" s="10"/>
      <c r="S137" s="10">
        <f t="shared" si="165"/>
        <v>0</v>
      </c>
      <c r="T137" s="11"/>
      <c r="V137" s="47">
        <f t="shared" si="160"/>
        <v>0</v>
      </c>
      <c r="W137" s="47">
        <f t="shared" si="154"/>
        <v>53852.43631249998</v>
      </c>
      <c r="X137" s="47">
        <f t="shared" si="154"/>
        <v>0</v>
      </c>
      <c r="Y137" s="47">
        <f t="shared" si="154"/>
        <v>0</v>
      </c>
      <c r="Z137" s="10">
        <v>0</v>
      </c>
      <c r="AA137" s="10"/>
      <c r="AB137" s="10"/>
      <c r="AC137" s="10">
        <f t="shared" si="167"/>
        <v>53852.43631249998</v>
      </c>
    </row>
    <row r="138" spans="1:29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163"/>
        <v>0</v>
      </c>
      <c r="J138" s="11"/>
      <c r="L138" s="10">
        <v>0</v>
      </c>
      <c r="M138" s="10">
        <v>0</v>
      </c>
      <c r="N138" s="10">
        <v>0</v>
      </c>
      <c r="O138" s="10"/>
      <c r="P138" s="10"/>
      <c r="Q138" s="10"/>
      <c r="R138" s="10"/>
      <c r="S138" s="10">
        <f t="shared" si="165"/>
        <v>0</v>
      </c>
      <c r="T138" s="11"/>
      <c r="V138" s="47">
        <f t="shared" si="160"/>
        <v>0</v>
      </c>
      <c r="W138" s="47">
        <f t="shared" si="154"/>
        <v>0</v>
      </c>
      <c r="X138" s="47">
        <f t="shared" si="154"/>
        <v>0</v>
      </c>
      <c r="Y138" s="47">
        <f t="shared" si="154"/>
        <v>0</v>
      </c>
      <c r="Z138" s="10"/>
      <c r="AA138" s="10"/>
      <c r="AB138" s="10"/>
      <c r="AC138" s="10">
        <f t="shared" si="167"/>
        <v>0</v>
      </c>
    </row>
    <row r="139" spans="1:29" x14ac:dyDescent="0.35">
      <c r="A139" s="26" t="s">
        <v>108</v>
      </c>
      <c r="B139" s="10">
        <v>13000</v>
      </c>
      <c r="C139" s="10"/>
      <c r="D139" s="10"/>
      <c r="E139" s="10"/>
      <c r="F139" s="10"/>
      <c r="G139" s="10"/>
      <c r="H139" s="10"/>
      <c r="I139" s="5">
        <f t="shared" si="163"/>
        <v>13000</v>
      </c>
      <c r="J139" s="11"/>
      <c r="L139" s="10">
        <v>15500</v>
      </c>
      <c r="M139" s="10"/>
      <c r="N139" s="10"/>
      <c r="O139" s="10"/>
      <c r="P139" s="10"/>
      <c r="Q139" s="10"/>
      <c r="R139" s="10"/>
      <c r="S139" s="5">
        <f t="shared" si="165"/>
        <v>15500</v>
      </c>
      <c r="T139" s="11"/>
      <c r="V139" s="47">
        <f t="shared" si="160"/>
        <v>28500</v>
      </c>
      <c r="W139" s="47">
        <f t="shared" si="154"/>
        <v>0</v>
      </c>
      <c r="X139" s="47">
        <f t="shared" si="154"/>
        <v>0</v>
      </c>
      <c r="Y139" s="47">
        <f t="shared" si="154"/>
        <v>0</v>
      </c>
      <c r="Z139" s="10"/>
      <c r="AA139" s="10"/>
      <c r="AB139" s="10"/>
      <c r="AC139" s="5">
        <f t="shared" si="167"/>
        <v>28500</v>
      </c>
    </row>
    <row r="140" spans="1:29" x14ac:dyDescent="0.35">
      <c r="A140" s="26" t="s">
        <v>322</v>
      </c>
      <c r="B140" s="30">
        <f>(190*11*(B36-B35))-B130</f>
        <v>43890</v>
      </c>
      <c r="C140" s="30">
        <f t="shared" ref="C140:E140" si="168">(190*11*(C36-C35))-C130</f>
        <v>6270</v>
      </c>
      <c r="D140" s="30">
        <f t="shared" si="168"/>
        <v>0</v>
      </c>
      <c r="E140" s="30">
        <f t="shared" si="168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163"/>
        <v>50160</v>
      </c>
      <c r="J140" s="11" t="s">
        <v>327</v>
      </c>
      <c r="L140" s="30">
        <f>(190*11*(L36-L35))-L130</f>
        <v>114950</v>
      </c>
      <c r="M140" s="30">
        <f t="shared" ref="M140:O140" si="169">(190*11*(M36-M35))-M130</f>
        <v>11495</v>
      </c>
      <c r="N140" s="30">
        <f t="shared" si="169"/>
        <v>0</v>
      </c>
      <c r="O140" s="30">
        <f t="shared" si="169"/>
        <v>0</v>
      </c>
      <c r="P140" s="30">
        <f>(175*10*P36)-P130</f>
        <v>0</v>
      </c>
      <c r="Q140" s="30">
        <f>(175*10*Q36)-Q130</f>
        <v>0</v>
      </c>
      <c r="R140" s="30">
        <f>(175*10*R36)-R130</f>
        <v>0</v>
      </c>
      <c r="S140" s="5">
        <f t="shared" si="165"/>
        <v>126445</v>
      </c>
      <c r="T140" s="11" t="s">
        <v>327</v>
      </c>
      <c r="V140" s="47">
        <f t="shared" si="160"/>
        <v>158840</v>
      </c>
      <c r="W140" s="47">
        <f t="shared" si="154"/>
        <v>17765</v>
      </c>
      <c r="X140" s="47">
        <f t="shared" si="154"/>
        <v>0</v>
      </c>
      <c r="Y140" s="47">
        <f t="shared" si="154"/>
        <v>0</v>
      </c>
      <c r="Z140" s="30">
        <f>(175*10*Z36)-Z130</f>
        <v>0</v>
      </c>
      <c r="AA140" s="30">
        <f>(175*10*AA36)-AA130</f>
        <v>0</v>
      </c>
      <c r="AB140" s="30">
        <f>(175*10*AB36)-AB130</f>
        <v>0</v>
      </c>
      <c r="AC140" s="5">
        <f t="shared" si="167"/>
        <v>176605</v>
      </c>
    </row>
    <row r="141" spans="1:29" x14ac:dyDescent="0.35">
      <c r="A141" s="64" t="s">
        <v>109</v>
      </c>
      <c r="B141" s="65">
        <f>SUM(B133:B140)</f>
        <v>1119755.5775602455</v>
      </c>
      <c r="C141" s="65">
        <f t="shared" ref="C141:H141" si="170">SUM(C133:C140)</f>
        <v>251405.93631249998</v>
      </c>
      <c r="D141" s="65">
        <f t="shared" si="170"/>
        <v>41137.4</v>
      </c>
      <c r="E141" s="65"/>
      <c r="F141" s="65">
        <f t="shared" si="170"/>
        <v>0</v>
      </c>
      <c r="G141" s="65">
        <f t="shared" si="170"/>
        <v>0</v>
      </c>
      <c r="H141" s="65">
        <f t="shared" si="170"/>
        <v>0</v>
      </c>
      <c r="I141" s="65">
        <f>SUM(I133:I140)</f>
        <v>1412298.9138727454</v>
      </c>
      <c r="J141" s="7"/>
      <c r="L141" s="65">
        <f>SUM(L133:L140)</f>
        <v>2756098.5957091502</v>
      </c>
      <c r="M141" s="65">
        <f t="shared" ref="M141:N141" si="171">SUM(M133:M140)</f>
        <v>292826.15000000002</v>
      </c>
      <c r="N141" s="65">
        <f t="shared" si="171"/>
        <v>88058.4</v>
      </c>
      <c r="O141" s="65"/>
      <c r="P141" s="65">
        <f t="shared" ref="P141:R141" si="172">SUM(P133:P140)</f>
        <v>0</v>
      </c>
      <c r="Q141" s="65">
        <f t="shared" si="172"/>
        <v>0</v>
      </c>
      <c r="R141" s="65">
        <f t="shared" si="172"/>
        <v>0</v>
      </c>
      <c r="S141" s="65">
        <f>SUM(S133:S140)</f>
        <v>3136983.14570915</v>
      </c>
      <c r="T141" s="7"/>
      <c r="V141" s="65">
        <f>SUM(V133:V140)</f>
        <v>3875854.1732693957</v>
      </c>
      <c r="W141" s="65">
        <f t="shared" ref="W141:X141" si="173">SUM(W133:W140)</f>
        <v>544232.08631250006</v>
      </c>
      <c r="X141" s="65">
        <f t="shared" si="173"/>
        <v>129195.8</v>
      </c>
      <c r="Y141" s="65"/>
      <c r="Z141" s="65">
        <f t="shared" ref="Z141:AB141" si="174">SUM(Z133:Z140)</f>
        <v>0</v>
      </c>
      <c r="AA141" s="65">
        <f t="shared" si="174"/>
        <v>0</v>
      </c>
      <c r="AB141" s="65">
        <f t="shared" si="174"/>
        <v>0</v>
      </c>
      <c r="AC141" s="65">
        <f>SUM(AC133:AC140)</f>
        <v>4549282.0595818963</v>
      </c>
    </row>
    <row r="142" spans="1:29" x14ac:dyDescent="0.35">
      <c r="A142" s="62" t="s">
        <v>110</v>
      </c>
      <c r="B142" s="63">
        <f t="shared" ref="B142:I142" si="175">B132+B141</f>
        <v>3247511.3079819442</v>
      </c>
      <c r="C142" s="63">
        <f t="shared" si="175"/>
        <v>617635.93631249992</v>
      </c>
      <c r="D142" s="63">
        <f t="shared" si="175"/>
        <v>111697.4</v>
      </c>
      <c r="E142" s="63"/>
      <c r="F142" s="63">
        <f t="shared" si="175"/>
        <v>0</v>
      </c>
      <c r="G142" s="63">
        <f t="shared" si="175"/>
        <v>0</v>
      </c>
      <c r="H142" s="63">
        <f t="shared" si="175"/>
        <v>0</v>
      </c>
      <c r="I142" s="63">
        <f t="shared" si="175"/>
        <v>3976844.644294444</v>
      </c>
      <c r="J142" s="7"/>
      <c r="L142" s="63">
        <f t="shared" ref="L142:N142" si="176">L132+L141</f>
        <v>7967867.7949437555</v>
      </c>
      <c r="M142" s="63">
        <f t="shared" si="176"/>
        <v>828101.15</v>
      </c>
      <c r="N142" s="63">
        <f t="shared" si="176"/>
        <v>244398.4</v>
      </c>
      <c r="O142" s="63"/>
      <c r="P142" s="63">
        <f t="shared" ref="P142:S142" si="177">P132+P141</f>
        <v>0</v>
      </c>
      <c r="Q142" s="63">
        <f t="shared" si="177"/>
        <v>0</v>
      </c>
      <c r="R142" s="63">
        <f t="shared" si="177"/>
        <v>0</v>
      </c>
      <c r="S142" s="63">
        <f t="shared" si="177"/>
        <v>9040367.3449437562</v>
      </c>
      <c r="T142" s="7"/>
      <c r="V142" s="63">
        <f t="shared" ref="V142:X142" si="178">V132+V141</f>
        <v>11215379.102925699</v>
      </c>
      <c r="W142" s="63">
        <f t="shared" si="178"/>
        <v>1445737.0863125001</v>
      </c>
      <c r="X142" s="63">
        <f t="shared" si="178"/>
        <v>356095.8</v>
      </c>
      <c r="Y142" s="63"/>
      <c r="Z142" s="63">
        <f t="shared" ref="Z142:AC142" si="179">Z132+Z141</f>
        <v>0</v>
      </c>
      <c r="AA142" s="63">
        <f t="shared" si="179"/>
        <v>0</v>
      </c>
      <c r="AB142" s="63">
        <f t="shared" si="179"/>
        <v>0</v>
      </c>
      <c r="AC142" s="63">
        <f t="shared" si="179"/>
        <v>13017211.989238201</v>
      </c>
    </row>
    <row r="143" spans="1:29" x14ac:dyDescent="0.35">
      <c r="A143" s="66" t="s">
        <v>256</v>
      </c>
      <c r="B143" s="15" t="str">
        <f t="shared" ref="B143:I143" si="180">B1</f>
        <v>Operating</v>
      </c>
      <c r="C143" s="15" t="str">
        <f t="shared" si="180"/>
        <v>SPED</v>
      </c>
      <c r="D143" s="15" t="str">
        <f t="shared" si="180"/>
        <v>NSLP</v>
      </c>
      <c r="E143" s="15" t="str">
        <f t="shared" si="180"/>
        <v>Other</v>
      </c>
      <c r="F143" s="15" t="str">
        <f t="shared" si="180"/>
        <v>Title I</v>
      </c>
      <c r="G143" s="15" t="str">
        <f t="shared" si="180"/>
        <v>Title II</v>
      </c>
      <c r="H143" s="15" t="str">
        <f t="shared" si="180"/>
        <v>Title III</v>
      </c>
      <c r="I143" s="15" t="str">
        <f t="shared" si="180"/>
        <v>B&amp;G</v>
      </c>
      <c r="J143" s="7"/>
      <c r="L143" s="15" t="str">
        <f t="shared" ref="L143:S143" si="181">L1</f>
        <v>Operating</v>
      </c>
      <c r="M143" s="15" t="str">
        <f t="shared" si="181"/>
        <v>SPED</v>
      </c>
      <c r="N143" s="15" t="str">
        <f t="shared" si="181"/>
        <v>NSLP</v>
      </c>
      <c r="O143" s="15" t="str">
        <f t="shared" si="181"/>
        <v>Other</v>
      </c>
      <c r="P143" s="15" t="str">
        <f t="shared" si="181"/>
        <v>Title I</v>
      </c>
      <c r="Q143" s="15" t="str">
        <f t="shared" si="181"/>
        <v>Title II</v>
      </c>
      <c r="R143" s="15" t="str">
        <f t="shared" si="181"/>
        <v>Title III</v>
      </c>
      <c r="S143" s="15" t="str">
        <f t="shared" si="181"/>
        <v>New</v>
      </c>
      <c r="T143" s="7"/>
      <c r="V143" s="15" t="str">
        <f t="shared" ref="V143:AC143" si="182">V1</f>
        <v>Operating</v>
      </c>
      <c r="W143" s="15" t="str">
        <f t="shared" si="182"/>
        <v>SPED</v>
      </c>
      <c r="X143" s="15" t="str">
        <f t="shared" si="182"/>
        <v>NSLP</v>
      </c>
      <c r="Y143" s="15" t="str">
        <f t="shared" si="182"/>
        <v>Other</v>
      </c>
      <c r="Z143" s="15" t="str">
        <f t="shared" si="182"/>
        <v>Title I</v>
      </c>
      <c r="AA143" s="15" t="str">
        <f t="shared" si="182"/>
        <v>Title II</v>
      </c>
      <c r="AB143" s="15" t="str">
        <f t="shared" si="182"/>
        <v>Title III</v>
      </c>
      <c r="AC143" s="15" t="str">
        <f t="shared" si="182"/>
        <v>MANN</v>
      </c>
    </row>
    <row r="144" spans="1:29" x14ac:dyDescent="0.35">
      <c r="A144" s="67" t="s">
        <v>111</v>
      </c>
      <c r="B144" s="5">
        <f>(250*B17)</f>
        <v>116250</v>
      </c>
      <c r="C144" s="10"/>
      <c r="D144" s="10"/>
      <c r="E144" s="10"/>
      <c r="F144" s="10"/>
      <c r="G144" s="10"/>
      <c r="H144" s="10"/>
      <c r="I144" s="5">
        <f t="shared" ref="I144:I152" si="183">SUM(B144:H144)</f>
        <v>116250</v>
      </c>
      <c r="J144" s="11" t="s">
        <v>475</v>
      </c>
      <c r="L144" s="5">
        <f>(250*L17)</f>
        <v>328500</v>
      </c>
      <c r="M144" s="10"/>
      <c r="N144" s="10"/>
      <c r="O144" s="10"/>
      <c r="P144" s="10"/>
      <c r="Q144" s="10"/>
      <c r="R144" s="10"/>
      <c r="S144" s="5">
        <f t="shared" ref="S144:S152" si="184">SUM(L144:R144)</f>
        <v>328500</v>
      </c>
      <c r="T144" s="11" t="s">
        <v>475</v>
      </c>
      <c r="V144" s="5">
        <f>B144+L144</f>
        <v>444750</v>
      </c>
      <c r="W144" s="5">
        <f t="shared" ref="W144:Y153" si="185">C144+M144</f>
        <v>0</v>
      </c>
      <c r="X144" s="5">
        <f t="shared" si="185"/>
        <v>0</v>
      </c>
      <c r="Y144" s="5">
        <f t="shared" si="185"/>
        <v>0</v>
      </c>
      <c r="Z144" s="10"/>
      <c r="AA144" s="10"/>
      <c r="AB144" s="10"/>
      <c r="AC144" s="5">
        <f t="shared" ref="AC144:AC152" si="186">SUM(V144:AB144)</f>
        <v>444750</v>
      </c>
    </row>
    <row r="145" spans="1:29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183"/>
        <v>0</v>
      </c>
      <c r="J145" s="11"/>
      <c r="L145" s="5">
        <v>0</v>
      </c>
      <c r="M145" s="10"/>
      <c r="N145" s="10"/>
      <c r="O145" s="10"/>
      <c r="P145" s="10"/>
      <c r="Q145" s="10"/>
      <c r="R145" s="10"/>
      <c r="S145" s="5">
        <f t="shared" si="184"/>
        <v>0</v>
      </c>
      <c r="T145" s="11"/>
      <c r="V145" s="5">
        <f t="shared" ref="V145:V153" si="187">B145+L145</f>
        <v>0</v>
      </c>
      <c r="W145" s="5">
        <f t="shared" si="185"/>
        <v>0</v>
      </c>
      <c r="X145" s="5">
        <f t="shared" si="185"/>
        <v>0</v>
      </c>
      <c r="Y145" s="5">
        <f t="shared" si="185"/>
        <v>0</v>
      </c>
      <c r="Z145" s="10"/>
      <c r="AA145" s="10"/>
      <c r="AB145" s="10"/>
      <c r="AC145" s="5">
        <f t="shared" si="186"/>
        <v>0</v>
      </c>
    </row>
    <row r="146" spans="1:29" x14ac:dyDescent="0.35">
      <c r="A146" s="26" t="s">
        <v>113</v>
      </c>
      <c r="B146" s="10">
        <v>0</v>
      </c>
      <c r="C146" s="10"/>
      <c r="D146" s="10"/>
      <c r="E146" s="10"/>
      <c r="F146" s="10"/>
      <c r="G146" s="10"/>
      <c r="H146" s="10"/>
      <c r="I146" s="5">
        <f t="shared" si="183"/>
        <v>0</v>
      </c>
      <c r="J146" s="11"/>
      <c r="L146" s="10">
        <v>0</v>
      </c>
      <c r="M146" s="10"/>
      <c r="N146" s="10"/>
      <c r="O146" s="10"/>
      <c r="P146" s="10"/>
      <c r="Q146" s="10"/>
      <c r="R146" s="10"/>
      <c r="S146" s="5">
        <f t="shared" si="184"/>
        <v>0</v>
      </c>
      <c r="T146" s="11"/>
      <c r="V146" s="5">
        <f t="shared" si="187"/>
        <v>0</v>
      </c>
      <c r="W146" s="5">
        <f t="shared" si="185"/>
        <v>0</v>
      </c>
      <c r="X146" s="5">
        <f t="shared" si="185"/>
        <v>0</v>
      </c>
      <c r="Y146" s="5">
        <f t="shared" si="185"/>
        <v>0</v>
      </c>
      <c r="Z146" s="10"/>
      <c r="AA146" s="10"/>
      <c r="AB146" s="10"/>
      <c r="AC146" s="5">
        <f t="shared" si="186"/>
        <v>0</v>
      </c>
    </row>
    <row r="147" spans="1:29" x14ac:dyDescent="0.35">
      <c r="A147" s="26" t="s">
        <v>114</v>
      </c>
      <c r="B147" s="5">
        <f>36*B17</f>
        <v>16740</v>
      </c>
      <c r="C147" s="10"/>
      <c r="D147" s="10">
        <v>3500</v>
      </c>
      <c r="E147" s="10"/>
      <c r="F147" s="10"/>
      <c r="G147" s="10"/>
      <c r="H147" s="10"/>
      <c r="I147" s="5">
        <f t="shared" si="183"/>
        <v>20240</v>
      </c>
      <c r="J147" s="11" t="s">
        <v>491</v>
      </c>
      <c r="L147" s="5">
        <f>36*L17</f>
        <v>47304</v>
      </c>
      <c r="M147" s="10"/>
      <c r="N147" s="10">
        <v>3500</v>
      </c>
      <c r="O147" s="10"/>
      <c r="P147" s="10"/>
      <c r="Q147" s="10"/>
      <c r="R147" s="10"/>
      <c r="S147" s="5">
        <f t="shared" si="184"/>
        <v>50804</v>
      </c>
      <c r="T147" s="11" t="s">
        <v>491</v>
      </c>
      <c r="V147" s="5">
        <f t="shared" si="187"/>
        <v>64044</v>
      </c>
      <c r="W147" s="5">
        <f t="shared" si="185"/>
        <v>0</v>
      </c>
      <c r="X147" s="5">
        <f t="shared" si="185"/>
        <v>7000</v>
      </c>
      <c r="Y147" s="5">
        <f t="shared" si="185"/>
        <v>0</v>
      </c>
      <c r="Z147" s="10"/>
      <c r="AA147" s="10"/>
      <c r="AB147" s="10"/>
      <c r="AC147" s="5">
        <f t="shared" si="186"/>
        <v>71044</v>
      </c>
    </row>
    <row r="148" spans="1:29" x14ac:dyDescent="0.35">
      <c r="A148" s="26" t="s">
        <v>115</v>
      </c>
      <c r="B148" s="5">
        <f>57*B17</f>
        <v>26505</v>
      </c>
      <c r="C148" s="10"/>
      <c r="D148" s="10"/>
      <c r="E148" s="10"/>
      <c r="F148" s="10"/>
      <c r="G148" s="10"/>
      <c r="H148" s="10"/>
      <c r="I148" s="5">
        <f t="shared" si="183"/>
        <v>26505</v>
      </c>
      <c r="J148" s="11" t="s">
        <v>492</v>
      </c>
      <c r="L148" s="5">
        <f>57*L17</f>
        <v>74898</v>
      </c>
      <c r="M148" s="10"/>
      <c r="N148" s="10"/>
      <c r="O148" s="10"/>
      <c r="P148" s="10"/>
      <c r="Q148" s="10"/>
      <c r="R148" s="10"/>
      <c r="S148" s="5">
        <f t="shared" si="184"/>
        <v>74898</v>
      </c>
      <c r="T148" s="11" t="s">
        <v>492</v>
      </c>
      <c r="V148" s="5">
        <f t="shared" si="187"/>
        <v>101403</v>
      </c>
      <c r="W148" s="5">
        <f t="shared" si="185"/>
        <v>0</v>
      </c>
      <c r="X148" s="5">
        <f t="shared" si="185"/>
        <v>0</v>
      </c>
      <c r="Y148" s="5">
        <f t="shared" si="185"/>
        <v>0</v>
      </c>
      <c r="Z148" s="10"/>
      <c r="AA148" s="10"/>
      <c r="AB148" s="10"/>
      <c r="AC148" s="5">
        <f t="shared" si="186"/>
        <v>101403</v>
      </c>
    </row>
    <row r="149" spans="1:29" x14ac:dyDescent="0.35">
      <c r="A149" s="26" t="s">
        <v>116</v>
      </c>
      <c r="B149" s="5">
        <f>28*B17</f>
        <v>13020</v>
      </c>
      <c r="C149" s="10"/>
      <c r="D149" s="10"/>
      <c r="E149" s="10"/>
      <c r="F149" s="10"/>
      <c r="G149" s="10"/>
      <c r="H149" s="10"/>
      <c r="I149" s="5">
        <f t="shared" si="183"/>
        <v>13020</v>
      </c>
      <c r="J149" s="11" t="s">
        <v>473</v>
      </c>
      <c r="L149" s="5">
        <f>28*L17</f>
        <v>36792</v>
      </c>
      <c r="M149" s="10"/>
      <c r="N149" s="10"/>
      <c r="O149" s="10"/>
      <c r="P149" s="10"/>
      <c r="Q149" s="10"/>
      <c r="R149" s="10"/>
      <c r="S149" s="5">
        <f t="shared" si="184"/>
        <v>36792</v>
      </c>
      <c r="T149" s="11" t="s">
        <v>473</v>
      </c>
      <c r="V149" s="5">
        <f t="shared" si="187"/>
        <v>49812</v>
      </c>
      <c r="W149" s="5">
        <f t="shared" si="185"/>
        <v>0</v>
      </c>
      <c r="X149" s="5">
        <f t="shared" si="185"/>
        <v>0</v>
      </c>
      <c r="Y149" s="5">
        <f t="shared" si="185"/>
        <v>0</v>
      </c>
      <c r="Z149" s="10"/>
      <c r="AA149" s="10"/>
      <c r="AB149" s="10"/>
      <c r="AC149" s="5">
        <f t="shared" si="186"/>
        <v>49812</v>
      </c>
    </row>
    <row r="150" spans="1:29" x14ac:dyDescent="0.35">
      <c r="A150" s="26" t="s">
        <v>117</v>
      </c>
      <c r="B150" s="5">
        <f>11*B17</f>
        <v>5115</v>
      </c>
      <c r="C150" s="10"/>
      <c r="D150" s="10"/>
      <c r="E150" s="10"/>
      <c r="F150" s="10"/>
      <c r="G150" s="10"/>
      <c r="H150" s="10"/>
      <c r="I150" s="5">
        <f t="shared" si="183"/>
        <v>5115</v>
      </c>
      <c r="J150" s="11" t="s">
        <v>493</v>
      </c>
      <c r="L150" s="5">
        <f>11*L17</f>
        <v>14454</v>
      </c>
      <c r="M150" s="10"/>
      <c r="N150" s="10"/>
      <c r="O150" s="10"/>
      <c r="P150" s="10"/>
      <c r="Q150" s="10"/>
      <c r="R150" s="10"/>
      <c r="S150" s="5">
        <f t="shared" si="184"/>
        <v>14454</v>
      </c>
      <c r="T150" s="11" t="s">
        <v>493</v>
      </c>
      <c r="V150" s="5">
        <f t="shared" si="187"/>
        <v>19569</v>
      </c>
      <c r="W150" s="5">
        <f t="shared" si="185"/>
        <v>0</v>
      </c>
      <c r="X150" s="5">
        <f t="shared" si="185"/>
        <v>0</v>
      </c>
      <c r="Y150" s="5">
        <f t="shared" si="185"/>
        <v>0</v>
      </c>
      <c r="Z150" s="10"/>
      <c r="AA150" s="10"/>
      <c r="AB150" s="10"/>
      <c r="AC150" s="5">
        <f t="shared" si="186"/>
        <v>19569</v>
      </c>
    </row>
    <row r="151" spans="1:29" x14ac:dyDescent="0.35">
      <c r="A151" s="26" t="s">
        <v>118</v>
      </c>
      <c r="B151" s="5">
        <f>129*B20</f>
        <v>0</v>
      </c>
      <c r="C151" s="10">
        <f>163*(C20)</f>
        <v>9128</v>
      </c>
      <c r="D151" s="10"/>
      <c r="E151" s="10"/>
      <c r="F151" s="10"/>
      <c r="G151" s="10"/>
      <c r="H151" s="10"/>
      <c r="I151" s="5">
        <f t="shared" si="183"/>
        <v>9128</v>
      </c>
      <c r="J151" s="11" t="s">
        <v>494</v>
      </c>
      <c r="L151" s="5">
        <f>129*L20</f>
        <v>0</v>
      </c>
      <c r="M151" s="10">
        <f>163*(M20)</f>
        <v>22331</v>
      </c>
      <c r="N151" s="10"/>
      <c r="O151" s="10"/>
      <c r="P151" s="10"/>
      <c r="Q151" s="10"/>
      <c r="R151" s="10"/>
      <c r="S151" s="5">
        <f t="shared" si="184"/>
        <v>22331</v>
      </c>
      <c r="T151" s="11" t="s">
        <v>494</v>
      </c>
      <c r="V151" s="5">
        <f t="shared" si="187"/>
        <v>0</v>
      </c>
      <c r="W151" s="5">
        <f t="shared" si="185"/>
        <v>31459</v>
      </c>
      <c r="X151" s="5">
        <f t="shared" si="185"/>
        <v>0</v>
      </c>
      <c r="Y151" s="5">
        <f t="shared" si="185"/>
        <v>0</v>
      </c>
      <c r="Z151" s="10"/>
      <c r="AA151" s="10"/>
      <c r="AB151" s="10"/>
      <c r="AC151" s="5">
        <f t="shared" si="186"/>
        <v>31459</v>
      </c>
    </row>
    <row r="152" spans="1:29" x14ac:dyDescent="0.35">
      <c r="A152" s="26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183"/>
        <v>0</v>
      </c>
      <c r="J152" s="11"/>
      <c r="L152" s="5">
        <v>0</v>
      </c>
      <c r="M152" s="5"/>
      <c r="N152" s="5"/>
      <c r="O152" s="5"/>
      <c r="P152" s="5"/>
      <c r="Q152" s="5"/>
      <c r="R152" s="5"/>
      <c r="S152" s="5">
        <f t="shared" si="184"/>
        <v>0</v>
      </c>
      <c r="T152" s="11"/>
      <c r="V152" s="5">
        <f t="shared" si="187"/>
        <v>0</v>
      </c>
      <c r="W152" s="5">
        <f t="shared" si="185"/>
        <v>0</v>
      </c>
      <c r="X152" s="5">
        <f t="shared" si="185"/>
        <v>0</v>
      </c>
      <c r="Y152" s="5">
        <f t="shared" si="185"/>
        <v>0</v>
      </c>
      <c r="Z152" s="5"/>
      <c r="AA152" s="5"/>
      <c r="AB152" s="5"/>
      <c r="AC152" s="5">
        <f t="shared" si="186"/>
        <v>0</v>
      </c>
    </row>
    <row r="153" spans="1:29" x14ac:dyDescent="0.35">
      <c r="A153" s="69" t="s">
        <v>161</v>
      </c>
      <c r="B153" s="73">
        <f>47*B17</f>
        <v>21855</v>
      </c>
      <c r="C153" s="5"/>
      <c r="D153" s="5"/>
      <c r="E153" s="5"/>
      <c r="F153" s="5"/>
      <c r="G153" s="5"/>
      <c r="H153" s="5"/>
      <c r="I153" s="5">
        <f>SUM(B153:H153)</f>
        <v>21855</v>
      </c>
      <c r="J153" s="11" t="s">
        <v>495</v>
      </c>
      <c r="L153" s="73">
        <f>47*L17</f>
        <v>61758</v>
      </c>
      <c r="M153" s="5"/>
      <c r="N153" s="5"/>
      <c r="O153" s="5"/>
      <c r="P153" s="5"/>
      <c r="Q153" s="5"/>
      <c r="R153" s="5"/>
      <c r="S153" s="5">
        <f>SUM(L153:R153)</f>
        <v>61758</v>
      </c>
      <c r="T153" s="11" t="s">
        <v>495</v>
      </c>
      <c r="V153" s="5">
        <f t="shared" si="187"/>
        <v>83613</v>
      </c>
      <c r="W153" s="5">
        <f t="shared" si="185"/>
        <v>0</v>
      </c>
      <c r="X153" s="5">
        <f t="shared" si="185"/>
        <v>0</v>
      </c>
      <c r="Y153" s="5">
        <f t="shared" si="185"/>
        <v>0</v>
      </c>
      <c r="Z153" s="5"/>
      <c r="AA153" s="5"/>
      <c r="AB153" s="5"/>
      <c r="AC153" s="5">
        <f>SUM(V153:AB153)</f>
        <v>83613</v>
      </c>
    </row>
    <row r="154" spans="1:29" x14ac:dyDescent="0.35">
      <c r="A154" s="62" t="s">
        <v>257</v>
      </c>
      <c r="B154" s="63">
        <f>SUM(B144:B153)</f>
        <v>199485</v>
      </c>
      <c r="C154" s="63">
        <f t="shared" ref="C154:I154" si="188">SUM(C144:C153)</f>
        <v>9128</v>
      </c>
      <c r="D154" s="63">
        <f t="shared" si="188"/>
        <v>3500</v>
      </c>
      <c r="E154" s="63">
        <f t="shared" si="188"/>
        <v>0</v>
      </c>
      <c r="F154" s="63">
        <f t="shared" si="188"/>
        <v>0</v>
      </c>
      <c r="G154" s="63">
        <f t="shared" si="188"/>
        <v>0</v>
      </c>
      <c r="H154" s="63">
        <f t="shared" si="188"/>
        <v>0</v>
      </c>
      <c r="I154" s="63">
        <f t="shared" si="188"/>
        <v>212113</v>
      </c>
      <c r="J154" s="7"/>
      <c r="L154" s="63">
        <f>SUM(L144:L153)</f>
        <v>563706</v>
      </c>
      <c r="M154" s="63">
        <f t="shared" ref="M154:S154" si="189">SUM(M144:M153)</f>
        <v>22331</v>
      </c>
      <c r="N154" s="63">
        <f t="shared" si="189"/>
        <v>3500</v>
      </c>
      <c r="O154" s="63">
        <f t="shared" si="189"/>
        <v>0</v>
      </c>
      <c r="P154" s="63">
        <f t="shared" si="189"/>
        <v>0</v>
      </c>
      <c r="Q154" s="63">
        <f t="shared" si="189"/>
        <v>0</v>
      </c>
      <c r="R154" s="63">
        <f t="shared" si="189"/>
        <v>0</v>
      </c>
      <c r="S154" s="63">
        <f t="shared" si="189"/>
        <v>589537</v>
      </c>
      <c r="T154" s="7"/>
      <c r="V154" s="63">
        <f>SUM(V144:V153)</f>
        <v>763191</v>
      </c>
      <c r="W154" s="63">
        <f t="shared" ref="W154:AC154" si="190">SUM(W144:W153)</f>
        <v>31459</v>
      </c>
      <c r="X154" s="63">
        <f t="shared" si="190"/>
        <v>7000</v>
      </c>
      <c r="Y154" s="63">
        <f t="shared" si="190"/>
        <v>0</v>
      </c>
      <c r="Z154" s="63">
        <f t="shared" si="190"/>
        <v>0</v>
      </c>
      <c r="AA154" s="63">
        <f t="shared" si="190"/>
        <v>0</v>
      </c>
      <c r="AB154" s="63">
        <f t="shared" si="190"/>
        <v>0</v>
      </c>
      <c r="AC154" s="63">
        <f t="shared" si="190"/>
        <v>801650</v>
      </c>
    </row>
    <row r="155" spans="1:29" x14ac:dyDescent="0.35">
      <c r="A155" s="66" t="s">
        <v>120</v>
      </c>
      <c r="B155" s="15" t="str">
        <f t="shared" ref="B155:I155" si="191">B1</f>
        <v>Operating</v>
      </c>
      <c r="C155" s="15" t="str">
        <f t="shared" si="191"/>
        <v>SPED</v>
      </c>
      <c r="D155" s="15" t="str">
        <f t="shared" si="191"/>
        <v>NSLP</v>
      </c>
      <c r="E155" s="15" t="str">
        <f t="shared" si="191"/>
        <v>Other</v>
      </c>
      <c r="F155" s="15" t="str">
        <f t="shared" si="191"/>
        <v>Title I</v>
      </c>
      <c r="G155" s="15" t="str">
        <f t="shared" si="191"/>
        <v>Title II</v>
      </c>
      <c r="H155" s="15" t="str">
        <f t="shared" si="191"/>
        <v>Title III</v>
      </c>
      <c r="I155" s="15" t="str">
        <f t="shared" si="191"/>
        <v>B&amp;G</v>
      </c>
      <c r="J155" s="7"/>
      <c r="L155" s="15" t="str">
        <f t="shared" ref="L155:S155" si="192">L1</f>
        <v>Operating</v>
      </c>
      <c r="M155" s="15" t="str">
        <f t="shared" si="192"/>
        <v>SPED</v>
      </c>
      <c r="N155" s="15" t="str">
        <f t="shared" si="192"/>
        <v>NSLP</v>
      </c>
      <c r="O155" s="15" t="str">
        <f t="shared" si="192"/>
        <v>Other</v>
      </c>
      <c r="P155" s="15" t="str">
        <f t="shared" si="192"/>
        <v>Title I</v>
      </c>
      <c r="Q155" s="15" t="str">
        <f t="shared" si="192"/>
        <v>Title II</v>
      </c>
      <c r="R155" s="15" t="str">
        <f t="shared" si="192"/>
        <v>Title III</v>
      </c>
      <c r="S155" s="15" t="str">
        <f t="shared" si="192"/>
        <v>New</v>
      </c>
      <c r="T155" s="7"/>
      <c r="V155" s="15" t="str">
        <f t="shared" ref="V155:AC155" si="193">V1</f>
        <v>Operating</v>
      </c>
      <c r="W155" s="15" t="str">
        <f t="shared" si="193"/>
        <v>SPED</v>
      </c>
      <c r="X155" s="15" t="str">
        <f t="shared" si="193"/>
        <v>NSLP</v>
      </c>
      <c r="Y155" s="15" t="str">
        <f t="shared" si="193"/>
        <v>Other</v>
      </c>
      <c r="Z155" s="15" t="str">
        <f t="shared" si="193"/>
        <v>Title I</v>
      </c>
      <c r="AA155" s="15" t="str">
        <f t="shared" si="193"/>
        <v>Title II</v>
      </c>
      <c r="AB155" s="15" t="str">
        <f t="shared" si="193"/>
        <v>Title III</v>
      </c>
      <c r="AC155" s="15" t="str">
        <f t="shared" si="193"/>
        <v>MANN</v>
      </c>
    </row>
    <row r="156" spans="1:29" x14ac:dyDescent="0.35">
      <c r="A156" s="26" t="s">
        <v>457</v>
      </c>
      <c r="B156" s="10">
        <f>(12600+3000)*1.03*1.03*1.04</f>
        <v>17212.0416</v>
      </c>
      <c r="C156" s="10"/>
      <c r="D156" s="10"/>
      <c r="E156" s="10"/>
      <c r="F156" s="10"/>
      <c r="G156" s="10"/>
      <c r="H156" s="10"/>
      <c r="I156" s="5">
        <f t="shared" ref="I156:I169" si="194">SUM(B156:H156)</f>
        <v>17212.0416</v>
      </c>
      <c r="J156" s="11"/>
      <c r="L156" s="10">
        <f>(18600+3000)*1.03*1.02</f>
        <v>22692.959999999999</v>
      </c>
      <c r="M156" s="10"/>
      <c r="N156" s="10"/>
      <c r="O156" s="10"/>
      <c r="P156" s="10"/>
      <c r="Q156" s="10"/>
      <c r="R156" s="10"/>
      <c r="S156" s="5">
        <f t="shared" ref="S156:S169" si="195">SUM(L156:R156)</f>
        <v>22692.959999999999</v>
      </c>
      <c r="T156" s="11"/>
      <c r="V156" s="10">
        <f>B156+L156</f>
        <v>39905.001600000003</v>
      </c>
      <c r="W156" s="10">
        <f t="shared" ref="W156:Y169" si="196">C156+M156</f>
        <v>0</v>
      </c>
      <c r="X156" s="10">
        <f t="shared" si="196"/>
        <v>0</v>
      </c>
      <c r="Y156" s="10">
        <f t="shared" si="196"/>
        <v>0</v>
      </c>
      <c r="Z156" s="10"/>
      <c r="AA156" s="10"/>
      <c r="AB156" s="10"/>
      <c r="AC156" s="5">
        <f t="shared" ref="AC156:AC169" si="197">SUM(V156:AB156)</f>
        <v>39905.001600000003</v>
      </c>
    </row>
    <row r="157" spans="1:29" x14ac:dyDescent="0.35">
      <c r="A157" s="26" t="s">
        <v>121</v>
      </c>
      <c r="B157" s="10">
        <v>0</v>
      </c>
      <c r="C157" s="5">
        <f>125*B17</f>
        <v>58125</v>
      </c>
      <c r="D157" s="5"/>
      <c r="E157" s="5"/>
      <c r="F157" s="5"/>
      <c r="G157" s="5"/>
      <c r="H157" s="5"/>
      <c r="I157" s="5">
        <f t="shared" si="194"/>
        <v>58125</v>
      </c>
      <c r="J157" s="11" t="s">
        <v>496</v>
      </c>
      <c r="L157" s="10">
        <v>0</v>
      </c>
      <c r="M157" s="5">
        <f>400*L17</f>
        <v>525600</v>
      </c>
      <c r="N157" s="5"/>
      <c r="O157" s="5"/>
      <c r="P157" s="5"/>
      <c r="Q157" s="5"/>
      <c r="R157" s="5"/>
      <c r="S157" s="5">
        <f t="shared" si="195"/>
        <v>525600</v>
      </c>
      <c r="T157" s="11" t="s">
        <v>477</v>
      </c>
      <c r="V157" s="10">
        <f t="shared" ref="V157:V169" si="198">B157+L157</f>
        <v>0</v>
      </c>
      <c r="W157" s="10">
        <f t="shared" si="196"/>
        <v>583725</v>
      </c>
      <c r="X157" s="10">
        <f t="shared" si="196"/>
        <v>0</v>
      </c>
      <c r="Y157" s="10">
        <f t="shared" si="196"/>
        <v>0</v>
      </c>
      <c r="Z157" s="5"/>
      <c r="AA157" s="5"/>
      <c r="AB157" s="5"/>
      <c r="AC157" s="5">
        <f t="shared" si="197"/>
        <v>583725</v>
      </c>
    </row>
    <row r="158" spans="1:29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194"/>
        <v>0</v>
      </c>
      <c r="J158" s="11"/>
      <c r="L158" s="10">
        <v>0</v>
      </c>
      <c r="M158" s="5"/>
      <c r="N158" s="5"/>
      <c r="O158" s="5"/>
      <c r="P158" s="5"/>
      <c r="Q158" s="5"/>
      <c r="R158" s="5"/>
      <c r="S158" s="5">
        <f t="shared" si="195"/>
        <v>0</v>
      </c>
      <c r="T158" s="11"/>
      <c r="V158" s="10">
        <f t="shared" si="198"/>
        <v>0</v>
      </c>
      <c r="W158" s="10">
        <f t="shared" si="196"/>
        <v>0</v>
      </c>
      <c r="X158" s="10">
        <f t="shared" si="196"/>
        <v>0</v>
      </c>
      <c r="Y158" s="10">
        <f t="shared" si="196"/>
        <v>0</v>
      </c>
      <c r="Z158" s="5"/>
      <c r="AA158" s="5"/>
      <c r="AB158" s="5"/>
      <c r="AC158" s="5">
        <f t="shared" si="197"/>
        <v>0</v>
      </c>
    </row>
    <row r="159" spans="1:29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194"/>
        <v>0</v>
      </c>
      <c r="J159" s="11"/>
      <c r="L159" s="10">
        <v>0</v>
      </c>
      <c r="M159" s="5"/>
      <c r="N159" s="5"/>
      <c r="O159" s="5"/>
      <c r="P159" s="5"/>
      <c r="Q159" s="5"/>
      <c r="R159" s="5"/>
      <c r="S159" s="5">
        <f t="shared" si="195"/>
        <v>0</v>
      </c>
      <c r="T159" s="11"/>
      <c r="V159" s="10">
        <f t="shared" si="198"/>
        <v>0</v>
      </c>
      <c r="W159" s="10">
        <f t="shared" si="196"/>
        <v>0</v>
      </c>
      <c r="X159" s="10">
        <f t="shared" si="196"/>
        <v>0</v>
      </c>
      <c r="Y159" s="10">
        <f t="shared" si="196"/>
        <v>0</v>
      </c>
      <c r="Z159" s="5"/>
      <c r="AA159" s="5"/>
      <c r="AB159" s="5"/>
      <c r="AC159" s="5">
        <f t="shared" si="197"/>
        <v>0</v>
      </c>
    </row>
    <row r="160" spans="1:29" x14ac:dyDescent="0.35">
      <c r="A160" s="26" t="s">
        <v>122</v>
      </c>
      <c r="B160" s="10">
        <f>495*B17</f>
        <v>230175</v>
      </c>
      <c r="C160" s="5"/>
      <c r="D160" s="5"/>
      <c r="E160" s="5"/>
      <c r="F160" s="5"/>
      <c r="G160" s="5"/>
      <c r="H160" s="5"/>
      <c r="I160" s="5">
        <f t="shared" si="194"/>
        <v>230175</v>
      </c>
      <c r="J160" s="11" t="s">
        <v>460</v>
      </c>
      <c r="L160" s="10">
        <f>495*L17</f>
        <v>650430</v>
      </c>
      <c r="M160" s="5"/>
      <c r="N160" s="5"/>
      <c r="O160" s="5"/>
      <c r="P160" s="5"/>
      <c r="Q160" s="5"/>
      <c r="R160" s="5"/>
      <c r="S160" s="5">
        <f t="shared" si="195"/>
        <v>650430</v>
      </c>
      <c r="T160" s="11" t="s">
        <v>460</v>
      </c>
      <c r="V160" s="10">
        <f t="shared" si="198"/>
        <v>880605</v>
      </c>
      <c r="W160" s="10">
        <f t="shared" si="196"/>
        <v>0</v>
      </c>
      <c r="X160" s="10">
        <f t="shared" si="196"/>
        <v>0</v>
      </c>
      <c r="Y160" s="10">
        <f t="shared" si="196"/>
        <v>0</v>
      </c>
      <c r="Z160" s="5"/>
      <c r="AA160" s="5"/>
      <c r="AB160" s="5"/>
      <c r="AC160" s="5">
        <f t="shared" si="197"/>
        <v>880605</v>
      </c>
    </row>
    <row r="161" spans="1:29" x14ac:dyDescent="0.35">
      <c r="A161" s="26" t="s">
        <v>123</v>
      </c>
      <c r="B161" s="10">
        <f>(255*B65)+7000</f>
        <v>15415</v>
      </c>
      <c r="C161" s="10">
        <f>(255*C65)+1000</f>
        <v>2785</v>
      </c>
      <c r="D161" s="10">
        <f>(255*D65)+200</f>
        <v>710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194"/>
        <v>18910</v>
      </c>
      <c r="J161" s="11" t="s">
        <v>478</v>
      </c>
      <c r="L161" s="10">
        <f>(255*L65)+12000</f>
        <v>32655</v>
      </c>
      <c r="M161" s="10">
        <f>(245*M65)+1000</f>
        <v>3572.5</v>
      </c>
      <c r="N161" s="10">
        <f>(245*N65)+200</f>
        <v>1180</v>
      </c>
      <c r="O161" s="10"/>
      <c r="P161" s="10">
        <f>(240*P65)</f>
        <v>0</v>
      </c>
      <c r="Q161" s="10">
        <f>(240*Q65)</f>
        <v>0</v>
      </c>
      <c r="R161" s="10">
        <f>(240*R65)</f>
        <v>0</v>
      </c>
      <c r="S161" s="5">
        <f t="shared" si="195"/>
        <v>37407.5</v>
      </c>
      <c r="T161" s="11" t="s">
        <v>478</v>
      </c>
      <c r="V161" s="10">
        <f t="shared" si="198"/>
        <v>48070</v>
      </c>
      <c r="W161" s="10">
        <f t="shared" si="196"/>
        <v>6357.5</v>
      </c>
      <c r="X161" s="10">
        <f t="shared" si="196"/>
        <v>1890</v>
      </c>
      <c r="Y161" s="10">
        <f t="shared" si="196"/>
        <v>0</v>
      </c>
      <c r="Z161" s="10">
        <f>(240*Z65)</f>
        <v>0</v>
      </c>
      <c r="AA161" s="10">
        <f>(240*AA65)</f>
        <v>0</v>
      </c>
      <c r="AB161" s="10">
        <f>(240*AB65)</f>
        <v>0</v>
      </c>
      <c r="AC161" s="5">
        <f t="shared" si="197"/>
        <v>56317.5</v>
      </c>
    </row>
    <row r="162" spans="1:29" x14ac:dyDescent="0.35">
      <c r="A162" s="26" t="s">
        <v>124</v>
      </c>
      <c r="B162" s="10">
        <v>32500</v>
      </c>
      <c r="C162" s="5"/>
      <c r="D162" s="5"/>
      <c r="E162" s="5"/>
      <c r="F162" s="5"/>
      <c r="G162" s="5"/>
      <c r="H162" s="5"/>
      <c r="I162" s="5">
        <f t="shared" si="194"/>
        <v>32500</v>
      </c>
      <c r="J162" s="11"/>
      <c r="L162" s="10">
        <v>45000</v>
      </c>
      <c r="M162" s="5"/>
      <c r="N162" s="5"/>
      <c r="O162" s="5"/>
      <c r="P162" s="5"/>
      <c r="Q162" s="5"/>
      <c r="R162" s="5"/>
      <c r="S162" s="5">
        <f t="shared" si="195"/>
        <v>45000</v>
      </c>
      <c r="T162" s="11"/>
      <c r="V162" s="10">
        <f t="shared" si="198"/>
        <v>77500</v>
      </c>
      <c r="W162" s="10">
        <f t="shared" si="196"/>
        <v>0</v>
      </c>
      <c r="X162" s="10">
        <f t="shared" si="196"/>
        <v>0</v>
      </c>
      <c r="Y162" s="10">
        <f t="shared" si="196"/>
        <v>0</v>
      </c>
      <c r="Z162" s="5"/>
      <c r="AA162" s="5"/>
      <c r="AB162" s="5"/>
      <c r="AC162" s="5">
        <f t="shared" si="197"/>
        <v>77500</v>
      </c>
    </row>
    <row r="163" spans="1:29" x14ac:dyDescent="0.35">
      <c r="A163" s="26" t="s">
        <v>125</v>
      </c>
      <c r="B163" s="10">
        <v>7000</v>
      </c>
      <c r="C163" s="5"/>
      <c r="D163" s="5"/>
      <c r="E163" s="5"/>
      <c r="F163" s="5"/>
      <c r="G163" s="5"/>
      <c r="H163" s="5"/>
      <c r="I163" s="5">
        <f t="shared" si="194"/>
        <v>7000</v>
      </c>
      <c r="J163" s="11"/>
      <c r="L163" s="10">
        <v>7000</v>
      </c>
      <c r="M163" s="5"/>
      <c r="N163" s="5"/>
      <c r="O163" s="5"/>
      <c r="P163" s="5"/>
      <c r="Q163" s="5"/>
      <c r="R163" s="5"/>
      <c r="S163" s="5">
        <f t="shared" si="195"/>
        <v>7000</v>
      </c>
      <c r="T163" s="11"/>
      <c r="V163" s="10">
        <f t="shared" si="198"/>
        <v>14000</v>
      </c>
      <c r="W163" s="10">
        <f t="shared" si="196"/>
        <v>0</v>
      </c>
      <c r="X163" s="10">
        <f t="shared" si="196"/>
        <v>0</v>
      </c>
      <c r="Y163" s="10">
        <f t="shared" si="196"/>
        <v>0</v>
      </c>
      <c r="Z163" s="5"/>
      <c r="AA163" s="5"/>
      <c r="AB163" s="5"/>
      <c r="AC163" s="5">
        <f t="shared" si="197"/>
        <v>14000</v>
      </c>
    </row>
    <row r="164" spans="1:29" x14ac:dyDescent="0.35">
      <c r="A164" s="26" t="s">
        <v>126</v>
      </c>
      <c r="B164" s="10">
        <f>50*B17+(60*12)</f>
        <v>23970</v>
      </c>
      <c r="C164" s="5"/>
      <c r="D164" s="5"/>
      <c r="E164" s="5"/>
      <c r="F164" s="5"/>
      <c r="G164" s="5"/>
      <c r="H164" s="5"/>
      <c r="I164" s="5">
        <f t="shared" si="194"/>
        <v>23970</v>
      </c>
      <c r="J164" s="11" t="s">
        <v>462</v>
      </c>
      <c r="L164" s="10">
        <f>50*L17+(60*12)</f>
        <v>66420</v>
      </c>
      <c r="M164" s="5"/>
      <c r="N164" s="5"/>
      <c r="O164" s="5"/>
      <c r="P164" s="5"/>
      <c r="Q164" s="5"/>
      <c r="R164" s="5"/>
      <c r="S164" s="5">
        <f t="shared" si="195"/>
        <v>66420</v>
      </c>
      <c r="T164" s="11" t="s">
        <v>462</v>
      </c>
      <c r="V164" s="10">
        <f t="shared" si="198"/>
        <v>90390</v>
      </c>
      <c r="W164" s="10">
        <f t="shared" si="196"/>
        <v>0</v>
      </c>
      <c r="X164" s="10">
        <f t="shared" si="196"/>
        <v>0</v>
      </c>
      <c r="Y164" s="10">
        <f t="shared" si="196"/>
        <v>0</v>
      </c>
      <c r="Z164" s="5"/>
      <c r="AA164" s="5"/>
      <c r="AB164" s="5"/>
      <c r="AC164" s="5">
        <f t="shared" si="197"/>
        <v>90390</v>
      </c>
    </row>
    <row r="165" spans="1:29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194"/>
        <v>18000</v>
      </c>
      <c r="J165" s="11"/>
      <c r="L165" s="10">
        <v>24500</v>
      </c>
      <c r="M165" s="5"/>
      <c r="N165" s="5"/>
      <c r="O165" s="5"/>
      <c r="P165" s="5"/>
      <c r="Q165" s="5"/>
      <c r="R165" s="5"/>
      <c r="S165" s="5">
        <f t="shared" si="195"/>
        <v>24500</v>
      </c>
      <c r="T165" s="11"/>
      <c r="V165" s="10">
        <f t="shared" si="198"/>
        <v>42500</v>
      </c>
      <c r="W165" s="10">
        <f t="shared" si="196"/>
        <v>0</v>
      </c>
      <c r="X165" s="10">
        <f t="shared" si="196"/>
        <v>0</v>
      </c>
      <c r="Y165" s="10">
        <f t="shared" si="196"/>
        <v>0</v>
      </c>
      <c r="Z165" s="5"/>
      <c r="AA165" s="5"/>
      <c r="AB165" s="5"/>
      <c r="AC165" s="5">
        <f t="shared" si="197"/>
        <v>42500</v>
      </c>
    </row>
    <row r="166" spans="1:29" x14ac:dyDescent="0.35">
      <c r="A166" s="26" t="s">
        <v>128</v>
      </c>
      <c r="B166" s="10">
        <f>B74*0.0125</f>
        <v>58049.4375</v>
      </c>
      <c r="C166" s="5"/>
      <c r="D166" s="5"/>
      <c r="E166" s="5"/>
      <c r="F166" s="5"/>
      <c r="G166" s="5"/>
      <c r="H166" s="5"/>
      <c r="I166" s="5">
        <f t="shared" si="194"/>
        <v>58049.4375</v>
      </c>
      <c r="J166" s="70">
        <v>1.2500000000000001E-2</v>
      </c>
      <c r="L166" s="10">
        <f>L74*0.0125</f>
        <v>164036.47500000001</v>
      </c>
      <c r="M166" s="5"/>
      <c r="N166" s="5"/>
      <c r="O166" s="5"/>
      <c r="P166" s="5"/>
      <c r="Q166" s="5"/>
      <c r="R166" s="5"/>
      <c r="S166" s="5">
        <f t="shared" si="195"/>
        <v>164036.47500000001</v>
      </c>
      <c r="T166" s="70">
        <v>1.2500000000000001E-2</v>
      </c>
      <c r="V166" s="10">
        <f t="shared" si="198"/>
        <v>222085.91250000001</v>
      </c>
      <c r="W166" s="10">
        <f t="shared" si="196"/>
        <v>0</v>
      </c>
      <c r="X166" s="10">
        <f t="shared" si="196"/>
        <v>0</v>
      </c>
      <c r="Y166" s="10">
        <f t="shared" si="196"/>
        <v>0</v>
      </c>
      <c r="Z166" s="5"/>
      <c r="AA166" s="5"/>
      <c r="AB166" s="5"/>
      <c r="AC166" s="5">
        <f t="shared" si="197"/>
        <v>222085.91250000001</v>
      </c>
    </row>
    <row r="167" spans="1:29" x14ac:dyDescent="0.35">
      <c r="A167" s="26" t="s">
        <v>129</v>
      </c>
      <c r="B167" s="10">
        <f>B74*0.005</f>
        <v>23219.775000000001</v>
      </c>
      <c r="C167" s="5"/>
      <c r="D167" s="5"/>
      <c r="E167" s="5"/>
      <c r="F167" s="5"/>
      <c r="G167" s="5"/>
      <c r="H167" s="5"/>
      <c r="I167" s="5">
        <f t="shared" si="194"/>
        <v>23219.775000000001</v>
      </c>
      <c r="J167" s="70" t="s">
        <v>130</v>
      </c>
      <c r="L167" s="10">
        <f>L74*0.005</f>
        <v>65614.59</v>
      </c>
      <c r="M167" s="5"/>
      <c r="N167" s="5"/>
      <c r="O167" s="5"/>
      <c r="P167" s="5"/>
      <c r="Q167" s="5"/>
      <c r="R167" s="5"/>
      <c r="S167" s="5">
        <f t="shared" si="195"/>
        <v>65614.59</v>
      </c>
      <c r="T167" s="70" t="s">
        <v>130</v>
      </c>
      <c r="V167" s="10">
        <f t="shared" si="198"/>
        <v>88834.364999999991</v>
      </c>
      <c r="W167" s="10">
        <f t="shared" si="196"/>
        <v>0</v>
      </c>
      <c r="X167" s="10">
        <f t="shared" si="196"/>
        <v>0</v>
      </c>
      <c r="Y167" s="10">
        <f t="shared" si="196"/>
        <v>0</v>
      </c>
      <c r="Z167" s="5"/>
      <c r="AA167" s="5"/>
      <c r="AB167" s="5"/>
      <c r="AC167" s="5">
        <f t="shared" si="197"/>
        <v>88834.364999999991</v>
      </c>
    </row>
    <row r="168" spans="1:29" x14ac:dyDescent="0.35">
      <c r="A168" s="26" t="s">
        <v>131</v>
      </c>
      <c r="B168" s="10">
        <f>B74*0.005</f>
        <v>23219.775000000001</v>
      </c>
      <c r="C168" s="5"/>
      <c r="D168" s="5"/>
      <c r="E168" s="5"/>
      <c r="F168" s="5"/>
      <c r="G168" s="5"/>
      <c r="H168" s="5"/>
      <c r="I168" s="5">
        <f t="shared" si="194"/>
        <v>23219.775000000001</v>
      </c>
      <c r="J168" s="70" t="s">
        <v>130</v>
      </c>
      <c r="L168" s="10">
        <f>L74*0.005</f>
        <v>65614.59</v>
      </c>
      <c r="M168" s="5"/>
      <c r="N168" s="5"/>
      <c r="O168" s="5"/>
      <c r="P168" s="5"/>
      <c r="Q168" s="5"/>
      <c r="R168" s="5"/>
      <c r="S168" s="5">
        <f t="shared" si="195"/>
        <v>65614.59</v>
      </c>
      <c r="T168" s="70" t="s">
        <v>130</v>
      </c>
      <c r="V168" s="10">
        <f t="shared" si="198"/>
        <v>88834.364999999991</v>
      </c>
      <c r="W168" s="10">
        <f t="shared" si="196"/>
        <v>0</v>
      </c>
      <c r="X168" s="10">
        <f t="shared" si="196"/>
        <v>0</v>
      </c>
      <c r="Y168" s="10">
        <f t="shared" si="196"/>
        <v>0</v>
      </c>
      <c r="Z168" s="5"/>
      <c r="AA168" s="5"/>
      <c r="AB168" s="5"/>
      <c r="AC168" s="5">
        <f t="shared" si="197"/>
        <v>88834.364999999991</v>
      </c>
    </row>
    <row r="169" spans="1:29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194"/>
        <v>0</v>
      </c>
      <c r="J169" s="70"/>
      <c r="L169" s="10">
        <v>0</v>
      </c>
      <c r="M169" s="5"/>
      <c r="N169" s="5"/>
      <c r="O169" s="5"/>
      <c r="P169" s="5"/>
      <c r="Q169" s="5"/>
      <c r="R169" s="5"/>
      <c r="S169" s="5">
        <f t="shared" si="195"/>
        <v>0</v>
      </c>
      <c r="T169" s="70"/>
      <c r="V169" s="10">
        <f t="shared" si="198"/>
        <v>0</v>
      </c>
      <c r="W169" s="10">
        <f t="shared" si="196"/>
        <v>0</v>
      </c>
      <c r="X169" s="10">
        <f t="shared" si="196"/>
        <v>0</v>
      </c>
      <c r="Y169" s="10">
        <f t="shared" si="196"/>
        <v>0</v>
      </c>
      <c r="Z169" s="5"/>
      <c r="AA169" s="5"/>
      <c r="AB169" s="5"/>
      <c r="AC169" s="5">
        <f t="shared" si="197"/>
        <v>0</v>
      </c>
    </row>
    <row r="170" spans="1:29" x14ac:dyDescent="0.35">
      <c r="A170" s="62" t="s">
        <v>133</v>
      </c>
      <c r="B170" s="63">
        <f>SUM(B156:B169)</f>
        <v>448761.02910000004</v>
      </c>
      <c r="C170" s="63">
        <f t="shared" ref="C170:H170" si="199">SUM(C156:C169)</f>
        <v>60910</v>
      </c>
      <c r="D170" s="63">
        <f t="shared" si="199"/>
        <v>710</v>
      </c>
      <c r="E170" s="63">
        <f t="shared" si="199"/>
        <v>0</v>
      </c>
      <c r="F170" s="63">
        <f t="shared" si="199"/>
        <v>0</v>
      </c>
      <c r="G170" s="63">
        <f t="shared" si="199"/>
        <v>0</v>
      </c>
      <c r="H170" s="63">
        <f t="shared" si="199"/>
        <v>0</v>
      </c>
      <c r="I170" s="63">
        <f>SUM(I156:I169)</f>
        <v>510381.02910000004</v>
      </c>
      <c r="J170" s="7"/>
      <c r="L170" s="63">
        <f>SUM(L156:L169)</f>
        <v>1143963.615</v>
      </c>
      <c r="M170" s="63">
        <f t="shared" ref="M170:R170" si="200">SUM(M156:M169)</f>
        <v>529172.5</v>
      </c>
      <c r="N170" s="63">
        <f t="shared" si="200"/>
        <v>1180</v>
      </c>
      <c r="O170" s="63">
        <f t="shared" si="200"/>
        <v>0</v>
      </c>
      <c r="P170" s="63">
        <f t="shared" si="200"/>
        <v>0</v>
      </c>
      <c r="Q170" s="63">
        <f t="shared" si="200"/>
        <v>0</v>
      </c>
      <c r="R170" s="63">
        <f t="shared" si="200"/>
        <v>0</v>
      </c>
      <c r="S170" s="63">
        <f>SUM(S156:S169)</f>
        <v>1674316.1150000002</v>
      </c>
      <c r="T170" s="7"/>
      <c r="V170" s="63">
        <f>SUM(V156:V169)</f>
        <v>1592724.6441000002</v>
      </c>
      <c r="W170" s="63">
        <f t="shared" ref="W170:AB170" si="201">SUM(W156:W169)</f>
        <v>590082.5</v>
      </c>
      <c r="X170" s="63">
        <f t="shared" si="201"/>
        <v>1890</v>
      </c>
      <c r="Y170" s="63">
        <f t="shared" si="201"/>
        <v>0</v>
      </c>
      <c r="Z170" s="63">
        <f t="shared" si="201"/>
        <v>0</v>
      </c>
      <c r="AA170" s="63">
        <f t="shared" si="201"/>
        <v>0</v>
      </c>
      <c r="AB170" s="63">
        <f t="shared" si="201"/>
        <v>0</v>
      </c>
      <c r="AC170" s="63">
        <f>SUM(AC156:AC169)</f>
        <v>2184697.1441000002</v>
      </c>
    </row>
    <row r="171" spans="1:29" x14ac:dyDescent="0.35">
      <c r="A171" s="66" t="s">
        <v>134</v>
      </c>
      <c r="B171" s="15" t="str">
        <f t="shared" ref="B171:I171" si="202">B1</f>
        <v>Operating</v>
      </c>
      <c r="C171" s="15" t="str">
        <f t="shared" si="202"/>
        <v>SPED</v>
      </c>
      <c r="D171" s="15" t="str">
        <f t="shared" si="202"/>
        <v>NSLP</v>
      </c>
      <c r="E171" s="15" t="str">
        <f t="shared" si="202"/>
        <v>Other</v>
      </c>
      <c r="F171" s="15" t="str">
        <f t="shared" si="202"/>
        <v>Title I</v>
      </c>
      <c r="G171" s="15" t="str">
        <f t="shared" si="202"/>
        <v>Title II</v>
      </c>
      <c r="H171" s="15" t="str">
        <f t="shared" si="202"/>
        <v>Title III</v>
      </c>
      <c r="I171" s="15" t="str">
        <f t="shared" si="202"/>
        <v>B&amp;G</v>
      </c>
      <c r="J171" s="7"/>
      <c r="L171" s="15" t="str">
        <f t="shared" ref="L171:S171" si="203">L1</f>
        <v>Operating</v>
      </c>
      <c r="M171" s="15" t="str">
        <f t="shared" si="203"/>
        <v>SPED</v>
      </c>
      <c r="N171" s="15" t="str">
        <f t="shared" si="203"/>
        <v>NSLP</v>
      </c>
      <c r="O171" s="15" t="str">
        <f t="shared" si="203"/>
        <v>Other</v>
      </c>
      <c r="P171" s="15" t="str">
        <f t="shared" si="203"/>
        <v>Title I</v>
      </c>
      <c r="Q171" s="15" t="str">
        <f t="shared" si="203"/>
        <v>Title II</v>
      </c>
      <c r="R171" s="15" t="str">
        <f t="shared" si="203"/>
        <v>Title III</v>
      </c>
      <c r="S171" s="15" t="str">
        <f t="shared" si="203"/>
        <v>New</v>
      </c>
      <c r="T171" s="7"/>
      <c r="V171" s="15" t="str">
        <f t="shared" ref="V171:AC171" si="204">V1</f>
        <v>Operating</v>
      </c>
      <c r="W171" s="15" t="str">
        <f t="shared" si="204"/>
        <v>SPED</v>
      </c>
      <c r="X171" s="15" t="str">
        <f t="shared" si="204"/>
        <v>NSLP</v>
      </c>
      <c r="Y171" s="15" t="str">
        <f t="shared" si="204"/>
        <v>Other</v>
      </c>
      <c r="Z171" s="15" t="str">
        <f t="shared" si="204"/>
        <v>Title I</v>
      </c>
      <c r="AA171" s="15" t="str">
        <f t="shared" si="204"/>
        <v>Title II</v>
      </c>
      <c r="AB171" s="15" t="str">
        <f t="shared" si="204"/>
        <v>Title III</v>
      </c>
      <c r="AC171" s="15" t="str">
        <f t="shared" si="204"/>
        <v>MANN</v>
      </c>
    </row>
    <row r="172" spans="1:29" x14ac:dyDescent="0.35">
      <c r="A172" s="71" t="s">
        <v>135</v>
      </c>
      <c r="B172" s="72">
        <f>(200*12)*1.03*1.04</f>
        <v>2570.88</v>
      </c>
      <c r="C172" s="5"/>
      <c r="D172" s="5"/>
      <c r="E172" s="5"/>
      <c r="F172" s="5"/>
      <c r="G172" s="5"/>
      <c r="H172" s="5"/>
      <c r="I172" s="5">
        <f t="shared" ref="I172:I178" si="205">SUM(B172:H172)</f>
        <v>2570.88</v>
      </c>
      <c r="J172" s="11" t="s">
        <v>286</v>
      </c>
      <c r="L172" s="72">
        <f>(700*12)*1.03*1.03*1.03*1.05*1.04</f>
        <v>10023.366225599999</v>
      </c>
      <c r="M172" s="5"/>
      <c r="N172" s="5"/>
      <c r="O172" s="5"/>
      <c r="P172" s="5"/>
      <c r="Q172" s="5"/>
      <c r="R172" s="5"/>
      <c r="S172" s="5">
        <f t="shared" ref="S172:S178" si="206">SUM(L172:R172)</f>
        <v>10023.366225599999</v>
      </c>
      <c r="T172" s="11"/>
      <c r="V172" s="72">
        <f>B172+L172</f>
        <v>12594.2462256</v>
      </c>
      <c r="W172" s="72">
        <f t="shared" ref="W172:Y187" si="207">C172+M172</f>
        <v>0</v>
      </c>
      <c r="X172" s="72">
        <f t="shared" si="207"/>
        <v>0</v>
      </c>
      <c r="Y172" s="72">
        <f t="shared" si="207"/>
        <v>0</v>
      </c>
      <c r="Z172" s="5"/>
      <c r="AA172" s="5"/>
      <c r="AB172" s="5"/>
      <c r="AC172" s="5">
        <f t="shared" ref="AC172:AC178" si="208">SUM(V172:AB172)</f>
        <v>12594.2462256</v>
      </c>
    </row>
    <row r="173" spans="1:29" x14ac:dyDescent="0.35">
      <c r="A173" s="26" t="s">
        <v>136</v>
      </c>
      <c r="B173" s="72">
        <f>(1400*12)*1.03*1.04</f>
        <v>17996.16</v>
      </c>
      <c r="C173" s="5"/>
      <c r="D173" s="5"/>
      <c r="E173" s="5"/>
      <c r="F173" s="5"/>
      <c r="G173" s="5"/>
      <c r="H173" s="5"/>
      <c r="I173" s="5">
        <f t="shared" si="205"/>
        <v>17996.16</v>
      </c>
      <c r="J173" s="11" t="s">
        <v>287</v>
      </c>
      <c r="L173" s="72">
        <f>(2400*12)*1.03*1.03*1.03*1.05*1.04</f>
        <v>34365.827059200012</v>
      </c>
      <c r="M173" s="5"/>
      <c r="N173" s="5"/>
      <c r="O173" s="5"/>
      <c r="P173" s="5"/>
      <c r="Q173" s="5"/>
      <c r="R173" s="5"/>
      <c r="S173" s="5">
        <f t="shared" si="206"/>
        <v>34365.827059200012</v>
      </c>
      <c r="T173" s="11"/>
      <c r="V173" s="72">
        <f t="shared" ref="V173:Y195" si="209">B173+L173</f>
        <v>52361.987059200008</v>
      </c>
      <c r="W173" s="72">
        <f t="shared" si="207"/>
        <v>0</v>
      </c>
      <c r="X173" s="72">
        <f t="shared" si="207"/>
        <v>0</v>
      </c>
      <c r="Y173" s="72">
        <f t="shared" si="207"/>
        <v>0</v>
      </c>
      <c r="Z173" s="5"/>
      <c r="AA173" s="5"/>
      <c r="AB173" s="5"/>
      <c r="AC173" s="5">
        <f t="shared" si="208"/>
        <v>52361.987059200008</v>
      </c>
    </row>
    <row r="174" spans="1:29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205"/>
        <v>0</v>
      </c>
      <c r="J174" s="11"/>
      <c r="L174" s="73"/>
      <c r="M174" s="5"/>
      <c r="N174" s="5"/>
      <c r="O174" s="5"/>
      <c r="P174" s="5"/>
      <c r="Q174" s="5"/>
      <c r="R174" s="5"/>
      <c r="S174" s="5">
        <f t="shared" si="206"/>
        <v>0</v>
      </c>
      <c r="T174" s="11"/>
      <c r="V174" s="72">
        <f t="shared" si="209"/>
        <v>0</v>
      </c>
      <c r="W174" s="72">
        <f t="shared" si="207"/>
        <v>0</v>
      </c>
      <c r="X174" s="72">
        <f t="shared" si="207"/>
        <v>0</v>
      </c>
      <c r="Y174" s="72">
        <f t="shared" si="207"/>
        <v>0</v>
      </c>
      <c r="Z174" s="5"/>
      <c r="AA174" s="5"/>
      <c r="AB174" s="5"/>
      <c r="AC174" s="5">
        <f t="shared" si="208"/>
        <v>0</v>
      </c>
    </row>
    <row r="175" spans="1:29" x14ac:dyDescent="0.35">
      <c r="A175" s="26" t="s">
        <v>138</v>
      </c>
      <c r="B175" s="73">
        <v>1500</v>
      </c>
      <c r="C175" s="5"/>
      <c r="D175" s="5"/>
      <c r="E175" s="5"/>
      <c r="F175" s="5"/>
      <c r="G175" s="5"/>
      <c r="H175" s="5"/>
      <c r="I175" s="5">
        <f t="shared" si="205"/>
        <v>1500</v>
      </c>
      <c r="J175" s="11"/>
      <c r="L175" s="73">
        <v>2200</v>
      </c>
      <c r="M175" s="5"/>
      <c r="N175" s="5"/>
      <c r="O175" s="5"/>
      <c r="P175" s="5"/>
      <c r="Q175" s="5"/>
      <c r="R175" s="5"/>
      <c r="S175" s="5">
        <f t="shared" si="206"/>
        <v>2200</v>
      </c>
      <c r="T175" s="11"/>
      <c r="V175" s="72">
        <f t="shared" si="209"/>
        <v>3700</v>
      </c>
      <c r="W175" s="72">
        <f t="shared" si="207"/>
        <v>0</v>
      </c>
      <c r="X175" s="72">
        <f t="shared" si="207"/>
        <v>0</v>
      </c>
      <c r="Y175" s="72">
        <f t="shared" si="207"/>
        <v>0</v>
      </c>
      <c r="Z175" s="5"/>
      <c r="AA175" s="5"/>
      <c r="AB175" s="5"/>
      <c r="AC175" s="5">
        <f t="shared" si="208"/>
        <v>3700</v>
      </c>
    </row>
    <row r="176" spans="1:29" x14ac:dyDescent="0.35">
      <c r="A176" s="26" t="s">
        <v>139</v>
      </c>
      <c r="B176" s="73">
        <f>5500*1.03*1.05</f>
        <v>5948.25</v>
      </c>
      <c r="C176" s="5"/>
      <c r="D176" s="5"/>
      <c r="E176" s="5"/>
      <c r="F176" s="5"/>
      <c r="G176" s="5"/>
      <c r="H176" s="5"/>
      <c r="I176" s="5">
        <f t="shared" si="205"/>
        <v>5948.25</v>
      </c>
      <c r="J176" s="11"/>
      <c r="L176" s="73">
        <f>5500*1.03*1.03*1.03*1.04</f>
        <v>6250.3984399999999</v>
      </c>
      <c r="M176" s="5"/>
      <c r="N176" s="5"/>
      <c r="O176" s="5"/>
      <c r="P176" s="5"/>
      <c r="Q176" s="5"/>
      <c r="R176" s="5"/>
      <c r="S176" s="5">
        <f t="shared" si="206"/>
        <v>6250.3984399999999</v>
      </c>
      <c r="T176" s="11"/>
      <c r="V176" s="72">
        <f t="shared" si="209"/>
        <v>12198.648440000001</v>
      </c>
      <c r="W176" s="72">
        <f t="shared" si="207"/>
        <v>0</v>
      </c>
      <c r="X176" s="72">
        <f t="shared" si="207"/>
        <v>0</v>
      </c>
      <c r="Y176" s="72">
        <f t="shared" si="207"/>
        <v>0</v>
      </c>
      <c r="Z176" s="5"/>
      <c r="AA176" s="5"/>
      <c r="AB176" s="5"/>
      <c r="AC176" s="5">
        <f t="shared" si="208"/>
        <v>12198.648440000001</v>
      </c>
    </row>
    <row r="177" spans="1:29" x14ac:dyDescent="0.35">
      <c r="A177" s="26" t="s">
        <v>140</v>
      </c>
      <c r="B177" s="72">
        <f>30000*1.03*1.05</f>
        <v>32445</v>
      </c>
      <c r="C177" s="5"/>
      <c r="D177" s="5"/>
      <c r="E177" s="5"/>
      <c r="F177" s="5"/>
      <c r="G177" s="5"/>
      <c r="H177" s="5"/>
      <c r="I177" s="5">
        <f t="shared" si="205"/>
        <v>32445</v>
      </c>
      <c r="J177" s="11"/>
      <c r="L177" s="72">
        <v>75000</v>
      </c>
      <c r="M177" s="5"/>
      <c r="N177" s="5"/>
      <c r="O177" s="5"/>
      <c r="P177" s="5"/>
      <c r="Q177" s="5"/>
      <c r="R177" s="5"/>
      <c r="S177" s="5">
        <f t="shared" si="206"/>
        <v>75000</v>
      </c>
      <c r="T177" s="11"/>
      <c r="V177" s="72">
        <f t="shared" si="209"/>
        <v>107445</v>
      </c>
      <c r="W177" s="72">
        <f t="shared" si="207"/>
        <v>0</v>
      </c>
      <c r="X177" s="72">
        <f t="shared" si="207"/>
        <v>0</v>
      </c>
      <c r="Y177" s="72">
        <f t="shared" si="207"/>
        <v>0</v>
      </c>
      <c r="Z177" s="5"/>
      <c r="AA177" s="5"/>
      <c r="AB177" s="5"/>
      <c r="AC177" s="5">
        <f t="shared" si="208"/>
        <v>107445</v>
      </c>
    </row>
    <row r="178" spans="1:29" x14ac:dyDescent="0.35">
      <c r="A178" s="26" t="s">
        <v>141</v>
      </c>
      <c r="B178" s="30">
        <f>((2.5*B17)+4250)*1.02*1.05</f>
        <v>5796.7875000000004</v>
      </c>
      <c r="C178" s="5"/>
      <c r="D178" s="5"/>
      <c r="E178" s="5"/>
      <c r="F178" s="5"/>
      <c r="G178" s="5"/>
      <c r="H178" s="5"/>
      <c r="I178" s="5">
        <f t="shared" si="205"/>
        <v>5796.7875000000004</v>
      </c>
      <c r="J178" s="11"/>
      <c r="L178" s="30">
        <f>((2.5*L17)+4250)*1.02*1.03*1.03*1.03</f>
        <v>8398.3719039000007</v>
      </c>
      <c r="M178" s="5"/>
      <c r="N178" s="5"/>
      <c r="O178" s="5"/>
      <c r="P178" s="5"/>
      <c r="Q178" s="5"/>
      <c r="R178" s="5"/>
      <c r="S178" s="5">
        <f t="shared" si="206"/>
        <v>8398.3719039000007</v>
      </c>
      <c r="T178" s="11"/>
      <c r="V178" s="72">
        <f t="shared" si="209"/>
        <v>14195.159403900001</v>
      </c>
      <c r="W178" s="72">
        <f t="shared" si="207"/>
        <v>0</v>
      </c>
      <c r="X178" s="72">
        <f t="shared" si="207"/>
        <v>0</v>
      </c>
      <c r="Y178" s="72">
        <f t="shared" si="207"/>
        <v>0</v>
      </c>
      <c r="Z178" s="5"/>
      <c r="AA178" s="5"/>
      <c r="AB178" s="5"/>
      <c r="AC178" s="5">
        <f t="shared" si="208"/>
        <v>14195.159403900001</v>
      </c>
    </row>
    <row r="179" spans="1:29" x14ac:dyDescent="0.35">
      <c r="A179" s="26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 t="s">
        <v>143</v>
      </c>
      <c r="L179" s="72">
        <f>4300*12</f>
        <v>51600</v>
      </c>
      <c r="M179" s="5"/>
      <c r="N179" s="5"/>
      <c r="O179" s="5"/>
      <c r="P179" s="5"/>
      <c r="Q179" s="5"/>
      <c r="R179" s="5"/>
      <c r="S179" s="5">
        <f>SUM(L179:R179)</f>
        <v>51600</v>
      </c>
      <c r="T179" s="11"/>
      <c r="V179" s="72">
        <f t="shared" si="209"/>
        <v>51600</v>
      </c>
      <c r="W179" s="72">
        <f t="shared" si="207"/>
        <v>0</v>
      </c>
      <c r="X179" s="72">
        <f t="shared" si="207"/>
        <v>0</v>
      </c>
      <c r="Y179" s="72">
        <f t="shared" si="207"/>
        <v>0</v>
      </c>
      <c r="Z179" s="5"/>
      <c r="AA179" s="5"/>
      <c r="AB179" s="5"/>
      <c r="AC179" s="5">
        <f>SUM(V179:AB179)</f>
        <v>51600</v>
      </c>
    </row>
    <row r="180" spans="1:29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  <c r="L180" s="72">
        <v>0</v>
      </c>
      <c r="M180" s="5"/>
      <c r="N180" s="5"/>
      <c r="O180" s="5"/>
      <c r="P180" s="5"/>
      <c r="Q180" s="5"/>
      <c r="R180" s="5"/>
      <c r="S180" s="5">
        <f>SUM(L180:R180)</f>
        <v>0</v>
      </c>
      <c r="T180" s="11"/>
      <c r="V180" s="72">
        <f t="shared" si="209"/>
        <v>0</v>
      </c>
      <c r="W180" s="72">
        <f t="shared" si="207"/>
        <v>0</v>
      </c>
      <c r="X180" s="72">
        <f t="shared" si="207"/>
        <v>0</v>
      </c>
      <c r="Y180" s="72">
        <f t="shared" si="207"/>
        <v>0</v>
      </c>
      <c r="Z180" s="5"/>
      <c r="AA180" s="5"/>
      <c r="AB180" s="5"/>
      <c r="AC180" s="5">
        <f>SUM(V180:AB180)</f>
        <v>0</v>
      </c>
    </row>
    <row r="181" spans="1:29" x14ac:dyDescent="0.35">
      <c r="A181" s="26" t="s">
        <v>145</v>
      </c>
      <c r="B181" s="73">
        <f>26750*1.1*1.1*1.1*1.1*1.1</f>
        <v>43081.142500000016</v>
      </c>
      <c r="C181" s="5"/>
      <c r="D181" s="5"/>
      <c r="E181" s="5"/>
      <c r="F181" s="5"/>
      <c r="G181" s="5"/>
      <c r="H181" s="5"/>
      <c r="I181" s="5">
        <f>SUM(B181:H181)</f>
        <v>43081.142500000016</v>
      </c>
      <c r="J181" s="11"/>
      <c r="L181" s="72">
        <v>55000</v>
      </c>
      <c r="M181" s="5"/>
      <c r="N181" s="5"/>
      <c r="O181" s="5"/>
      <c r="P181" s="5"/>
      <c r="Q181" s="5"/>
      <c r="R181" s="5"/>
      <c r="S181" s="5">
        <f>SUM(L181:R181)</f>
        <v>55000</v>
      </c>
      <c r="T181" s="11"/>
      <c r="V181" s="72">
        <f t="shared" si="209"/>
        <v>98081.142500000016</v>
      </c>
      <c r="W181" s="72">
        <f t="shared" si="207"/>
        <v>0</v>
      </c>
      <c r="X181" s="72">
        <f t="shared" si="207"/>
        <v>0</v>
      </c>
      <c r="Y181" s="72">
        <f t="shared" si="207"/>
        <v>0</v>
      </c>
      <c r="Z181" s="5"/>
      <c r="AA181" s="5"/>
      <c r="AB181" s="5"/>
      <c r="AC181" s="5">
        <f>SUM(V181:AB181)</f>
        <v>98081.142500000016</v>
      </c>
    </row>
    <row r="182" spans="1:29" x14ac:dyDescent="0.35">
      <c r="A182" s="26" t="s">
        <v>146</v>
      </c>
      <c r="B182" s="5"/>
      <c r="C182" s="5"/>
      <c r="D182" s="5">
        <f>((B17*0.95)*2.35*180)</f>
        <v>186860.25</v>
      </c>
      <c r="E182" s="5"/>
      <c r="F182" s="5"/>
      <c r="G182" s="5"/>
      <c r="H182" s="5"/>
      <c r="I182" s="5">
        <f t="shared" ref="I182:I190" si="210">SUM(B182:H182)</f>
        <v>186860.25</v>
      </c>
      <c r="J182" s="52">
        <v>2.35</v>
      </c>
      <c r="L182" s="5"/>
      <c r="M182" s="5"/>
      <c r="N182" s="5">
        <f>((L17*0.95)*2.35*180)</f>
        <v>528030.9</v>
      </c>
      <c r="O182" s="5"/>
      <c r="P182" s="5"/>
      <c r="Q182" s="5"/>
      <c r="R182" s="5"/>
      <c r="S182" s="5">
        <f t="shared" ref="S182:S190" si="211">SUM(L182:R182)</f>
        <v>528030.9</v>
      </c>
      <c r="T182" s="52">
        <v>2.35</v>
      </c>
      <c r="V182" s="72">
        <f t="shared" si="209"/>
        <v>0</v>
      </c>
      <c r="W182" s="72">
        <f t="shared" si="207"/>
        <v>0</v>
      </c>
      <c r="X182" s="72">
        <f t="shared" si="207"/>
        <v>714891.15</v>
      </c>
      <c r="Y182" s="72">
        <f t="shared" si="207"/>
        <v>0</v>
      </c>
      <c r="Z182" s="5"/>
      <c r="AA182" s="5"/>
      <c r="AB182" s="5"/>
      <c r="AC182" s="5">
        <f t="shared" ref="AC182:AC190" si="212">SUM(V182:AB182)</f>
        <v>714891.15</v>
      </c>
    </row>
    <row r="183" spans="1:29" x14ac:dyDescent="0.35">
      <c r="A183" s="26" t="s">
        <v>147</v>
      </c>
      <c r="B183" s="5"/>
      <c r="C183" s="5"/>
      <c r="D183" s="5">
        <f>((B17*0.95)*3.55*180)</f>
        <v>282278.25</v>
      </c>
      <c r="E183" s="5"/>
      <c r="F183" s="5"/>
      <c r="G183" s="5"/>
      <c r="H183" s="5"/>
      <c r="I183" s="5">
        <f t="shared" si="210"/>
        <v>282278.25</v>
      </c>
      <c r="J183" s="52">
        <v>3.55</v>
      </c>
      <c r="L183" s="5"/>
      <c r="M183" s="5"/>
      <c r="N183" s="5">
        <f>((L17*0.95)*3.55*180)</f>
        <v>797663.69999999984</v>
      </c>
      <c r="O183" s="5"/>
      <c r="P183" s="5"/>
      <c r="Q183" s="5"/>
      <c r="R183" s="5"/>
      <c r="S183" s="5">
        <f t="shared" si="211"/>
        <v>797663.69999999984</v>
      </c>
      <c r="T183" s="52">
        <v>3.55</v>
      </c>
      <c r="V183" s="72">
        <f t="shared" si="209"/>
        <v>0</v>
      </c>
      <c r="W183" s="72">
        <f t="shared" si="207"/>
        <v>0</v>
      </c>
      <c r="X183" s="72">
        <f t="shared" si="207"/>
        <v>1079941.9499999997</v>
      </c>
      <c r="Y183" s="72">
        <f t="shared" si="207"/>
        <v>0</v>
      </c>
      <c r="Z183" s="5"/>
      <c r="AA183" s="5"/>
      <c r="AB183" s="5"/>
      <c r="AC183" s="5">
        <f t="shared" si="212"/>
        <v>1079941.9499999997</v>
      </c>
    </row>
    <row r="184" spans="1:29" x14ac:dyDescent="0.35">
      <c r="A184" s="26" t="s">
        <v>148</v>
      </c>
      <c r="B184" s="5">
        <v>6200</v>
      </c>
      <c r="C184" s="5"/>
      <c r="D184" s="5"/>
      <c r="E184" s="5"/>
      <c r="F184" s="5"/>
      <c r="G184" s="5"/>
      <c r="H184" s="5"/>
      <c r="I184" s="5">
        <f t="shared" si="210"/>
        <v>6200</v>
      </c>
      <c r="J184" s="11"/>
      <c r="L184" s="5">
        <v>9500</v>
      </c>
      <c r="M184" s="5"/>
      <c r="N184" s="5"/>
      <c r="O184" s="5"/>
      <c r="P184" s="5"/>
      <c r="Q184" s="5"/>
      <c r="R184" s="5"/>
      <c r="S184" s="5">
        <f t="shared" si="211"/>
        <v>9500</v>
      </c>
      <c r="T184" s="11"/>
      <c r="V184" s="72">
        <f t="shared" si="209"/>
        <v>15700</v>
      </c>
      <c r="W184" s="72">
        <f t="shared" si="207"/>
        <v>0</v>
      </c>
      <c r="X184" s="72">
        <f t="shared" si="207"/>
        <v>0</v>
      </c>
      <c r="Y184" s="72">
        <f t="shared" si="207"/>
        <v>0</v>
      </c>
      <c r="Z184" s="5"/>
      <c r="AA184" s="5"/>
      <c r="AB184" s="5"/>
      <c r="AC184" s="5">
        <f t="shared" si="212"/>
        <v>15700</v>
      </c>
    </row>
    <row r="185" spans="1:29" x14ac:dyDescent="0.35">
      <c r="A185" s="26" t="s">
        <v>149</v>
      </c>
      <c r="B185" s="5">
        <v>1850</v>
      </c>
      <c r="C185" s="5"/>
      <c r="D185" s="5"/>
      <c r="E185" s="5"/>
      <c r="F185" s="5"/>
      <c r="G185" s="5"/>
      <c r="H185" s="5"/>
      <c r="I185" s="5">
        <f t="shared" si="210"/>
        <v>1850</v>
      </c>
      <c r="J185" s="11"/>
      <c r="L185" s="5">
        <v>2100</v>
      </c>
      <c r="M185" s="5"/>
      <c r="N185" s="5"/>
      <c r="O185" s="5"/>
      <c r="P185" s="5"/>
      <c r="Q185" s="5"/>
      <c r="R185" s="5"/>
      <c r="S185" s="5">
        <f t="shared" si="211"/>
        <v>2100</v>
      </c>
      <c r="T185" s="11"/>
      <c r="V185" s="72">
        <f t="shared" si="209"/>
        <v>3950</v>
      </c>
      <c r="W185" s="72">
        <f t="shared" si="207"/>
        <v>0</v>
      </c>
      <c r="X185" s="72">
        <f t="shared" si="207"/>
        <v>0</v>
      </c>
      <c r="Y185" s="72">
        <f t="shared" si="207"/>
        <v>0</v>
      </c>
      <c r="Z185" s="5"/>
      <c r="AA185" s="5"/>
      <c r="AB185" s="5"/>
      <c r="AC185" s="5">
        <f t="shared" si="212"/>
        <v>3950</v>
      </c>
    </row>
    <row r="186" spans="1:29" x14ac:dyDescent="0.35">
      <c r="A186" s="26" t="s">
        <v>150</v>
      </c>
      <c r="B186" s="5">
        <v>1850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210"/>
        <v>1850</v>
      </c>
      <c r="J186" s="11"/>
      <c r="L186" s="5">
        <v>2100</v>
      </c>
      <c r="M186" s="5">
        <v>0</v>
      </c>
      <c r="N186" s="5">
        <v>0</v>
      </c>
      <c r="O186" s="5"/>
      <c r="P186" s="5">
        <v>0</v>
      </c>
      <c r="Q186" s="5">
        <v>0</v>
      </c>
      <c r="R186" s="5">
        <v>0</v>
      </c>
      <c r="S186" s="5">
        <f t="shared" si="211"/>
        <v>2100</v>
      </c>
      <c r="T186" s="11"/>
      <c r="V186" s="72">
        <f t="shared" si="209"/>
        <v>3950</v>
      </c>
      <c r="W186" s="72">
        <f t="shared" si="207"/>
        <v>0</v>
      </c>
      <c r="X186" s="72">
        <f t="shared" si="207"/>
        <v>0</v>
      </c>
      <c r="Y186" s="72">
        <f t="shared" si="207"/>
        <v>0</v>
      </c>
      <c r="Z186" s="5">
        <v>0</v>
      </c>
      <c r="AA186" s="5">
        <v>0</v>
      </c>
      <c r="AB186" s="5">
        <v>0</v>
      </c>
      <c r="AC186" s="5">
        <f t="shared" si="212"/>
        <v>3950</v>
      </c>
    </row>
    <row r="187" spans="1:29" x14ac:dyDescent="0.35">
      <c r="A187" s="26" t="s">
        <v>151</v>
      </c>
      <c r="B187" s="10">
        <f>((5*B17)+1200+1350+950)*1.05</f>
        <v>6116.25</v>
      </c>
      <c r="C187" s="5"/>
      <c r="D187" s="5"/>
      <c r="E187" s="5"/>
      <c r="F187" s="5"/>
      <c r="G187" s="5"/>
      <c r="H187" s="5"/>
      <c r="I187" s="5">
        <f t="shared" si="210"/>
        <v>6116.25</v>
      </c>
      <c r="J187" s="11" t="s">
        <v>288</v>
      </c>
      <c r="L187" s="10">
        <f>(5*L17)+1200+1350+2400+1500+1750</f>
        <v>14770</v>
      </c>
      <c r="M187" s="5"/>
      <c r="N187" s="5"/>
      <c r="O187" s="5"/>
      <c r="P187" s="5"/>
      <c r="Q187" s="5"/>
      <c r="R187" s="5"/>
      <c r="S187" s="5">
        <f t="shared" si="211"/>
        <v>14770</v>
      </c>
      <c r="T187" s="11" t="s">
        <v>288</v>
      </c>
      <c r="V187" s="72">
        <f t="shared" si="209"/>
        <v>20886.25</v>
      </c>
      <c r="W187" s="72">
        <f t="shared" si="207"/>
        <v>0</v>
      </c>
      <c r="X187" s="72">
        <f t="shared" si="207"/>
        <v>0</v>
      </c>
      <c r="Y187" s="72">
        <f t="shared" si="207"/>
        <v>0</v>
      </c>
      <c r="Z187" s="5"/>
      <c r="AA187" s="5"/>
      <c r="AB187" s="5"/>
      <c r="AC187" s="5">
        <f t="shared" si="212"/>
        <v>20886.25</v>
      </c>
    </row>
    <row r="188" spans="1:29" hidden="1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210"/>
        <v>0</v>
      </c>
      <c r="J188" s="11"/>
      <c r="L188" s="10"/>
      <c r="M188" s="5"/>
      <c r="N188" s="5"/>
      <c r="O188" s="5"/>
      <c r="P188" s="5"/>
      <c r="Q188" s="5"/>
      <c r="R188" s="5"/>
      <c r="S188" s="5">
        <f t="shared" si="211"/>
        <v>0</v>
      </c>
      <c r="T188" s="11"/>
      <c r="V188" s="72">
        <f t="shared" si="209"/>
        <v>0</v>
      </c>
      <c r="W188" s="72">
        <f t="shared" si="209"/>
        <v>0</v>
      </c>
      <c r="X188" s="72">
        <f t="shared" si="209"/>
        <v>0</v>
      </c>
      <c r="Y188" s="72">
        <f t="shared" si="209"/>
        <v>0</v>
      </c>
      <c r="Z188" s="5"/>
      <c r="AA188" s="5"/>
      <c r="AB188" s="5"/>
      <c r="AC188" s="5">
        <f t="shared" si="212"/>
        <v>0</v>
      </c>
    </row>
    <row r="189" spans="1:29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210"/>
        <v>0</v>
      </c>
      <c r="J189" s="11"/>
      <c r="L189" s="5"/>
      <c r="M189" s="5"/>
      <c r="N189" s="5"/>
      <c r="O189" s="5"/>
      <c r="P189" s="5"/>
      <c r="Q189" s="5"/>
      <c r="R189" s="5"/>
      <c r="S189" s="5">
        <f t="shared" si="211"/>
        <v>0</v>
      </c>
      <c r="T189" s="11"/>
      <c r="V189" s="72">
        <f t="shared" si="209"/>
        <v>0</v>
      </c>
      <c r="W189" s="72">
        <f t="shared" si="209"/>
        <v>0</v>
      </c>
      <c r="X189" s="72">
        <f t="shared" si="209"/>
        <v>0</v>
      </c>
      <c r="Y189" s="72">
        <f t="shared" si="209"/>
        <v>0</v>
      </c>
      <c r="Z189" s="5"/>
      <c r="AA189" s="5"/>
      <c r="AB189" s="5"/>
      <c r="AC189" s="5">
        <f t="shared" si="212"/>
        <v>0</v>
      </c>
    </row>
    <row r="190" spans="1:29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210"/>
        <v>0</v>
      </c>
      <c r="J190" s="11"/>
      <c r="L190" s="10">
        <v>0</v>
      </c>
      <c r="M190" s="5"/>
      <c r="N190" s="5"/>
      <c r="O190" s="5"/>
      <c r="P190" s="5"/>
      <c r="Q190" s="5"/>
      <c r="R190" s="5"/>
      <c r="S190" s="5">
        <f t="shared" si="211"/>
        <v>0</v>
      </c>
      <c r="T190" s="11"/>
      <c r="V190" s="72">
        <f t="shared" si="209"/>
        <v>0</v>
      </c>
      <c r="W190" s="72">
        <f t="shared" si="209"/>
        <v>0</v>
      </c>
      <c r="X190" s="72">
        <f t="shared" si="209"/>
        <v>0</v>
      </c>
      <c r="Y190" s="72">
        <f t="shared" si="209"/>
        <v>0</v>
      </c>
      <c r="Z190" s="5"/>
      <c r="AA190" s="5"/>
      <c r="AB190" s="5"/>
      <c r="AC190" s="5">
        <f t="shared" si="212"/>
        <v>0</v>
      </c>
    </row>
    <row r="191" spans="1:29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  <c r="L191" s="10">
        <v>83222</v>
      </c>
      <c r="M191" s="10"/>
      <c r="N191" s="10"/>
      <c r="O191" s="10"/>
      <c r="P191" s="10"/>
      <c r="Q191" s="10"/>
      <c r="R191" s="10"/>
      <c r="S191" s="5">
        <f>SUM(L191:R191)</f>
        <v>83222</v>
      </c>
      <c r="T191" s="11"/>
      <c r="V191" s="72">
        <f t="shared" si="209"/>
        <v>83222</v>
      </c>
      <c r="W191" s="72">
        <f t="shared" si="209"/>
        <v>0</v>
      </c>
      <c r="X191" s="72">
        <f t="shared" si="209"/>
        <v>0</v>
      </c>
      <c r="Y191" s="72">
        <f t="shared" si="209"/>
        <v>0</v>
      </c>
      <c r="Z191" s="10"/>
      <c r="AA191" s="10"/>
      <c r="AB191" s="10"/>
      <c r="AC191" s="5">
        <f>SUM(V191:AB191)</f>
        <v>83222</v>
      </c>
    </row>
    <row r="192" spans="1:29" x14ac:dyDescent="0.35">
      <c r="A192" s="26" t="s">
        <v>254</v>
      </c>
      <c r="B192" s="10"/>
      <c r="C192" s="5"/>
      <c r="D192" s="5"/>
      <c r="E192" s="5"/>
      <c r="F192" s="5"/>
      <c r="G192" s="5"/>
      <c r="H192" s="5"/>
      <c r="I192" s="5">
        <f t="shared" ref="I192:I195" si="213">SUM(B192:H192)</f>
        <v>0</v>
      </c>
      <c r="J192" s="11"/>
      <c r="L192" s="10">
        <v>543911</v>
      </c>
      <c r="M192" s="5"/>
      <c r="N192" s="5"/>
      <c r="O192" s="5"/>
      <c r="P192" s="5"/>
      <c r="Q192" s="5"/>
      <c r="R192" s="5"/>
      <c r="S192" s="5">
        <f t="shared" ref="S192:S195" si="214">SUM(L192:R192)</f>
        <v>543911</v>
      </c>
      <c r="T192" s="11"/>
      <c r="V192" s="72">
        <f t="shared" si="209"/>
        <v>543911</v>
      </c>
      <c r="W192" s="72">
        <f t="shared" si="209"/>
        <v>0</v>
      </c>
      <c r="X192" s="72">
        <f t="shared" si="209"/>
        <v>0</v>
      </c>
      <c r="Y192" s="72">
        <f t="shared" si="209"/>
        <v>0</v>
      </c>
      <c r="Z192" s="5"/>
      <c r="AA192" s="5"/>
      <c r="AB192" s="5"/>
      <c r="AC192" s="5">
        <f t="shared" ref="AC192:AC195" si="215">SUM(V192:AB192)</f>
        <v>543911</v>
      </c>
    </row>
    <row r="193" spans="1:30" x14ac:dyDescent="0.35">
      <c r="A193" s="26" t="s">
        <v>255</v>
      </c>
      <c r="B193" s="10"/>
      <c r="C193" s="5"/>
      <c r="D193" s="5"/>
      <c r="E193" s="5"/>
      <c r="F193" s="5"/>
      <c r="G193" s="5"/>
      <c r="H193" s="5"/>
      <c r="I193" s="5">
        <f t="shared" si="213"/>
        <v>0</v>
      </c>
      <c r="J193" s="11"/>
      <c r="L193" s="10">
        <v>0</v>
      </c>
      <c r="M193" s="5"/>
      <c r="N193" s="5"/>
      <c r="O193" s="5"/>
      <c r="P193" s="5"/>
      <c r="Q193" s="5"/>
      <c r="R193" s="5"/>
      <c r="S193" s="5">
        <f t="shared" si="214"/>
        <v>0</v>
      </c>
      <c r="T193" s="11"/>
      <c r="V193" s="72">
        <f t="shared" si="209"/>
        <v>0</v>
      </c>
      <c r="W193" s="72">
        <f t="shared" si="209"/>
        <v>0</v>
      </c>
      <c r="X193" s="72">
        <f t="shared" si="209"/>
        <v>0</v>
      </c>
      <c r="Y193" s="72">
        <f t="shared" si="209"/>
        <v>0</v>
      </c>
      <c r="Z193" s="5"/>
      <c r="AA193" s="5"/>
      <c r="AB193" s="5"/>
      <c r="AC193" s="5">
        <f t="shared" si="215"/>
        <v>0</v>
      </c>
    </row>
    <row r="194" spans="1:30" x14ac:dyDescent="0.35">
      <c r="A194" s="26" t="s">
        <v>275</v>
      </c>
      <c r="B194" s="10">
        <v>10500</v>
      </c>
      <c r="C194" s="5"/>
      <c r="D194" s="5"/>
      <c r="E194" s="5"/>
      <c r="F194" s="5"/>
      <c r="G194" s="5"/>
      <c r="H194" s="5"/>
      <c r="I194" s="5">
        <f t="shared" si="213"/>
        <v>10500</v>
      </c>
      <c r="J194" s="11"/>
      <c r="L194" s="10">
        <v>21000</v>
      </c>
      <c r="M194" s="5"/>
      <c r="N194" s="5"/>
      <c r="O194" s="5"/>
      <c r="P194" s="5"/>
      <c r="Q194" s="5"/>
      <c r="R194" s="5"/>
      <c r="S194" s="5">
        <f t="shared" si="214"/>
        <v>21000</v>
      </c>
      <c r="T194" s="11"/>
      <c r="V194" s="72">
        <f t="shared" si="209"/>
        <v>31500</v>
      </c>
      <c r="W194" s="72">
        <f t="shared" si="209"/>
        <v>0</v>
      </c>
      <c r="X194" s="72">
        <f t="shared" si="209"/>
        <v>0</v>
      </c>
      <c r="Y194" s="72">
        <f t="shared" si="209"/>
        <v>0</v>
      </c>
      <c r="Z194" s="5"/>
      <c r="AA194" s="5"/>
      <c r="AB194" s="5"/>
      <c r="AC194" s="5">
        <f t="shared" si="215"/>
        <v>31500</v>
      </c>
    </row>
    <row r="195" spans="1:30" x14ac:dyDescent="0.35">
      <c r="A195" s="69" t="s">
        <v>458</v>
      </c>
      <c r="B195" s="5">
        <f>((B74)*0.02)</f>
        <v>92879.1</v>
      </c>
      <c r="C195" s="5"/>
      <c r="D195" s="5"/>
      <c r="E195" s="5"/>
      <c r="F195" s="5"/>
      <c r="G195" s="5"/>
      <c r="H195" s="5"/>
      <c r="I195" s="5">
        <f t="shared" si="213"/>
        <v>92879.1</v>
      </c>
      <c r="J195" s="48" t="s">
        <v>497</v>
      </c>
      <c r="L195" s="5">
        <f>((L74)*0.015)</f>
        <v>196843.77</v>
      </c>
      <c r="M195" s="5"/>
      <c r="N195" s="5"/>
      <c r="O195" s="5"/>
      <c r="P195" s="5"/>
      <c r="Q195" s="5"/>
      <c r="R195" s="5"/>
      <c r="S195" s="5">
        <f t="shared" si="214"/>
        <v>196843.77</v>
      </c>
      <c r="T195" s="48" t="s">
        <v>517</v>
      </c>
      <c r="V195" s="72">
        <f t="shared" si="209"/>
        <v>289722.87</v>
      </c>
      <c r="W195" s="72">
        <f t="shared" si="209"/>
        <v>0</v>
      </c>
      <c r="X195" s="72">
        <f t="shared" si="209"/>
        <v>0</v>
      </c>
      <c r="Y195" s="72">
        <f t="shared" si="209"/>
        <v>0</v>
      </c>
      <c r="Z195" s="5"/>
      <c r="AA195" s="5"/>
      <c r="AB195" s="5"/>
      <c r="AC195" s="5">
        <f t="shared" si="215"/>
        <v>289722.87</v>
      </c>
      <c r="AD195" s="105">
        <f>V195/AC74</f>
        <v>1.6306913996627318E-2</v>
      </c>
    </row>
    <row r="196" spans="1:30" x14ac:dyDescent="0.35">
      <c r="A196" s="62" t="s">
        <v>182</v>
      </c>
      <c r="B196" s="63">
        <f>SUM(B172:B195)</f>
        <v>228733.57000000004</v>
      </c>
      <c r="C196" s="63">
        <f t="shared" ref="C196:I196" si="216">SUM(C172:C195)</f>
        <v>0</v>
      </c>
      <c r="D196" s="63">
        <f t="shared" si="216"/>
        <v>469138.5</v>
      </c>
      <c r="E196" s="63">
        <f t="shared" si="216"/>
        <v>0</v>
      </c>
      <c r="F196" s="63">
        <f t="shared" si="216"/>
        <v>0</v>
      </c>
      <c r="G196" s="63">
        <f t="shared" si="216"/>
        <v>0</v>
      </c>
      <c r="H196" s="63">
        <f t="shared" si="216"/>
        <v>0</v>
      </c>
      <c r="I196" s="63">
        <f t="shared" si="216"/>
        <v>697872.07</v>
      </c>
      <c r="J196" s="7"/>
      <c r="L196" s="63">
        <f>SUM(L172:L195)</f>
        <v>1116284.7336287</v>
      </c>
      <c r="M196" s="63">
        <f t="shared" ref="M196:S196" si="217">SUM(M172:M195)</f>
        <v>0</v>
      </c>
      <c r="N196" s="63">
        <f t="shared" si="217"/>
        <v>1325694.5999999999</v>
      </c>
      <c r="O196" s="63">
        <f t="shared" si="217"/>
        <v>0</v>
      </c>
      <c r="P196" s="63">
        <f t="shared" si="217"/>
        <v>0</v>
      </c>
      <c r="Q196" s="63">
        <f t="shared" si="217"/>
        <v>0</v>
      </c>
      <c r="R196" s="63">
        <f t="shared" si="217"/>
        <v>0</v>
      </c>
      <c r="S196" s="63">
        <f t="shared" si="217"/>
        <v>2441979.3336286996</v>
      </c>
      <c r="T196" s="7"/>
      <c r="V196" s="63">
        <f>SUM(V172:V195)</f>
        <v>1345018.3036286999</v>
      </c>
      <c r="W196" s="63">
        <f t="shared" ref="W196:AC196" si="218">SUM(W172:W195)</f>
        <v>0</v>
      </c>
      <c r="X196" s="63">
        <f t="shared" si="218"/>
        <v>1794833.0999999996</v>
      </c>
      <c r="Y196" s="63">
        <f t="shared" si="218"/>
        <v>0</v>
      </c>
      <c r="Z196" s="63">
        <f t="shared" si="218"/>
        <v>0</v>
      </c>
      <c r="AA196" s="63">
        <f t="shared" si="218"/>
        <v>0</v>
      </c>
      <c r="AB196" s="63">
        <f t="shared" si="218"/>
        <v>0</v>
      </c>
      <c r="AC196" s="63">
        <f t="shared" si="218"/>
        <v>3139851.4036286999</v>
      </c>
    </row>
    <row r="197" spans="1:30" x14ac:dyDescent="0.35">
      <c r="A197" s="66" t="s">
        <v>154</v>
      </c>
      <c r="B197" s="15" t="str">
        <f t="shared" ref="B197:I197" si="219">B1</f>
        <v>Operating</v>
      </c>
      <c r="C197" s="15" t="str">
        <f t="shared" si="219"/>
        <v>SPED</v>
      </c>
      <c r="D197" s="15" t="str">
        <f t="shared" si="219"/>
        <v>NSLP</v>
      </c>
      <c r="E197" s="15" t="str">
        <f t="shared" si="219"/>
        <v>Other</v>
      </c>
      <c r="F197" s="15" t="str">
        <f t="shared" si="219"/>
        <v>Title I</v>
      </c>
      <c r="G197" s="15" t="str">
        <f t="shared" si="219"/>
        <v>Title II</v>
      </c>
      <c r="H197" s="15" t="str">
        <f t="shared" si="219"/>
        <v>Title III</v>
      </c>
      <c r="I197" s="15" t="str">
        <f t="shared" si="219"/>
        <v>B&amp;G</v>
      </c>
      <c r="J197" s="7"/>
      <c r="L197" s="15" t="str">
        <f t="shared" ref="L197:S197" si="220">L1</f>
        <v>Operating</v>
      </c>
      <c r="M197" s="15" t="str">
        <f t="shared" si="220"/>
        <v>SPED</v>
      </c>
      <c r="N197" s="15" t="str">
        <f t="shared" si="220"/>
        <v>NSLP</v>
      </c>
      <c r="O197" s="15" t="str">
        <f t="shared" si="220"/>
        <v>Other</v>
      </c>
      <c r="P197" s="15" t="str">
        <f t="shared" si="220"/>
        <v>Title I</v>
      </c>
      <c r="Q197" s="15" t="str">
        <f t="shared" si="220"/>
        <v>Title II</v>
      </c>
      <c r="R197" s="15" t="str">
        <f t="shared" si="220"/>
        <v>Title III</v>
      </c>
      <c r="S197" s="15" t="str">
        <f t="shared" si="220"/>
        <v>New</v>
      </c>
      <c r="T197" s="7"/>
      <c r="V197" s="15" t="str">
        <f t="shared" ref="V197:AC197" si="221">V1</f>
        <v>Operating</v>
      </c>
      <c r="W197" s="15" t="str">
        <f t="shared" si="221"/>
        <v>SPED</v>
      </c>
      <c r="X197" s="15" t="str">
        <f t="shared" si="221"/>
        <v>NSLP</v>
      </c>
      <c r="Y197" s="15" t="str">
        <f t="shared" si="221"/>
        <v>Other</v>
      </c>
      <c r="Z197" s="15" t="str">
        <f t="shared" si="221"/>
        <v>Title I</v>
      </c>
      <c r="AA197" s="15" t="str">
        <f t="shared" si="221"/>
        <v>Title II</v>
      </c>
      <c r="AB197" s="15" t="str">
        <f t="shared" si="221"/>
        <v>Title III</v>
      </c>
      <c r="AC197" s="15" t="str">
        <f t="shared" si="221"/>
        <v>MANN</v>
      </c>
    </row>
    <row r="198" spans="1:30" x14ac:dyDescent="0.35">
      <c r="A198" s="71" t="s">
        <v>155</v>
      </c>
      <c r="B198" s="120">
        <f>30000*1.05*1.02*1.02*1.02*1.02</f>
        <v>34096.613039999997</v>
      </c>
      <c r="C198" s="5"/>
      <c r="D198" s="5"/>
      <c r="E198" s="5"/>
      <c r="F198" s="5"/>
      <c r="G198" s="5"/>
      <c r="H198" s="5"/>
      <c r="I198" s="5">
        <f t="shared" ref="I198:I207" si="222">SUM(B198:H198)</f>
        <v>34096.613039999997</v>
      </c>
      <c r="J198" s="6"/>
      <c r="L198" s="120">
        <v>115000</v>
      </c>
      <c r="M198" s="5"/>
      <c r="N198" s="5"/>
      <c r="O198" s="5"/>
      <c r="P198" s="5"/>
      <c r="Q198" s="5"/>
      <c r="R198" s="5"/>
      <c r="S198" s="5">
        <f t="shared" ref="S198:S207" si="223">SUM(L198:R198)</f>
        <v>115000</v>
      </c>
      <c r="T198" s="6"/>
      <c r="V198" s="120">
        <f>B198+L198</f>
        <v>149096.61304</v>
      </c>
      <c r="W198" s="120">
        <f t="shared" ref="W198:Y207" si="224">C198+M198</f>
        <v>0</v>
      </c>
      <c r="X198" s="120">
        <f t="shared" si="224"/>
        <v>0</v>
      </c>
      <c r="Y198" s="120">
        <f t="shared" si="224"/>
        <v>0</v>
      </c>
      <c r="Z198" s="5"/>
      <c r="AA198" s="5"/>
      <c r="AB198" s="5"/>
      <c r="AC198" s="5">
        <f t="shared" ref="AC198:AC207" si="225">SUM(V198:AB198)</f>
        <v>149096.61304</v>
      </c>
    </row>
    <row r="199" spans="1:30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222"/>
        <v>0</v>
      </c>
      <c r="J199" s="11"/>
      <c r="L199" s="72">
        <v>30000</v>
      </c>
      <c r="M199" s="5"/>
      <c r="N199" s="5"/>
      <c r="O199" s="5"/>
      <c r="P199" s="5"/>
      <c r="Q199" s="5"/>
      <c r="R199" s="5"/>
      <c r="S199" s="5">
        <f t="shared" si="223"/>
        <v>30000</v>
      </c>
      <c r="T199" s="11"/>
      <c r="V199" s="120">
        <f t="shared" ref="V199:V207" si="226">B199+L199</f>
        <v>30000</v>
      </c>
      <c r="W199" s="120">
        <f t="shared" si="224"/>
        <v>0</v>
      </c>
      <c r="X199" s="120">
        <f t="shared" si="224"/>
        <v>0</v>
      </c>
      <c r="Y199" s="120">
        <f t="shared" si="224"/>
        <v>0</v>
      </c>
      <c r="Z199" s="5"/>
      <c r="AA199" s="5"/>
      <c r="AB199" s="5"/>
      <c r="AC199" s="5">
        <f t="shared" si="225"/>
        <v>30000</v>
      </c>
    </row>
    <row r="200" spans="1:30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222"/>
        <v>0</v>
      </c>
      <c r="J200" s="11"/>
      <c r="L200" s="73">
        <v>40000</v>
      </c>
      <c r="M200" s="5"/>
      <c r="N200" s="5"/>
      <c r="O200" s="5"/>
      <c r="P200" s="5"/>
      <c r="Q200" s="5"/>
      <c r="R200" s="5"/>
      <c r="S200" s="5">
        <f t="shared" si="223"/>
        <v>40000</v>
      </c>
      <c r="T200" s="11"/>
      <c r="V200" s="120">
        <f t="shared" si="226"/>
        <v>40000</v>
      </c>
      <c r="W200" s="120">
        <f t="shared" si="224"/>
        <v>0</v>
      </c>
      <c r="X200" s="120">
        <f t="shared" si="224"/>
        <v>0</v>
      </c>
      <c r="Y200" s="120">
        <f t="shared" si="224"/>
        <v>0</v>
      </c>
      <c r="Z200" s="5"/>
      <c r="AA200" s="5"/>
      <c r="AB200" s="5"/>
      <c r="AC200" s="5">
        <f t="shared" si="225"/>
        <v>40000</v>
      </c>
    </row>
    <row r="201" spans="1:30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222"/>
        <v>0</v>
      </c>
      <c r="J201" s="11"/>
      <c r="L201" s="73">
        <v>45000</v>
      </c>
      <c r="M201" s="5"/>
      <c r="N201" s="5"/>
      <c r="O201" s="5"/>
      <c r="P201" s="5"/>
      <c r="Q201" s="5"/>
      <c r="R201" s="5"/>
      <c r="S201" s="5">
        <f t="shared" si="223"/>
        <v>45000</v>
      </c>
      <c r="T201" s="11"/>
      <c r="V201" s="120">
        <f t="shared" si="226"/>
        <v>45000</v>
      </c>
      <c r="W201" s="120">
        <f t="shared" si="224"/>
        <v>0</v>
      </c>
      <c r="X201" s="120">
        <f t="shared" si="224"/>
        <v>0</v>
      </c>
      <c r="Y201" s="120">
        <f t="shared" si="224"/>
        <v>0</v>
      </c>
      <c r="Z201" s="5"/>
      <c r="AA201" s="5"/>
      <c r="AB201" s="5"/>
      <c r="AC201" s="5">
        <f t="shared" si="225"/>
        <v>45000</v>
      </c>
    </row>
    <row r="202" spans="1:30" x14ac:dyDescent="0.35">
      <c r="A202" s="26" t="s">
        <v>159</v>
      </c>
      <c r="B202" s="73">
        <v>6200</v>
      </c>
      <c r="C202" s="5"/>
      <c r="D202" s="5"/>
      <c r="E202" s="5"/>
      <c r="F202" s="5"/>
      <c r="G202" s="5"/>
      <c r="H202" s="5"/>
      <c r="I202" s="5">
        <f t="shared" si="222"/>
        <v>6200</v>
      </c>
      <c r="J202" s="11"/>
      <c r="L202" s="73">
        <f>15500</f>
        <v>15500</v>
      </c>
      <c r="M202" s="5"/>
      <c r="N202" s="5"/>
      <c r="O202" s="5"/>
      <c r="P202" s="5"/>
      <c r="Q202" s="5"/>
      <c r="R202" s="5"/>
      <c r="S202" s="5">
        <f t="shared" si="223"/>
        <v>15500</v>
      </c>
      <c r="T202" s="11"/>
      <c r="V202" s="120">
        <f t="shared" si="226"/>
        <v>21700</v>
      </c>
      <c r="W202" s="120">
        <f t="shared" si="224"/>
        <v>0</v>
      </c>
      <c r="X202" s="120">
        <f t="shared" si="224"/>
        <v>0</v>
      </c>
      <c r="Y202" s="120">
        <f t="shared" si="224"/>
        <v>0</v>
      </c>
      <c r="Z202" s="5"/>
      <c r="AA202" s="5"/>
      <c r="AB202" s="5"/>
      <c r="AC202" s="5">
        <f t="shared" si="225"/>
        <v>21700</v>
      </c>
    </row>
    <row r="203" spans="1:30" x14ac:dyDescent="0.35">
      <c r="A203" s="26" t="s">
        <v>160</v>
      </c>
      <c r="B203" s="72">
        <f>(2915*13)*1.05*1.03*1.04*1.03*1.03</f>
        <v>45218.507514180012</v>
      </c>
      <c r="C203" s="5"/>
      <c r="D203" s="5"/>
      <c r="E203" s="5"/>
      <c r="F203" s="5"/>
      <c r="G203" s="5"/>
      <c r="H203" s="5"/>
      <c r="I203" s="5">
        <f t="shared" si="222"/>
        <v>45218.507514180012</v>
      </c>
      <c r="J203" s="11"/>
      <c r="L203" s="72">
        <f>9000*13</f>
        <v>117000</v>
      </c>
      <c r="M203" s="5"/>
      <c r="N203" s="5"/>
      <c r="O203" s="5"/>
      <c r="P203" s="5"/>
      <c r="Q203" s="5"/>
      <c r="R203" s="5"/>
      <c r="S203" s="5">
        <f t="shared" si="223"/>
        <v>117000</v>
      </c>
      <c r="T203" s="11"/>
      <c r="V203" s="120">
        <f t="shared" si="226"/>
        <v>162218.50751418</v>
      </c>
      <c r="W203" s="120">
        <f t="shared" si="224"/>
        <v>0</v>
      </c>
      <c r="X203" s="120">
        <f t="shared" si="224"/>
        <v>0</v>
      </c>
      <c r="Y203" s="120">
        <f t="shared" si="224"/>
        <v>0</v>
      </c>
      <c r="Z203" s="5"/>
      <c r="AA203" s="5"/>
      <c r="AB203" s="5"/>
      <c r="AC203" s="5">
        <f t="shared" si="225"/>
        <v>162218.50751418</v>
      </c>
    </row>
    <row r="204" spans="1:30" x14ac:dyDescent="0.35">
      <c r="A204" s="26" t="s">
        <v>162</v>
      </c>
      <c r="B204" s="10">
        <v>55000</v>
      </c>
      <c r="C204" s="5"/>
      <c r="D204" s="5"/>
      <c r="E204" s="5"/>
      <c r="F204" s="5"/>
      <c r="G204" s="5"/>
      <c r="H204" s="5"/>
      <c r="I204" s="5">
        <f t="shared" si="222"/>
        <v>55000</v>
      </c>
      <c r="J204" s="11"/>
      <c r="L204" s="10">
        <v>85000</v>
      </c>
      <c r="M204" s="5"/>
      <c r="N204" s="5"/>
      <c r="O204" s="5"/>
      <c r="P204" s="5"/>
      <c r="Q204" s="5"/>
      <c r="R204" s="5"/>
      <c r="S204" s="5">
        <f t="shared" si="223"/>
        <v>85000</v>
      </c>
      <c r="T204" s="11"/>
      <c r="V204" s="120">
        <f t="shared" si="226"/>
        <v>140000</v>
      </c>
      <c r="W204" s="120">
        <f t="shared" si="224"/>
        <v>0</v>
      </c>
      <c r="X204" s="120">
        <f t="shared" si="224"/>
        <v>0</v>
      </c>
      <c r="Y204" s="120">
        <f t="shared" si="224"/>
        <v>0</v>
      </c>
      <c r="Z204" s="5"/>
      <c r="AA204" s="5"/>
      <c r="AB204" s="5"/>
      <c r="AC204" s="5">
        <f t="shared" si="225"/>
        <v>140000</v>
      </c>
    </row>
    <row r="205" spans="1:30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222"/>
        <v>0</v>
      </c>
      <c r="J205" s="11"/>
      <c r="L205" s="10">
        <v>20000</v>
      </c>
      <c r="M205" s="5"/>
      <c r="N205" s="5"/>
      <c r="O205" s="5"/>
      <c r="P205" s="5"/>
      <c r="Q205" s="5"/>
      <c r="R205" s="5"/>
      <c r="S205" s="5">
        <f t="shared" si="223"/>
        <v>20000</v>
      </c>
      <c r="T205" s="11"/>
      <c r="V205" s="120">
        <f t="shared" si="226"/>
        <v>20000</v>
      </c>
      <c r="W205" s="120">
        <f t="shared" si="224"/>
        <v>0</v>
      </c>
      <c r="X205" s="120">
        <f t="shared" si="224"/>
        <v>0</v>
      </c>
      <c r="Y205" s="120">
        <f t="shared" si="224"/>
        <v>0</v>
      </c>
      <c r="Z205" s="5"/>
      <c r="AA205" s="5"/>
      <c r="AB205" s="5"/>
      <c r="AC205" s="5">
        <f t="shared" si="225"/>
        <v>20000</v>
      </c>
    </row>
    <row r="206" spans="1:30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222"/>
        <v>0</v>
      </c>
      <c r="J206" s="11"/>
      <c r="L206" s="10">
        <f>25000*1.05*1.05</f>
        <v>27562.5</v>
      </c>
      <c r="M206" s="5"/>
      <c r="N206" s="5"/>
      <c r="O206" s="5"/>
      <c r="P206" s="5"/>
      <c r="Q206" s="5"/>
      <c r="R206" s="5"/>
      <c r="S206" s="5">
        <f t="shared" si="223"/>
        <v>27562.5</v>
      </c>
      <c r="T206" s="11"/>
      <c r="V206" s="120">
        <f t="shared" si="226"/>
        <v>27562.5</v>
      </c>
      <c r="W206" s="120">
        <f t="shared" si="224"/>
        <v>0</v>
      </c>
      <c r="X206" s="120">
        <f t="shared" si="224"/>
        <v>0</v>
      </c>
      <c r="Y206" s="120">
        <f t="shared" si="224"/>
        <v>0</v>
      </c>
      <c r="Z206" s="5"/>
      <c r="AA206" s="5"/>
      <c r="AB206" s="5"/>
      <c r="AC206" s="5">
        <f t="shared" si="225"/>
        <v>27562.5</v>
      </c>
    </row>
    <row r="207" spans="1:30" x14ac:dyDescent="0.35">
      <c r="A207" s="69" t="s">
        <v>165</v>
      </c>
      <c r="B207" s="10"/>
      <c r="C207" s="5"/>
      <c r="D207" s="5"/>
      <c r="E207" s="5"/>
      <c r="F207" s="5"/>
      <c r="G207" s="5"/>
      <c r="H207" s="5"/>
      <c r="I207" s="5">
        <f t="shared" si="222"/>
        <v>0</v>
      </c>
      <c r="J207" s="11"/>
      <c r="L207" s="10">
        <f>30000*1.02*1.05</f>
        <v>32130</v>
      </c>
      <c r="M207" s="5"/>
      <c r="N207" s="5"/>
      <c r="O207" s="5"/>
      <c r="P207" s="5"/>
      <c r="Q207" s="5"/>
      <c r="R207" s="5"/>
      <c r="S207" s="5">
        <f t="shared" si="223"/>
        <v>32130</v>
      </c>
      <c r="T207" s="11"/>
      <c r="V207" s="120">
        <f t="shared" si="226"/>
        <v>32130</v>
      </c>
      <c r="W207" s="120">
        <f t="shared" si="224"/>
        <v>0</v>
      </c>
      <c r="X207" s="120">
        <f t="shared" si="224"/>
        <v>0</v>
      </c>
      <c r="Y207" s="120">
        <f t="shared" si="224"/>
        <v>0</v>
      </c>
      <c r="Z207" s="5"/>
      <c r="AA207" s="5"/>
      <c r="AB207" s="5"/>
      <c r="AC207" s="5">
        <f t="shared" si="225"/>
        <v>32130</v>
      </c>
    </row>
    <row r="208" spans="1:30" x14ac:dyDescent="0.35">
      <c r="A208" s="62" t="s">
        <v>183</v>
      </c>
      <c r="B208" s="63">
        <f t="shared" ref="B208:I208" si="227">SUM(B198:B207)</f>
        <v>140515.12055418</v>
      </c>
      <c r="C208" s="63">
        <f t="shared" si="227"/>
        <v>0</v>
      </c>
      <c r="D208" s="63">
        <f t="shared" si="227"/>
        <v>0</v>
      </c>
      <c r="E208" s="63">
        <f t="shared" si="227"/>
        <v>0</v>
      </c>
      <c r="F208" s="63">
        <f t="shared" si="227"/>
        <v>0</v>
      </c>
      <c r="G208" s="63">
        <f t="shared" si="227"/>
        <v>0</v>
      </c>
      <c r="H208" s="63">
        <f t="shared" si="227"/>
        <v>0</v>
      </c>
      <c r="I208" s="63">
        <f t="shared" si="227"/>
        <v>140515.12055418</v>
      </c>
      <c r="J208" s="7"/>
      <c r="L208" s="63">
        <f t="shared" ref="L208:S208" si="228">SUM(L198:L207)</f>
        <v>527192.5</v>
      </c>
      <c r="M208" s="63">
        <f t="shared" si="228"/>
        <v>0</v>
      </c>
      <c r="N208" s="63">
        <f t="shared" si="228"/>
        <v>0</v>
      </c>
      <c r="O208" s="63">
        <f t="shared" si="228"/>
        <v>0</v>
      </c>
      <c r="P208" s="63">
        <f t="shared" si="228"/>
        <v>0</v>
      </c>
      <c r="Q208" s="63">
        <f t="shared" si="228"/>
        <v>0</v>
      </c>
      <c r="R208" s="63">
        <f t="shared" si="228"/>
        <v>0</v>
      </c>
      <c r="S208" s="63">
        <f t="shared" si="228"/>
        <v>527192.5</v>
      </c>
      <c r="T208" s="7"/>
      <c r="V208" s="63">
        <f t="shared" ref="V208:AC208" si="229">SUM(V198:V207)</f>
        <v>667707.62055418</v>
      </c>
      <c r="W208" s="63">
        <f t="shared" si="229"/>
        <v>0</v>
      </c>
      <c r="X208" s="63">
        <f t="shared" si="229"/>
        <v>0</v>
      </c>
      <c r="Y208" s="63">
        <f t="shared" si="229"/>
        <v>0</v>
      </c>
      <c r="Z208" s="63">
        <f t="shared" si="229"/>
        <v>0</v>
      </c>
      <c r="AA208" s="63">
        <f t="shared" si="229"/>
        <v>0</v>
      </c>
      <c r="AB208" s="63">
        <f t="shared" si="229"/>
        <v>0</v>
      </c>
      <c r="AC208" s="63">
        <f t="shared" si="229"/>
        <v>667707.62055418</v>
      </c>
    </row>
    <row r="209" spans="1:29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  <c r="L209" s="5"/>
      <c r="M209" s="5"/>
      <c r="N209" s="5"/>
      <c r="O209" s="5"/>
      <c r="P209" s="5"/>
      <c r="Q209" s="5"/>
      <c r="R209" s="5"/>
      <c r="S209" s="5"/>
      <c r="T209" s="7"/>
      <c r="V209" s="5"/>
      <c r="W209" s="5"/>
      <c r="X209" s="5"/>
      <c r="Y209" s="5"/>
      <c r="Z209" s="5"/>
      <c r="AA209" s="5"/>
      <c r="AB209" s="5"/>
      <c r="AC209" s="5"/>
    </row>
    <row r="210" spans="1:29" x14ac:dyDescent="0.35">
      <c r="A210" s="62" t="s">
        <v>166</v>
      </c>
      <c r="B210" s="63">
        <f>B142+B154+B170+B196+B208</f>
        <v>4265006.0276361238</v>
      </c>
      <c r="C210" s="63">
        <f t="shared" ref="C210:H210" si="230">C142+C154+C170+C196+C208</f>
        <v>687673.93631249992</v>
      </c>
      <c r="D210" s="63">
        <f t="shared" si="230"/>
        <v>585045.9</v>
      </c>
      <c r="E210" s="63">
        <f t="shared" si="230"/>
        <v>0</v>
      </c>
      <c r="F210" s="63">
        <f t="shared" si="230"/>
        <v>0</v>
      </c>
      <c r="G210" s="63">
        <f t="shared" si="230"/>
        <v>0</v>
      </c>
      <c r="H210" s="63">
        <f t="shared" si="230"/>
        <v>0</v>
      </c>
      <c r="I210" s="63">
        <f>I142+I154+I170+I196+I208</f>
        <v>5537725.8639486246</v>
      </c>
      <c r="J210" s="7"/>
      <c r="L210" s="63">
        <f>L142+L154+L170+L196+L208</f>
        <v>11319014.643572455</v>
      </c>
      <c r="M210" s="63">
        <f t="shared" ref="M210:R210" si="231">M142+M154+M170+M196+M208</f>
        <v>1379604.65</v>
      </c>
      <c r="N210" s="63">
        <f t="shared" si="231"/>
        <v>1574772.9999999998</v>
      </c>
      <c r="O210" s="63">
        <f t="shared" si="231"/>
        <v>0</v>
      </c>
      <c r="P210" s="63">
        <f t="shared" si="231"/>
        <v>0</v>
      </c>
      <c r="Q210" s="63">
        <f t="shared" si="231"/>
        <v>0</v>
      </c>
      <c r="R210" s="63">
        <f t="shared" si="231"/>
        <v>0</v>
      </c>
      <c r="S210" s="63">
        <f>S142+S154+S170+S196+S208</f>
        <v>14273392.293572456</v>
      </c>
      <c r="T210" s="7"/>
      <c r="V210" s="63">
        <f>V142+V154+V170+V196+V208</f>
        <v>15584020.671208579</v>
      </c>
      <c r="W210" s="63">
        <f t="shared" ref="W210:AB210" si="232">W142+W154+W170+W196+W208</f>
        <v>2067278.5863125001</v>
      </c>
      <c r="X210" s="63">
        <f t="shared" si="232"/>
        <v>2159818.8999999994</v>
      </c>
      <c r="Y210" s="63">
        <f t="shared" si="232"/>
        <v>0</v>
      </c>
      <c r="Z210" s="63">
        <f t="shared" si="232"/>
        <v>0</v>
      </c>
      <c r="AA210" s="63">
        <f t="shared" si="232"/>
        <v>0</v>
      </c>
      <c r="AB210" s="63">
        <f t="shared" si="232"/>
        <v>0</v>
      </c>
      <c r="AC210" s="63">
        <f>AC142+AC154+AC170+AC196+AC208</f>
        <v>19811118.15752108</v>
      </c>
    </row>
    <row r="211" spans="1:29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  <c r="L211" s="47"/>
      <c r="M211" s="47"/>
      <c r="N211" s="47"/>
      <c r="O211" s="47"/>
      <c r="P211" s="47"/>
      <c r="Q211" s="47"/>
      <c r="R211" s="47"/>
      <c r="S211" s="47"/>
      <c r="T211" s="7"/>
      <c r="V211" s="47"/>
      <c r="W211" s="47"/>
      <c r="X211" s="47"/>
      <c r="Y211" s="47"/>
      <c r="Z211" s="47"/>
      <c r="AA211" s="47"/>
      <c r="AB211" s="47"/>
      <c r="AC211" s="47"/>
    </row>
    <row r="212" spans="1:29" x14ac:dyDescent="0.35">
      <c r="A212" s="38" t="s">
        <v>167</v>
      </c>
      <c r="B212" s="9">
        <f>1305*B17</f>
        <v>606825</v>
      </c>
      <c r="C212" s="9"/>
      <c r="D212" s="9"/>
      <c r="E212" s="9"/>
      <c r="F212" s="9"/>
      <c r="G212" s="9"/>
      <c r="H212" s="9"/>
      <c r="I212" s="9">
        <f t="shared" ref="I212:I217" si="233">SUM(B212:H212)</f>
        <v>606825</v>
      </c>
      <c r="J212" s="11"/>
      <c r="L212" s="9">
        <f>2050*L17</f>
        <v>2693700</v>
      </c>
      <c r="M212" s="9"/>
      <c r="N212" s="9"/>
      <c r="O212" s="9"/>
      <c r="P212" s="9"/>
      <c r="Q212" s="9"/>
      <c r="R212" s="9"/>
      <c r="S212" s="9">
        <f t="shared" ref="S212:S217" si="234">SUM(L212:R212)</f>
        <v>2693700</v>
      </c>
      <c r="T212" s="52">
        <v>2050</v>
      </c>
      <c r="V212" s="9">
        <f>B212+L212</f>
        <v>3300525</v>
      </c>
      <c r="W212" s="9">
        <f t="shared" ref="W212:Y217" si="235">C212+M212</f>
        <v>0</v>
      </c>
      <c r="X212" s="9">
        <f t="shared" si="235"/>
        <v>0</v>
      </c>
      <c r="Y212" s="9">
        <f t="shared" si="235"/>
        <v>0</v>
      </c>
      <c r="Z212" s="9"/>
      <c r="AA212" s="9"/>
      <c r="AB212" s="9"/>
      <c r="AC212" s="9">
        <f t="shared" ref="AC212:AC217" si="236">SUM(V212:AB212)</f>
        <v>3300525</v>
      </c>
    </row>
    <row r="213" spans="1:29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233"/>
        <v>0</v>
      </c>
      <c r="J213" s="11"/>
      <c r="L213" s="9">
        <v>0</v>
      </c>
      <c r="M213" s="9"/>
      <c r="N213" s="9"/>
      <c r="O213" s="9"/>
      <c r="P213" s="9"/>
      <c r="Q213" s="9"/>
      <c r="R213" s="9"/>
      <c r="S213" s="9">
        <f t="shared" si="234"/>
        <v>0</v>
      </c>
      <c r="T213" s="11"/>
      <c r="V213" s="9">
        <f t="shared" ref="V213:V217" si="237">B213+L213</f>
        <v>0</v>
      </c>
      <c r="W213" s="9">
        <f t="shared" si="235"/>
        <v>0</v>
      </c>
      <c r="X213" s="9">
        <f t="shared" si="235"/>
        <v>0</v>
      </c>
      <c r="Y213" s="9">
        <f t="shared" si="235"/>
        <v>0</v>
      </c>
      <c r="Z213" s="9"/>
      <c r="AA213" s="9"/>
      <c r="AB213" s="9"/>
      <c r="AC213" s="9">
        <f t="shared" si="236"/>
        <v>0</v>
      </c>
    </row>
    <row r="214" spans="1:29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233"/>
        <v>0</v>
      </c>
      <c r="J214" s="119"/>
      <c r="L214" s="9">
        <v>0</v>
      </c>
      <c r="M214" s="9"/>
      <c r="N214" s="9"/>
      <c r="O214" s="9"/>
      <c r="P214" s="9"/>
      <c r="Q214" s="9"/>
      <c r="R214" s="9"/>
      <c r="S214" s="9">
        <f t="shared" si="234"/>
        <v>0</v>
      </c>
      <c r="T214" s="119"/>
      <c r="V214" s="9">
        <f t="shared" si="237"/>
        <v>0</v>
      </c>
      <c r="W214" s="9">
        <f t="shared" si="235"/>
        <v>0</v>
      </c>
      <c r="X214" s="9">
        <f t="shared" si="235"/>
        <v>0</v>
      </c>
      <c r="Y214" s="9">
        <f t="shared" si="235"/>
        <v>0</v>
      </c>
      <c r="Z214" s="9"/>
      <c r="AA214" s="9"/>
      <c r="AB214" s="9"/>
      <c r="AC214" s="9">
        <f t="shared" si="236"/>
        <v>0</v>
      </c>
    </row>
    <row r="215" spans="1:29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233"/>
        <v>0</v>
      </c>
      <c r="J215" s="11"/>
      <c r="L215" s="9">
        <v>0</v>
      </c>
      <c r="M215" s="9"/>
      <c r="N215" s="9"/>
      <c r="O215" s="9"/>
      <c r="P215" s="9"/>
      <c r="Q215" s="9"/>
      <c r="R215" s="9"/>
      <c r="S215" s="9">
        <f t="shared" si="234"/>
        <v>0</v>
      </c>
      <c r="T215" s="11"/>
      <c r="V215" s="9">
        <f t="shared" si="237"/>
        <v>0</v>
      </c>
      <c r="W215" s="9">
        <f t="shared" si="235"/>
        <v>0</v>
      </c>
      <c r="X215" s="9">
        <f t="shared" si="235"/>
        <v>0</v>
      </c>
      <c r="Y215" s="9">
        <f t="shared" si="235"/>
        <v>0</v>
      </c>
      <c r="Z215" s="9"/>
      <c r="AA215" s="9"/>
      <c r="AB215" s="9"/>
      <c r="AC215" s="9">
        <f t="shared" si="236"/>
        <v>0</v>
      </c>
    </row>
    <row r="216" spans="1:29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233"/>
        <v>0</v>
      </c>
      <c r="J216" s="11"/>
      <c r="L216" s="9">
        <v>0</v>
      </c>
      <c r="M216" s="9">
        <v>0</v>
      </c>
      <c r="N216" s="9">
        <v>0</v>
      </c>
      <c r="O216" s="9"/>
      <c r="P216" s="9">
        <v>0</v>
      </c>
      <c r="Q216" s="9">
        <v>0</v>
      </c>
      <c r="R216" s="9">
        <v>0</v>
      </c>
      <c r="S216" s="9">
        <f t="shared" si="234"/>
        <v>0</v>
      </c>
      <c r="T216" s="11"/>
      <c r="V216" s="9">
        <f t="shared" si="237"/>
        <v>0</v>
      </c>
      <c r="W216" s="9">
        <f t="shared" si="235"/>
        <v>0</v>
      </c>
      <c r="X216" s="9">
        <f t="shared" si="235"/>
        <v>0</v>
      </c>
      <c r="Y216" s="9">
        <f t="shared" si="235"/>
        <v>0</v>
      </c>
      <c r="Z216" s="9">
        <v>0</v>
      </c>
      <c r="AA216" s="9">
        <v>0</v>
      </c>
      <c r="AB216" s="9">
        <v>0</v>
      </c>
      <c r="AC216" s="9">
        <f t="shared" si="236"/>
        <v>0</v>
      </c>
    </row>
    <row r="217" spans="1:29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si="233"/>
        <v>0</v>
      </c>
      <c r="J217" s="11"/>
      <c r="L217" s="30"/>
      <c r="M217" s="30"/>
      <c r="N217" s="30"/>
      <c r="O217" s="30"/>
      <c r="P217" s="30"/>
      <c r="Q217" s="30"/>
      <c r="R217" s="30"/>
      <c r="S217" s="5">
        <f t="shared" si="234"/>
        <v>0</v>
      </c>
      <c r="T217" s="11"/>
      <c r="V217" s="9">
        <f t="shared" si="237"/>
        <v>0</v>
      </c>
      <c r="W217" s="9">
        <f t="shared" si="235"/>
        <v>0</v>
      </c>
      <c r="X217" s="9">
        <f t="shared" si="235"/>
        <v>0</v>
      </c>
      <c r="Y217" s="9">
        <f t="shared" si="235"/>
        <v>0</v>
      </c>
      <c r="Z217" s="30"/>
      <c r="AA217" s="30"/>
      <c r="AB217" s="30"/>
      <c r="AC217" s="5">
        <f t="shared" si="236"/>
        <v>0</v>
      </c>
    </row>
    <row r="218" spans="1:29" ht="15" thickBot="1" x14ac:dyDescent="0.4">
      <c r="A218" s="76" t="s">
        <v>168</v>
      </c>
      <c r="B218" s="77">
        <f>B97-B210-B212-B213-B215-B214</f>
        <v>395283.97236387618</v>
      </c>
      <c r="C218" s="77">
        <f t="shared" ref="C218:I218" si="238">C97-C210-C212-C213-C215-C214</f>
        <v>-362211.93631249992</v>
      </c>
      <c r="D218" s="77">
        <f t="shared" si="238"/>
        <v>-7767</v>
      </c>
      <c r="E218" s="77">
        <f t="shared" si="238"/>
        <v>0</v>
      </c>
      <c r="F218" s="77">
        <f t="shared" si="238"/>
        <v>0</v>
      </c>
      <c r="G218" s="77">
        <f t="shared" si="238"/>
        <v>0</v>
      </c>
      <c r="H218" s="77">
        <f t="shared" si="238"/>
        <v>0</v>
      </c>
      <c r="I218" s="77">
        <f t="shared" si="238"/>
        <v>25305.036051375791</v>
      </c>
      <c r="J218" s="7"/>
      <c r="L218" s="77">
        <f t="shared" ref="L218:S218" si="239">L97-L210-L212-L213-L215-L214</f>
        <v>653511.35642754473</v>
      </c>
      <c r="M218" s="77">
        <f t="shared" si="239"/>
        <v>-675154.64999999991</v>
      </c>
      <c r="N218" s="77">
        <f t="shared" si="239"/>
        <v>56505.440000000177</v>
      </c>
      <c r="O218" s="77">
        <f t="shared" si="239"/>
        <v>0</v>
      </c>
      <c r="P218" s="77">
        <f t="shared" si="239"/>
        <v>0</v>
      </c>
      <c r="Q218" s="77">
        <f t="shared" si="239"/>
        <v>0</v>
      </c>
      <c r="R218" s="77">
        <f t="shared" si="239"/>
        <v>0</v>
      </c>
      <c r="S218" s="77">
        <f t="shared" si="239"/>
        <v>34862.146427545696</v>
      </c>
      <c r="T218" s="7"/>
      <c r="V218" s="77">
        <f t="shared" ref="V218:AC218" si="240">V97-V210-V212-V213-V215-V214</f>
        <v>1048795.3287914209</v>
      </c>
      <c r="W218" s="77">
        <f t="shared" si="240"/>
        <v>-1037366.5863125001</v>
      </c>
      <c r="X218" s="77">
        <f t="shared" si="240"/>
        <v>48738.44000000041</v>
      </c>
      <c r="Y218" s="77">
        <f t="shared" si="240"/>
        <v>0</v>
      </c>
      <c r="Z218" s="77">
        <f t="shared" si="240"/>
        <v>0</v>
      </c>
      <c r="AA218" s="77">
        <f t="shared" si="240"/>
        <v>0</v>
      </c>
      <c r="AB218" s="77">
        <f t="shared" si="240"/>
        <v>0</v>
      </c>
      <c r="AC218" s="77">
        <f t="shared" si="240"/>
        <v>60167.182478919625</v>
      </c>
    </row>
    <row r="219" spans="1:29" x14ac:dyDescent="0.35">
      <c r="A219" s="78"/>
      <c r="B219" s="79">
        <f t="shared" ref="B219:I219" si="241">B218/(B97)</f>
        <v>7.5047530263507856E-2</v>
      </c>
      <c r="C219" s="79">
        <f t="shared" si="241"/>
        <v>-1.1129162123765599</v>
      </c>
      <c r="D219" s="79">
        <f t="shared" si="241"/>
        <v>-1.3454501801468925E-2</v>
      </c>
      <c r="E219" s="79" t="e">
        <f t="shared" si="241"/>
        <v>#DIV/0!</v>
      </c>
      <c r="F219" s="79" t="e">
        <f t="shared" si="241"/>
        <v>#DIV/0!</v>
      </c>
      <c r="G219" s="79" t="e">
        <f t="shared" si="241"/>
        <v>#DIV/0!</v>
      </c>
      <c r="H219" s="79" t="e">
        <f t="shared" si="241"/>
        <v>#DIV/0!</v>
      </c>
      <c r="I219" s="79">
        <f t="shared" si="241"/>
        <v>4.1013982273679665E-3</v>
      </c>
      <c r="J219" s="7"/>
      <c r="L219" s="79">
        <f t="shared" ref="L219:S219" si="242">L218/(L97)</f>
        <v>4.4558931277040512E-2</v>
      </c>
      <c r="M219" s="79">
        <f t="shared" si="242"/>
        <v>-0.95841386897579661</v>
      </c>
      <c r="N219" s="79">
        <f t="shared" si="242"/>
        <v>3.4638746282946144E-2</v>
      </c>
      <c r="O219" s="79" t="e">
        <f t="shared" si="242"/>
        <v>#DIV/0!</v>
      </c>
      <c r="P219" s="79" t="e">
        <f t="shared" si="242"/>
        <v>#DIV/0!</v>
      </c>
      <c r="Q219" s="79" t="e">
        <f t="shared" si="242"/>
        <v>#DIV/0!</v>
      </c>
      <c r="R219" s="79" t="e">
        <f t="shared" si="242"/>
        <v>#DIV/0!</v>
      </c>
      <c r="S219" s="79">
        <f t="shared" si="242"/>
        <v>2.0504787582259687E-3</v>
      </c>
      <c r="T219" s="7"/>
      <c r="V219" s="79">
        <f t="shared" ref="V219:AC219" si="243">V218/(V97)</f>
        <v>5.2615130037228626E-2</v>
      </c>
      <c r="W219" s="79">
        <f t="shared" si="243"/>
        <v>-1.00723808083846</v>
      </c>
      <c r="X219" s="79">
        <f t="shared" si="243"/>
        <v>2.2067998469987839E-2</v>
      </c>
      <c r="Y219" s="79" t="e">
        <f t="shared" si="243"/>
        <v>#DIV/0!</v>
      </c>
      <c r="Z219" s="79" t="e">
        <f t="shared" si="243"/>
        <v>#DIV/0!</v>
      </c>
      <c r="AA219" s="79" t="e">
        <f t="shared" si="243"/>
        <v>#DIV/0!</v>
      </c>
      <c r="AB219" s="79" t="e">
        <f t="shared" si="243"/>
        <v>#DIV/0!</v>
      </c>
      <c r="AC219" s="79">
        <f t="shared" si="243"/>
        <v>2.5965680538588263E-3</v>
      </c>
    </row>
    <row r="220" spans="1:29" x14ac:dyDescent="0.35">
      <c r="B220" s="80"/>
      <c r="C220" s="80"/>
      <c r="D220" s="80"/>
      <c r="E220" s="80"/>
      <c r="F220" s="80"/>
      <c r="G220" s="80"/>
      <c r="H220" s="80"/>
      <c r="I220" s="80"/>
      <c r="L220" s="80"/>
      <c r="M220" s="80"/>
      <c r="N220" s="80"/>
      <c r="O220" s="80"/>
      <c r="P220" s="80"/>
      <c r="Q220" s="80"/>
      <c r="R220" s="80"/>
      <c r="S220" s="80"/>
      <c r="V220" s="80"/>
      <c r="W220" s="80"/>
      <c r="X220" s="80"/>
      <c r="Y220" s="80"/>
      <c r="Z220" s="80"/>
      <c r="AA220" s="80"/>
      <c r="AB220" s="80"/>
      <c r="AC220" s="80"/>
    </row>
    <row r="221" spans="1:29" x14ac:dyDescent="0.35">
      <c r="A221" s="1" t="str">
        <f t="shared" ref="A221:I221" si="244">A1</f>
        <v>Mater Academy of Northern Nevada (MANN) - FY29</v>
      </c>
      <c r="B221" s="1" t="str">
        <f t="shared" si="244"/>
        <v>Operating</v>
      </c>
      <c r="C221" s="1" t="str">
        <f t="shared" si="244"/>
        <v>SPED</v>
      </c>
      <c r="D221" s="1" t="str">
        <f t="shared" si="244"/>
        <v>NSLP</v>
      </c>
      <c r="E221" s="1" t="str">
        <f t="shared" si="244"/>
        <v>Other</v>
      </c>
      <c r="F221" s="1" t="str">
        <f t="shared" si="244"/>
        <v>Title I</v>
      </c>
      <c r="G221" s="1" t="str">
        <f t="shared" si="244"/>
        <v>Title II</v>
      </c>
      <c r="H221" s="1" t="str">
        <f t="shared" si="244"/>
        <v>Title III</v>
      </c>
      <c r="I221" s="1" t="str">
        <f t="shared" si="244"/>
        <v>B&amp;G</v>
      </c>
      <c r="J221" s="2"/>
      <c r="L221" s="1" t="str">
        <f t="shared" ref="L221:S221" si="245">L1</f>
        <v>Operating</v>
      </c>
      <c r="M221" s="1" t="str">
        <f t="shared" si="245"/>
        <v>SPED</v>
      </c>
      <c r="N221" s="1" t="str">
        <f t="shared" si="245"/>
        <v>NSLP</v>
      </c>
      <c r="O221" s="1" t="str">
        <f t="shared" si="245"/>
        <v>Other</v>
      </c>
      <c r="P221" s="1" t="str">
        <f t="shared" si="245"/>
        <v>Title I</v>
      </c>
      <c r="Q221" s="1" t="str">
        <f t="shared" si="245"/>
        <v>Title II</v>
      </c>
      <c r="R221" s="1" t="str">
        <f t="shared" si="245"/>
        <v>Title III</v>
      </c>
      <c r="S221" s="1" t="str">
        <f t="shared" si="245"/>
        <v>New</v>
      </c>
      <c r="T221" s="2"/>
      <c r="V221" s="1" t="str">
        <f t="shared" ref="V221:AC221" si="246">V1</f>
        <v>Operating</v>
      </c>
      <c r="W221" s="1" t="str">
        <f t="shared" si="246"/>
        <v>SPED</v>
      </c>
      <c r="X221" s="1" t="str">
        <f t="shared" si="246"/>
        <v>NSLP</v>
      </c>
      <c r="Y221" s="1" t="str">
        <f t="shared" si="246"/>
        <v>Other</v>
      </c>
      <c r="Z221" s="1" t="str">
        <f t="shared" si="246"/>
        <v>Title I</v>
      </c>
      <c r="AA221" s="1" t="str">
        <f t="shared" si="246"/>
        <v>Title II</v>
      </c>
      <c r="AB221" s="1" t="str">
        <f t="shared" si="246"/>
        <v>Title III</v>
      </c>
      <c r="AC221" s="1" t="str">
        <f t="shared" si="246"/>
        <v>MANN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zoomScale="75" zoomScaleNormal="75" workbookViewId="0">
      <pane xSplit="1" topLeftCell="J1" activePane="topRight" state="frozen"/>
      <selection activeCell="C185" sqref="C185"/>
      <selection pane="topRight" activeCell="U16" sqref="U16"/>
    </sheetView>
  </sheetViews>
  <sheetFormatPr defaultRowHeight="14.5" x14ac:dyDescent="0.35"/>
  <cols>
    <col min="1" max="1" width="56.54296875" style="7" customWidth="1"/>
    <col min="2" max="5" width="15.6328125" style="81" customWidth="1"/>
    <col min="6" max="8" width="15.6328125" style="81" hidden="1" customWidth="1"/>
    <col min="9" max="9" width="15.6328125" style="81" customWidth="1"/>
    <col min="10" max="10" width="46" style="54" customWidth="1"/>
    <col min="12" max="15" width="15.6328125" style="81" customWidth="1"/>
    <col min="16" max="18" width="15.6328125" style="81" hidden="1" customWidth="1"/>
    <col min="19" max="19" width="15.6328125" style="81" customWidth="1"/>
    <col min="20" max="20" width="46" style="54" customWidth="1"/>
    <col min="22" max="25" width="15.6328125" style="81" customWidth="1"/>
    <col min="26" max="28" width="15.6328125" style="81" hidden="1" customWidth="1"/>
    <col min="29" max="29" width="15.6328125" style="81" customWidth="1"/>
  </cols>
  <sheetData>
    <row r="1" spans="1:29" x14ac:dyDescent="0.35">
      <c r="A1" s="1" t="s">
        <v>481</v>
      </c>
      <c r="B1" s="1" t="s">
        <v>0</v>
      </c>
      <c r="C1" s="1" t="s">
        <v>1</v>
      </c>
      <c r="D1" s="1" t="s">
        <v>2</v>
      </c>
      <c r="E1" s="1" t="s">
        <v>277</v>
      </c>
      <c r="F1" s="1" t="s">
        <v>79</v>
      </c>
      <c r="G1" s="1" t="s">
        <v>80</v>
      </c>
      <c r="H1" s="1" t="s">
        <v>81</v>
      </c>
      <c r="I1" s="1" t="s">
        <v>325</v>
      </c>
      <c r="J1" s="2"/>
      <c r="L1" s="1" t="s">
        <v>0</v>
      </c>
      <c r="M1" s="1" t="s">
        <v>1</v>
      </c>
      <c r="N1" s="1" t="s">
        <v>2</v>
      </c>
      <c r="O1" s="1" t="s">
        <v>277</v>
      </c>
      <c r="P1" s="1" t="s">
        <v>79</v>
      </c>
      <c r="Q1" s="1" t="s">
        <v>80</v>
      </c>
      <c r="R1" s="1" t="s">
        <v>81</v>
      </c>
      <c r="S1" s="1" t="s">
        <v>326</v>
      </c>
      <c r="T1" s="2"/>
      <c r="V1" s="1" t="s">
        <v>0</v>
      </c>
      <c r="W1" s="1" t="s">
        <v>1</v>
      </c>
      <c r="X1" s="1" t="s">
        <v>2</v>
      </c>
      <c r="Y1" s="1" t="s">
        <v>277</v>
      </c>
      <c r="Z1" s="1" t="s">
        <v>79</v>
      </c>
      <c r="AA1" s="1" t="s">
        <v>80</v>
      </c>
      <c r="AB1" s="1" t="s">
        <v>81</v>
      </c>
      <c r="AC1" s="1" t="s">
        <v>283</v>
      </c>
    </row>
    <row r="2" spans="1:29" x14ac:dyDescent="0.35">
      <c r="A2" s="4" t="s">
        <v>3</v>
      </c>
      <c r="B2" s="5">
        <v>10136</v>
      </c>
      <c r="C2" s="5"/>
      <c r="D2" s="5"/>
      <c r="E2" s="5"/>
      <c r="F2" s="5"/>
      <c r="G2" s="5"/>
      <c r="H2" s="5"/>
      <c r="I2" s="5">
        <f>SUM(B2:H2)</f>
        <v>10136</v>
      </c>
      <c r="J2" s="6"/>
      <c r="L2" s="5">
        <f>I2</f>
        <v>10136</v>
      </c>
      <c r="M2" s="5"/>
      <c r="N2" s="5"/>
      <c r="O2" s="5"/>
      <c r="P2" s="5"/>
      <c r="Q2" s="5"/>
      <c r="R2" s="5"/>
      <c r="S2" s="5">
        <f>SUM(L2:R2)</f>
        <v>10136</v>
      </c>
      <c r="T2" s="6"/>
      <c r="V2" s="5">
        <f>S2</f>
        <v>10136</v>
      </c>
      <c r="W2" s="5"/>
      <c r="X2" s="5"/>
      <c r="Y2" s="5"/>
      <c r="Z2" s="5"/>
      <c r="AA2" s="5"/>
      <c r="AB2" s="5"/>
      <c r="AC2" s="5">
        <f>SUM(V2:AB2)</f>
        <v>10136</v>
      </c>
    </row>
    <row r="3" spans="1:29" x14ac:dyDescent="0.35">
      <c r="A3" s="8" t="s">
        <v>4</v>
      </c>
      <c r="B3" s="9">
        <f t="shared" ref="B3" si="0">B4+B5+B6+B7+B8+B9+B10+B11+B12+B13+B14+B15+B16</f>
        <v>465</v>
      </c>
      <c r="C3" s="9"/>
      <c r="D3" s="9"/>
      <c r="E3" s="9"/>
      <c r="F3" s="9"/>
      <c r="G3" s="9"/>
      <c r="H3" s="9"/>
      <c r="I3" s="9">
        <f t="shared" ref="I3:I16" si="1">SUM(B3:H3)</f>
        <v>465</v>
      </c>
      <c r="J3" s="6"/>
      <c r="L3" s="9">
        <f t="shared" ref="L3" si="2">L4+L5+L6+L7+L8+L9+L10+L11+L12+L13+L14+L15+L16</f>
        <v>1460</v>
      </c>
      <c r="M3" s="9"/>
      <c r="N3" s="9"/>
      <c r="O3" s="9"/>
      <c r="P3" s="9"/>
      <c r="Q3" s="9"/>
      <c r="R3" s="9"/>
      <c r="S3" s="9">
        <f t="shared" ref="S3" si="3">SUM(L3:R3)</f>
        <v>1460</v>
      </c>
      <c r="T3" s="6"/>
      <c r="V3" s="9">
        <f t="shared" ref="V3" si="4">V4+V5+V6+V7+V8+V9+V10+V11+V12+V13+V14+V15+V16</f>
        <v>1925</v>
      </c>
      <c r="W3" s="9"/>
      <c r="X3" s="9"/>
      <c r="Y3" s="9"/>
      <c r="Z3" s="9"/>
      <c r="AA3" s="9"/>
      <c r="AB3" s="9"/>
      <c r="AC3" s="9">
        <f t="shared" ref="AC3:AC16" si="5">SUM(V3:AB3)</f>
        <v>1925</v>
      </c>
    </row>
    <row r="4" spans="1:29" x14ac:dyDescent="0.35">
      <c r="A4" s="103" t="s">
        <v>5</v>
      </c>
      <c r="B4" s="5">
        <v>75</v>
      </c>
      <c r="C4" s="10"/>
      <c r="D4" s="10"/>
      <c r="E4" s="10"/>
      <c r="F4" s="10"/>
      <c r="G4" s="10"/>
      <c r="H4" s="10"/>
      <c r="I4" s="10">
        <f t="shared" si="1"/>
        <v>75</v>
      </c>
      <c r="J4" s="116">
        <v>3</v>
      </c>
      <c r="L4" s="5">
        <f t="shared" ref="L4" si="6">25*4</f>
        <v>100</v>
      </c>
      <c r="M4" s="10"/>
      <c r="N4" s="10"/>
      <c r="O4" s="10"/>
      <c r="P4" s="10"/>
      <c r="Q4" s="10"/>
      <c r="R4" s="10"/>
      <c r="S4" s="10">
        <f>SUM(L4:O4)</f>
        <v>100</v>
      </c>
      <c r="T4" s="116">
        <v>4</v>
      </c>
      <c r="V4" s="5">
        <f>B4+L4</f>
        <v>175</v>
      </c>
      <c r="W4" s="10"/>
      <c r="X4" s="10"/>
      <c r="Y4" s="10"/>
      <c r="Z4" s="10"/>
      <c r="AA4" s="10"/>
      <c r="AB4" s="10"/>
      <c r="AC4" s="10">
        <f t="shared" si="5"/>
        <v>175</v>
      </c>
    </row>
    <row r="5" spans="1:29" x14ac:dyDescent="0.35">
      <c r="A5" s="8" t="s">
        <v>6</v>
      </c>
      <c r="B5" s="5">
        <v>78</v>
      </c>
      <c r="C5" s="10"/>
      <c r="D5" s="10"/>
      <c r="E5" s="10"/>
      <c r="F5" s="10"/>
      <c r="G5" s="10"/>
      <c r="H5" s="10"/>
      <c r="I5" s="10">
        <f t="shared" si="1"/>
        <v>78</v>
      </c>
      <c r="J5" s="116">
        <v>3</v>
      </c>
      <c r="L5" s="5">
        <f t="shared" ref="L5:L7" si="7">26*4</f>
        <v>104</v>
      </c>
      <c r="M5" s="10"/>
      <c r="N5" s="10"/>
      <c r="O5" s="10"/>
      <c r="P5" s="10"/>
      <c r="Q5" s="10"/>
      <c r="R5" s="10"/>
      <c r="S5" s="10">
        <f t="shared" ref="S5:S16" si="8">SUM(L5:O5)</f>
        <v>104</v>
      </c>
      <c r="T5" s="116">
        <v>4</v>
      </c>
      <c r="V5" s="5">
        <f t="shared" ref="V5:V16" si="9">B5+L5</f>
        <v>182</v>
      </c>
      <c r="W5" s="10"/>
      <c r="X5" s="10"/>
      <c r="Y5" s="10"/>
      <c r="Z5" s="10"/>
      <c r="AA5" s="10"/>
      <c r="AB5" s="10"/>
      <c r="AC5" s="10">
        <f t="shared" si="5"/>
        <v>182</v>
      </c>
    </row>
    <row r="6" spans="1:29" x14ac:dyDescent="0.35">
      <c r="A6" s="8" t="s">
        <v>7</v>
      </c>
      <c r="B6" s="5">
        <v>78</v>
      </c>
      <c r="C6" s="10"/>
      <c r="D6" s="10"/>
      <c r="E6" s="10"/>
      <c r="F6" s="10"/>
      <c r="G6" s="10"/>
      <c r="H6" s="10"/>
      <c r="I6" s="10">
        <f t="shared" si="1"/>
        <v>78</v>
      </c>
      <c r="J6" s="116">
        <v>3</v>
      </c>
      <c r="L6" s="5">
        <f t="shared" si="7"/>
        <v>104</v>
      </c>
      <c r="M6" s="10"/>
      <c r="N6" s="10"/>
      <c r="O6" s="10"/>
      <c r="P6" s="10"/>
      <c r="Q6" s="10"/>
      <c r="R6" s="10"/>
      <c r="S6" s="10">
        <f t="shared" si="8"/>
        <v>104</v>
      </c>
      <c r="T6" s="116">
        <v>4</v>
      </c>
      <c r="V6" s="5">
        <f t="shared" si="9"/>
        <v>182</v>
      </c>
      <c r="W6" s="10"/>
      <c r="X6" s="10"/>
      <c r="Y6" s="10"/>
      <c r="Z6" s="10"/>
      <c r="AA6" s="10"/>
      <c r="AB6" s="10"/>
      <c r="AC6" s="10">
        <f t="shared" si="5"/>
        <v>182</v>
      </c>
    </row>
    <row r="7" spans="1:29" x14ac:dyDescent="0.35">
      <c r="A7" s="12" t="s">
        <v>8</v>
      </c>
      <c r="B7" s="5">
        <v>78</v>
      </c>
      <c r="C7" s="10"/>
      <c r="D7" s="10"/>
      <c r="E7" s="10"/>
      <c r="F7" s="10"/>
      <c r="G7" s="10"/>
      <c r="H7" s="10"/>
      <c r="I7" s="10">
        <f t="shared" si="1"/>
        <v>78</v>
      </c>
      <c r="J7" s="116">
        <v>3</v>
      </c>
      <c r="L7" s="5">
        <f t="shared" si="7"/>
        <v>104</v>
      </c>
      <c r="M7" s="10"/>
      <c r="N7" s="10"/>
      <c r="O7" s="10"/>
      <c r="P7" s="10"/>
      <c r="Q7" s="10"/>
      <c r="R7" s="10"/>
      <c r="S7" s="10">
        <f t="shared" si="8"/>
        <v>104</v>
      </c>
      <c r="T7" s="116">
        <v>4</v>
      </c>
      <c r="V7" s="5">
        <f t="shared" si="9"/>
        <v>182</v>
      </c>
      <c r="W7" s="10"/>
      <c r="X7" s="10"/>
      <c r="Y7" s="10"/>
      <c r="Z7" s="10"/>
      <c r="AA7" s="10"/>
      <c r="AB7" s="10"/>
      <c r="AC7" s="10">
        <f t="shared" si="5"/>
        <v>182</v>
      </c>
    </row>
    <row r="8" spans="1:29" x14ac:dyDescent="0.35">
      <c r="A8" s="12" t="s">
        <v>9</v>
      </c>
      <c r="B8" s="5">
        <v>78</v>
      </c>
      <c r="C8" s="10"/>
      <c r="D8" s="10"/>
      <c r="E8" s="10"/>
      <c r="F8" s="10"/>
      <c r="G8" s="10"/>
      <c r="H8" s="10"/>
      <c r="I8" s="10">
        <f t="shared" si="1"/>
        <v>78</v>
      </c>
      <c r="J8" s="116">
        <v>3</v>
      </c>
      <c r="L8" s="5">
        <f>26*4</f>
        <v>104</v>
      </c>
      <c r="M8" s="10"/>
      <c r="N8" s="10"/>
      <c r="O8" s="10"/>
      <c r="P8" s="10"/>
      <c r="Q8" s="10"/>
      <c r="R8" s="10"/>
      <c r="S8" s="10">
        <f t="shared" si="8"/>
        <v>104</v>
      </c>
      <c r="T8" s="116">
        <v>4</v>
      </c>
      <c r="V8" s="5">
        <f t="shared" si="9"/>
        <v>182</v>
      </c>
      <c r="W8" s="10"/>
      <c r="X8" s="10"/>
      <c r="Y8" s="10"/>
      <c r="Z8" s="10"/>
      <c r="AA8" s="10"/>
      <c r="AB8" s="10"/>
      <c r="AC8" s="10">
        <f t="shared" si="5"/>
        <v>182</v>
      </c>
    </row>
    <row r="9" spans="1:29" x14ac:dyDescent="0.35">
      <c r="A9" s="12" t="s">
        <v>10</v>
      </c>
      <c r="B9" s="5">
        <v>78</v>
      </c>
      <c r="C9" s="10"/>
      <c r="D9" s="10"/>
      <c r="E9" s="10"/>
      <c r="F9" s="10"/>
      <c r="G9" s="10"/>
      <c r="H9" s="10"/>
      <c r="I9" s="10">
        <f t="shared" si="1"/>
        <v>78</v>
      </c>
      <c r="J9" s="116">
        <v>3</v>
      </c>
      <c r="L9" s="5">
        <f>26*4</f>
        <v>104</v>
      </c>
      <c r="M9" s="10"/>
      <c r="N9" s="10"/>
      <c r="O9" s="10"/>
      <c r="P9" s="10"/>
      <c r="Q9" s="10"/>
      <c r="R9" s="10"/>
      <c r="S9" s="10">
        <f t="shared" si="8"/>
        <v>104</v>
      </c>
      <c r="T9" s="116">
        <v>4</v>
      </c>
      <c r="V9" s="5">
        <f t="shared" si="9"/>
        <v>182</v>
      </c>
      <c r="W9" s="10"/>
      <c r="X9" s="10"/>
      <c r="Y9" s="10"/>
      <c r="Z9" s="10"/>
      <c r="AA9" s="10"/>
      <c r="AB9" s="10"/>
      <c r="AC9" s="10">
        <f t="shared" si="5"/>
        <v>182</v>
      </c>
    </row>
    <row r="10" spans="1:29" x14ac:dyDescent="0.35">
      <c r="A10" s="12" t="s">
        <v>11</v>
      </c>
      <c r="B10" s="5">
        <v>0</v>
      </c>
      <c r="C10" s="5"/>
      <c r="D10" s="5"/>
      <c r="E10" s="5"/>
      <c r="F10" s="5"/>
      <c r="G10" s="5"/>
      <c r="H10" s="5"/>
      <c r="I10" s="10">
        <f t="shared" si="1"/>
        <v>0</v>
      </c>
      <c r="J10" s="116">
        <v>0</v>
      </c>
      <c r="L10" s="5">
        <v>150</v>
      </c>
      <c r="M10" s="5"/>
      <c r="N10" s="5"/>
      <c r="O10" s="5"/>
      <c r="P10" s="5"/>
      <c r="Q10" s="5"/>
      <c r="R10" s="5"/>
      <c r="S10" s="10">
        <f t="shared" si="8"/>
        <v>150</v>
      </c>
      <c r="T10" s="116">
        <v>5</v>
      </c>
      <c r="V10" s="5">
        <f t="shared" si="9"/>
        <v>150</v>
      </c>
      <c r="W10" s="5"/>
      <c r="X10" s="5"/>
      <c r="Y10" s="5"/>
      <c r="Z10" s="5"/>
      <c r="AA10" s="5"/>
      <c r="AB10" s="5"/>
      <c r="AC10" s="10">
        <f t="shared" si="5"/>
        <v>150</v>
      </c>
    </row>
    <row r="11" spans="1:29" x14ac:dyDescent="0.35">
      <c r="A11" s="12" t="s">
        <v>12</v>
      </c>
      <c r="B11" s="5">
        <v>0</v>
      </c>
      <c r="C11" s="5"/>
      <c r="D11" s="5"/>
      <c r="E11" s="5"/>
      <c r="F11" s="5"/>
      <c r="G11" s="5"/>
      <c r="H11" s="5"/>
      <c r="I11" s="10">
        <f t="shared" si="1"/>
        <v>0</v>
      </c>
      <c r="J11" s="116">
        <v>0</v>
      </c>
      <c r="L11" s="5">
        <v>150</v>
      </c>
      <c r="M11" s="5"/>
      <c r="N11" s="5"/>
      <c r="O11" s="5"/>
      <c r="P11" s="5"/>
      <c r="Q11" s="5"/>
      <c r="R11" s="5"/>
      <c r="S11" s="10">
        <f t="shared" si="8"/>
        <v>150</v>
      </c>
      <c r="T11" s="116">
        <v>5</v>
      </c>
      <c r="V11" s="5">
        <f t="shared" si="9"/>
        <v>150</v>
      </c>
      <c r="W11" s="5"/>
      <c r="X11" s="5"/>
      <c r="Y11" s="5"/>
      <c r="Z11" s="5"/>
      <c r="AA11" s="5"/>
      <c r="AB11" s="5"/>
      <c r="AC11" s="10">
        <f t="shared" si="5"/>
        <v>150</v>
      </c>
    </row>
    <row r="12" spans="1:29" x14ac:dyDescent="0.35">
      <c r="A12" s="12" t="s">
        <v>13</v>
      </c>
      <c r="B12" s="5">
        <v>0</v>
      </c>
      <c r="C12" s="5"/>
      <c r="D12" s="5"/>
      <c r="E12" s="5"/>
      <c r="F12" s="5"/>
      <c r="G12" s="5"/>
      <c r="H12" s="5"/>
      <c r="I12" s="10">
        <f t="shared" si="1"/>
        <v>0</v>
      </c>
      <c r="J12" s="116">
        <v>0</v>
      </c>
      <c r="L12" s="5">
        <v>150</v>
      </c>
      <c r="M12" s="5"/>
      <c r="N12" s="5"/>
      <c r="O12" s="5"/>
      <c r="P12" s="5"/>
      <c r="Q12" s="5"/>
      <c r="R12" s="5"/>
      <c r="S12" s="10">
        <f t="shared" si="8"/>
        <v>150</v>
      </c>
      <c r="T12" s="116">
        <v>5</v>
      </c>
      <c r="V12" s="5">
        <f t="shared" si="9"/>
        <v>150</v>
      </c>
      <c r="W12" s="5"/>
      <c r="X12" s="5"/>
      <c r="Y12" s="5"/>
      <c r="Z12" s="5"/>
      <c r="AA12" s="5"/>
      <c r="AB12" s="5"/>
      <c r="AC12" s="10">
        <f t="shared" si="5"/>
        <v>150</v>
      </c>
    </row>
    <row r="13" spans="1:29" x14ac:dyDescent="0.35">
      <c r="A13" s="12" t="s">
        <v>14</v>
      </c>
      <c r="B13" s="5">
        <v>0</v>
      </c>
      <c r="C13" s="5"/>
      <c r="D13" s="5"/>
      <c r="E13" s="5"/>
      <c r="F13" s="5"/>
      <c r="G13" s="5"/>
      <c r="H13" s="5"/>
      <c r="I13" s="10">
        <f t="shared" si="1"/>
        <v>0</v>
      </c>
      <c r="J13" s="117">
        <v>0</v>
      </c>
      <c r="L13" s="5">
        <v>120</v>
      </c>
      <c r="M13" s="5"/>
      <c r="N13" s="5"/>
      <c r="O13" s="5"/>
      <c r="P13" s="5"/>
      <c r="Q13" s="5"/>
      <c r="R13" s="5"/>
      <c r="S13" s="10">
        <f t="shared" si="8"/>
        <v>120</v>
      </c>
      <c r="T13" s="116">
        <v>4</v>
      </c>
      <c r="V13" s="5">
        <f t="shared" si="9"/>
        <v>120</v>
      </c>
      <c r="W13" s="5"/>
      <c r="X13" s="5"/>
      <c r="Y13" s="5"/>
      <c r="Z13" s="5"/>
      <c r="AA13" s="5"/>
      <c r="AB13" s="5"/>
      <c r="AC13" s="10">
        <f t="shared" si="5"/>
        <v>120</v>
      </c>
    </row>
    <row r="14" spans="1:29" x14ac:dyDescent="0.35">
      <c r="A14" s="12" t="s">
        <v>15</v>
      </c>
      <c r="B14" s="5">
        <v>0</v>
      </c>
      <c r="C14" s="5"/>
      <c r="D14" s="5"/>
      <c r="E14" s="5"/>
      <c r="F14" s="5"/>
      <c r="G14" s="5"/>
      <c r="H14" s="5"/>
      <c r="I14" s="10">
        <f t="shared" si="1"/>
        <v>0</v>
      </c>
      <c r="J14" s="117">
        <f t="shared" ref="J14:J15" si="10">B14/30</f>
        <v>0</v>
      </c>
      <c r="L14" s="5">
        <v>120</v>
      </c>
      <c r="M14" s="5"/>
      <c r="N14" s="5"/>
      <c r="O14" s="5"/>
      <c r="P14" s="5"/>
      <c r="Q14" s="5"/>
      <c r="R14" s="5"/>
      <c r="S14" s="10">
        <f t="shared" si="8"/>
        <v>120</v>
      </c>
      <c r="T14" s="116">
        <v>4</v>
      </c>
      <c r="V14" s="5">
        <f t="shared" si="9"/>
        <v>120</v>
      </c>
      <c r="W14" s="5"/>
      <c r="X14" s="5"/>
      <c r="Y14" s="5"/>
      <c r="Z14" s="5"/>
      <c r="AA14" s="5"/>
      <c r="AB14" s="5"/>
      <c r="AC14" s="10">
        <f t="shared" si="5"/>
        <v>120</v>
      </c>
    </row>
    <row r="15" spans="1:29" x14ac:dyDescent="0.35">
      <c r="A15" s="12" t="s">
        <v>16</v>
      </c>
      <c r="B15" s="5">
        <v>0</v>
      </c>
      <c r="C15" s="5"/>
      <c r="D15" s="5"/>
      <c r="E15" s="5"/>
      <c r="F15" s="5"/>
      <c r="G15" s="5"/>
      <c r="H15" s="5"/>
      <c r="I15" s="10">
        <f t="shared" si="1"/>
        <v>0</v>
      </c>
      <c r="J15" s="117">
        <f t="shared" si="10"/>
        <v>0</v>
      </c>
      <c r="L15" s="5">
        <v>90</v>
      </c>
      <c r="M15" s="5"/>
      <c r="N15" s="5"/>
      <c r="O15" s="5"/>
      <c r="P15" s="5"/>
      <c r="Q15" s="5"/>
      <c r="R15" s="5"/>
      <c r="S15" s="10">
        <f t="shared" si="8"/>
        <v>90</v>
      </c>
      <c r="T15" s="116">
        <v>3</v>
      </c>
      <c r="V15" s="5">
        <f t="shared" si="9"/>
        <v>90</v>
      </c>
      <c r="W15" s="5"/>
      <c r="X15" s="5"/>
      <c r="Y15" s="5"/>
      <c r="Z15" s="5"/>
      <c r="AA15" s="5"/>
      <c r="AB15" s="5"/>
      <c r="AC15" s="10">
        <f t="shared" si="5"/>
        <v>90</v>
      </c>
    </row>
    <row r="16" spans="1:29" x14ac:dyDescent="0.35">
      <c r="A16" s="12" t="s">
        <v>17</v>
      </c>
      <c r="B16" s="5">
        <v>0</v>
      </c>
      <c r="C16" s="5"/>
      <c r="D16" s="5"/>
      <c r="E16" s="5"/>
      <c r="F16" s="5"/>
      <c r="G16" s="5"/>
      <c r="H16" s="5"/>
      <c r="I16" s="10">
        <f t="shared" si="1"/>
        <v>0</v>
      </c>
      <c r="J16" s="117">
        <f>B16/33.33</f>
        <v>0</v>
      </c>
      <c r="L16" s="5">
        <v>60</v>
      </c>
      <c r="M16" s="5"/>
      <c r="N16" s="5"/>
      <c r="O16" s="5"/>
      <c r="P16" s="5"/>
      <c r="Q16" s="5"/>
      <c r="R16" s="5"/>
      <c r="S16" s="10">
        <f t="shared" si="8"/>
        <v>60</v>
      </c>
      <c r="T16" s="116">
        <v>3</v>
      </c>
      <c r="V16" s="5">
        <f t="shared" si="9"/>
        <v>60</v>
      </c>
      <c r="W16" s="5"/>
      <c r="X16" s="5"/>
      <c r="Y16" s="5"/>
      <c r="Z16" s="5"/>
      <c r="AA16" s="5"/>
      <c r="AB16" s="5"/>
      <c r="AC16" s="10">
        <f t="shared" si="5"/>
        <v>60</v>
      </c>
    </row>
    <row r="17" spans="1:29" x14ac:dyDescent="0.35">
      <c r="A17" s="104" t="s">
        <v>4</v>
      </c>
      <c r="B17" s="9">
        <f t="shared" ref="B17:H17" si="11">SUM(B4:B16)</f>
        <v>465</v>
      </c>
      <c r="C17" s="9">
        <f t="shared" si="11"/>
        <v>0</v>
      </c>
      <c r="D17" s="9">
        <f t="shared" si="11"/>
        <v>0</v>
      </c>
      <c r="E17" s="9"/>
      <c r="F17" s="9">
        <f t="shared" si="11"/>
        <v>0</v>
      </c>
      <c r="G17" s="9">
        <f t="shared" si="11"/>
        <v>0</v>
      </c>
      <c r="H17" s="9">
        <f t="shared" si="11"/>
        <v>0</v>
      </c>
      <c r="I17" s="9">
        <f>SUM(I4:I16)</f>
        <v>465</v>
      </c>
      <c r="J17" s="117">
        <f>SUM(J4:J16)</f>
        <v>18</v>
      </c>
      <c r="L17" s="9">
        <f t="shared" ref="L17:N17" si="12">SUM(L4:L16)</f>
        <v>1460</v>
      </c>
      <c r="M17" s="9">
        <f t="shared" si="12"/>
        <v>0</v>
      </c>
      <c r="N17" s="9">
        <f t="shared" si="12"/>
        <v>0</v>
      </c>
      <c r="O17" s="9"/>
      <c r="P17" s="9">
        <f t="shared" ref="P17:R17" si="13">SUM(P4:P16)</f>
        <v>0</v>
      </c>
      <c r="Q17" s="9">
        <f t="shared" si="13"/>
        <v>0</v>
      </c>
      <c r="R17" s="9">
        <f t="shared" si="13"/>
        <v>0</v>
      </c>
      <c r="S17" s="9">
        <f>SUM(S4:S16)</f>
        <v>1460</v>
      </c>
      <c r="T17" s="117">
        <f>SUM(T4:T16)</f>
        <v>53</v>
      </c>
      <c r="V17" s="9">
        <f t="shared" ref="V17:X17" si="14">SUM(V4:V16)</f>
        <v>1925</v>
      </c>
      <c r="W17" s="9">
        <f t="shared" si="14"/>
        <v>0</v>
      </c>
      <c r="X17" s="9">
        <f t="shared" si="14"/>
        <v>0</v>
      </c>
      <c r="Y17" s="9"/>
      <c r="Z17" s="9">
        <f t="shared" ref="Z17:AB17" si="15">SUM(Z4:Z16)</f>
        <v>0</v>
      </c>
      <c r="AA17" s="9">
        <f t="shared" si="15"/>
        <v>0</v>
      </c>
      <c r="AB17" s="9">
        <f t="shared" si="15"/>
        <v>0</v>
      </c>
      <c r="AC17" s="9">
        <f>SUM(AC4:AC16)</f>
        <v>1925</v>
      </c>
    </row>
    <row r="18" spans="1:29" x14ac:dyDescent="0.35">
      <c r="A18" s="12"/>
      <c r="B18" s="5"/>
      <c r="C18" s="13"/>
      <c r="D18" s="13"/>
      <c r="E18" s="13"/>
      <c r="F18" s="13"/>
      <c r="G18" s="13"/>
      <c r="H18" s="13"/>
      <c r="I18" s="13"/>
      <c r="J18" s="7"/>
      <c r="L18" s="5"/>
      <c r="M18" s="13"/>
      <c r="N18" s="13"/>
      <c r="O18" s="13"/>
      <c r="P18" s="13"/>
      <c r="Q18" s="13"/>
      <c r="R18" s="13"/>
      <c r="S18" s="13"/>
      <c r="T18" s="7"/>
      <c r="V18" s="5"/>
      <c r="W18" s="13"/>
      <c r="X18" s="13"/>
      <c r="Y18" s="13"/>
      <c r="Z18" s="13"/>
      <c r="AA18" s="13"/>
      <c r="AB18" s="13"/>
      <c r="AC18" s="13"/>
    </row>
    <row r="19" spans="1:29" x14ac:dyDescent="0.35">
      <c r="A19" s="14" t="s">
        <v>18</v>
      </c>
      <c r="B19" s="15" t="str">
        <f t="shared" ref="B19:I19" si="16">B1</f>
        <v>Operating</v>
      </c>
      <c r="C19" s="15" t="str">
        <f t="shared" si="16"/>
        <v>SPED</v>
      </c>
      <c r="D19" s="15" t="str">
        <f t="shared" si="16"/>
        <v>NSLP</v>
      </c>
      <c r="E19" s="15" t="str">
        <f t="shared" si="16"/>
        <v>Other</v>
      </c>
      <c r="F19" s="15" t="str">
        <f t="shared" si="16"/>
        <v>Title I</v>
      </c>
      <c r="G19" s="15" t="str">
        <f t="shared" si="16"/>
        <v>Title II</v>
      </c>
      <c r="H19" s="15" t="str">
        <f t="shared" si="16"/>
        <v>Title III</v>
      </c>
      <c r="I19" s="15" t="str">
        <f t="shared" si="16"/>
        <v>B&amp;G</v>
      </c>
      <c r="J19" s="16"/>
      <c r="L19" s="15" t="str">
        <f t="shared" ref="L19:S19" si="17">L1</f>
        <v>Operating</v>
      </c>
      <c r="M19" s="15" t="str">
        <f t="shared" si="17"/>
        <v>SPED</v>
      </c>
      <c r="N19" s="15" t="str">
        <f t="shared" si="17"/>
        <v>NSLP</v>
      </c>
      <c r="O19" s="15" t="str">
        <f t="shared" si="17"/>
        <v>Other</v>
      </c>
      <c r="P19" s="15" t="str">
        <f t="shared" si="17"/>
        <v>Title I</v>
      </c>
      <c r="Q19" s="15" t="str">
        <f t="shared" si="17"/>
        <v>Title II</v>
      </c>
      <c r="R19" s="15" t="str">
        <f t="shared" si="17"/>
        <v>Title III</v>
      </c>
      <c r="S19" s="15" t="str">
        <f t="shared" si="17"/>
        <v>New</v>
      </c>
      <c r="T19" s="16"/>
      <c r="V19" s="15" t="str">
        <f t="shared" ref="V19:AC19" si="18">V1</f>
        <v>Operating</v>
      </c>
      <c r="W19" s="15" t="str">
        <f t="shared" si="18"/>
        <v>SPED</v>
      </c>
      <c r="X19" s="15" t="str">
        <f t="shared" si="18"/>
        <v>NSLP</v>
      </c>
      <c r="Y19" s="15" t="str">
        <f t="shared" si="18"/>
        <v>Other</v>
      </c>
      <c r="Z19" s="15" t="str">
        <f t="shared" si="18"/>
        <v>Title I</v>
      </c>
      <c r="AA19" s="15" t="str">
        <f t="shared" si="18"/>
        <v>Title II</v>
      </c>
      <c r="AB19" s="15" t="str">
        <f t="shared" si="18"/>
        <v>Title III</v>
      </c>
      <c r="AC19" s="15" t="str">
        <f t="shared" si="18"/>
        <v>MANN</v>
      </c>
    </row>
    <row r="20" spans="1:29" x14ac:dyDescent="0.35">
      <c r="A20" s="12" t="s">
        <v>19</v>
      </c>
      <c r="B20" s="5"/>
      <c r="C20" s="5">
        <v>56</v>
      </c>
      <c r="D20" s="5"/>
      <c r="E20" s="5"/>
      <c r="F20" s="5"/>
      <c r="G20" s="5"/>
      <c r="H20" s="5"/>
      <c r="I20" s="5">
        <f>SUM(B20:H20)</f>
        <v>56</v>
      </c>
      <c r="J20" s="19">
        <v>0.12</v>
      </c>
      <c r="L20" s="5"/>
      <c r="M20" s="5">
        <v>157</v>
      </c>
      <c r="N20" s="5"/>
      <c r="O20" s="5"/>
      <c r="P20" s="5"/>
      <c r="Q20" s="5"/>
      <c r="R20" s="5"/>
      <c r="S20" s="5">
        <f>SUM(L20:R20)</f>
        <v>157</v>
      </c>
      <c r="T20" s="17" t="s">
        <v>20</v>
      </c>
      <c r="V20" s="5">
        <f>B20+L20</f>
        <v>0</v>
      </c>
      <c r="W20" s="5">
        <f t="shared" ref="W20:Y24" si="19">C20+M20</f>
        <v>213</v>
      </c>
      <c r="X20" s="5">
        <f t="shared" si="19"/>
        <v>0</v>
      </c>
      <c r="Y20" s="5">
        <f t="shared" si="19"/>
        <v>0</v>
      </c>
      <c r="Z20" s="5"/>
      <c r="AA20" s="5"/>
      <c r="AB20" s="5"/>
      <c r="AC20" s="5">
        <f>SUM(V20:AB20)</f>
        <v>213</v>
      </c>
    </row>
    <row r="21" spans="1:29" x14ac:dyDescent="0.35">
      <c r="A21" s="12" t="s">
        <v>21</v>
      </c>
      <c r="B21" s="5">
        <v>144</v>
      </c>
      <c r="C21" s="5"/>
      <c r="D21" s="5"/>
      <c r="E21" s="5"/>
      <c r="F21" s="5"/>
      <c r="G21" s="5"/>
      <c r="H21" s="5"/>
      <c r="I21" s="5">
        <f>SUM(B21:H21)</f>
        <v>144</v>
      </c>
      <c r="J21" s="19">
        <v>0.31</v>
      </c>
      <c r="L21" s="5">
        <v>407</v>
      </c>
      <c r="M21" s="5"/>
      <c r="N21" s="5"/>
      <c r="O21" s="5"/>
      <c r="P21" s="5"/>
      <c r="Q21" s="5"/>
      <c r="R21" s="5"/>
      <c r="S21" s="5">
        <f>SUM(L21:R21)</f>
        <v>407</v>
      </c>
      <c r="T21" s="17"/>
      <c r="V21" s="5">
        <f t="shared" ref="V21:V24" si="20">B21+L21</f>
        <v>551</v>
      </c>
      <c r="W21" s="5">
        <f t="shared" si="19"/>
        <v>0</v>
      </c>
      <c r="X21" s="5">
        <f t="shared" si="19"/>
        <v>0</v>
      </c>
      <c r="Y21" s="5">
        <f t="shared" si="19"/>
        <v>0</v>
      </c>
      <c r="Z21" s="5"/>
      <c r="AA21" s="5"/>
      <c r="AB21" s="5"/>
      <c r="AC21" s="5">
        <f>SUM(V21:AB21)</f>
        <v>551</v>
      </c>
    </row>
    <row r="22" spans="1:29" x14ac:dyDescent="0.35">
      <c r="A22" s="12" t="s">
        <v>22</v>
      </c>
      <c r="B22" s="10">
        <v>0</v>
      </c>
      <c r="C22" s="10"/>
      <c r="D22" s="10"/>
      <c r="E22" s="10"/>
      <c r="F22" s="10"/>
      <c r="G22" s="10"/>
      <c r="H22" s="10"/>
      <c r="I22" s="5">
        <f>SUM(B22:H22)</f>
        <v>0</v>
      </c>
      <c r="J22" s="11"/>
      <c r="L22" s="10"/>
      <c r="M22" s="10"/>
      <c r="N22" s="10"/>
      <c r="O22" s="10"/>
      <c r="P22" s="10"/>
      <c r="Q22" s="10"/>
      <c r="R22" s="10"/>
      <c r="S22" s="5">
        <f>SUM(L22:R22)</f>
        <v>0</v>
      </c>
      <c r="T22" s="11"/>
      <c r="V22" s="5">
        <f t="shared" si="20"/>
        <v>0</v>
      </c>
      <c r="W22" s="5">
        <f t="shared" si="19"/>
        <v>0</v>
      </c>
      <c r="X22" s="5">
        <f t="shared" si="19"/>
        <v>0</v>
      </c>
      <c r="Y22" s="5">
        <f t="shared" si="19"/>
        <v>0</v>
      </c>
      <c r="Z22" s="10"/>
      <c r="AA22" s="10"/>
      <c r="AB22" s="10"/>
      <c r="AC22" s="5">
        <f>SUM(V22:AB22)</f>
        <v>0</v>
      </c>
    </row>
    <row r="23" spans="1:29" x14ac:dyDescent="0.35">
      <c r="A23" s="12" t="s">
        <v>23</v>
      </c>
      <c r="B23" s="18"/>
      <c r="C23" s="18"/>
      <c r="D23" s="118">
        <v>1</v>
      </c>
      <c r="E23" s="118"/>
      <c r="F23" s="118"/>
      <c r="G23" s="118"/>
      <c r="H23" s="118"/>
      <c r="I23" s="18">
        <f>SUM(B23:H23)</f>
        <v>1</v>
      </c>
      <c r="J23" s="19"/>
      <c r="L23" s="18"/>
      <c r="M23" s="18"/>
      <c r="N23" s="118">
        <v>1</v>
      </c>
      <c r="O23" s="118"/>
      <c r="P23" s="118"/>
      <c r="Q23" s="118"/>
      <c r="R23" s="118"/>
      <c r="S23" s="18">
        <f>SUM(L23:R23)</f>
        <v>1</v>
      </c>
      <c r="T23" s="19"/>
      <c r="V23" s="5">
        <f t="shared" si="20"/>
        <v>0</v>
      </c>
      <c r="W23" s="5">
        <f t="shared" si="19"/>
        <v>0</v>
      </c>
      <c r="X23" s="111">
        <v>1</v>
      </c>
      <c r="Y23" s="5">
        <f t="shared" si="19"/>
        <v>0</v>
      </c>
      <c r="Z23" s="118"/>
      <c r="AA23" s="118"/>
      <c r="AB23" s="118"/>
      <c r="AC23" s="18">
        <f>SUM(V23:AB23)</f>
        <v>1</v>
      </c>
    </row>
    <row r="24" spans="1:29" x14ac:dyDescent="0.35">
      <c r="A24" s="12" t="s">
        <v>24</v>
      </c>
      <c r="B24" s="5">
        <v>4</v>
      </c>
      <c r="C24" s="5"/>
      <c r="D24" s="5"/>
      <c r="E24" s="5"/>
      <c r="F24" s="5"/>
      <c r="G24" s="5"/>
      <c r="H24" s="5"/>
      <c r="I24" s="5">
        <f>SUM(B24:H24)</f>
        <v>4</v>
      </c>
      <c r="J24" s="19">
        <v>0.01</v>
      </c>
      <c r="L24" s="5">
        <v>13</v>
      </c>
      <c r="M24" s="5"/>
      <c r="N24" s="5"/>
      <c r="O24" s="5"/>
      <c r="P24" s="5"/>
      <c r="Q24" s="5"/>
      <c r="R24" s="5"/>
      <c r="S24" s="5">
        <f>SUM(L24:R24)</f>
        <v>13</v>
      </c>
      <c r="T24" s="19"/>
      <c r="V24" s="5">
        <f t="shared" si="20"/>
        <v>17</v>
      </c>
      <c r="W24" s="5">
        <f t="shared" si="19"/>
        <v>0</v>
      </c>
      <c r="X24" s="5">
        <f t="shared" si="19"/>
        <v>0</v>
      </c>
      <c r="Y24" s="5">
        <f t="shared" si="19"/>
        <v>0</v>
      </c>
      <c r="Z24" s="5"/>
      <c r="AA24" s="5"/>
      <c r="AB24" s="5"/>
      <c r="AC24" s="5">
        <f>SUM(V24:AB24)</f>
        <v>17</v>
      </c>
    </row>
    <row r="25" spans="1:29" x14ac:dyDescent="0.35">
      <c r="A25" s="12"/>
      <c r="B25" s="5"/>
      <c r="C25" s="5"/>
      <c r="D25" s="5"/>
      <c r="E25" s="5"/>
      <c r="F25" s="5"/>
      <c r="G25" s="5"/>
      <c r="H25" s="5"/>
      <c r="I25" s="5"/>
      <c r="J25" s="7"/>
      <c r="L25" s="5"/>
      <c r="M25" s="5"/>
      <c r="N25" s="5"/>
      <c r="O25" s="5"/>
      <c r="P25" s="5"/>
      <c r="Q25" s="5"/>
      <c r="R25" s="5"/>
      <c r="S25" s="5"/>
      <c r="T25" s="7"/>
      <c r="V25" s="5"/>
      <c r="W25" s="5"/>
      <c r="X25" s="5"/>
      <c r="Y25" s="5"/>
      <c r="Z25" s="5"/>
      <c r="AA25" s="5"/>
      <c r="AB25" s="5"/>
      <c r="AC25" s="5"/>
    </row>
    <row r="26" spans="1:29" x14ac:dyDescent="0.35">
      <c r="A26" s="20" t="s">
        <v>25</v>
      </c>
      <c r="B26" s="15" t="str">
        <f t="shared" ref="B26:I26" si="21">B1</f>
        <v>Operating</v>
      </c>
      <c r="C26" s="15" t="str">
        <f t="shared" si="21"/>
        <v>SPED</v>
      </c>
      <c r="D26" s="15" t="str">
        <f t="shared" si="21"/>
        <v>NSLP</v>
      </c>
      <c r="E26" s="15" t="str">
        <f t="shared" si="21"/>
        <v>Other</v>
      </c>
      <c r="F26" s="15" t="str">
        <f t="shared" si="21"/>
        <v>Title I</v>
      </c>
      <c r="G26" s="15" t="str">
        <f t="shared" si="21"/>
        <v>Title II</v>
      </c>
      <c r="H26" s="15" t="str">
        <f t="shared" si="21"/>
        <v>Title III</v>
      </c>
      <c r="I26" s="15" t="str">
        <f t="shared" si="21"/>
        <v>B&amp;G</v>
      </c>
      <c r="J26" s="16"/>
      <c r="L26" s="15" t="str">
        <f t="shared" ref="L26:S26" si="22">L1</f>
        <v>Operating</v>
      </c>
      <c r="M26" s="15" t="str">
        <f t="shared" si="22"/>
        <v>SPED</v>
      </c>
      <c r="N26" s="15" t="str">
        <f t="shared" si="22"/>
        <v>NSLP</v>
      </c>
      <c r="O26" s="15" t="str">
        <f t="shared" si="22"/>
        <v>Other</v>
      </c>
      <c r="P26" s="15" t="str">
        <f t="shared" si="22"/>
        <v>Title I</v>
      </c>
      <c r="Q26" s="15" t="str">
        <f t="shared" si="22"/>
        <v>Title II</v>
      </c>
      <c r="R26" s="15" t="str">
        <f t="shared" si="22"/>
        <v>Title III</v>
      </c>
      <c r="S26" s="15" t="str">
        <f t="shared" si="22"/>
        <v>New</v>
      </c>
      <c r="T26" s="16"/>
      <c r="V26" s="15" t="str">
        <f t="shared" ref="V26:AC26" si="23">V1</f>
        <v>Operating</v>
      </c>
      <c r="W26" s="15" t="str">
        <f t="shared" si="23"/>
        <v>SPED</v>
      </c>
      <c r="X26" s="15" t="str">
        <f t="shared" si="23"/>
        <v>NSLP</v>
      </c>
      <c r="Y26" s="15" t="str">
        <f t="shared" si="23"/>
        <v>Other</v>
      </c>
      <c r="Z26" s="15" t="str">
        <f t="shared" si="23"/>
        <v>Title I</v>
      </c>
      <c r="AA26" s="15" t="str">
        <f t="shared" si="23"/>
        <v>Title II</v>
      </c>
      <c r="AB26" s="15" t="str">
        <f t="shared" si="23"/>
        <v>Title III</v>
      </c>
      <c r="AC26" s="15" t="str">
        <f t="shared" si="23"/>
        <v>MANN</v>
      </c>
    </row>
    <row r="27" spans="1:29" x14ac:dyDescent="0.35">
      <c r="A27" s="25" t="s">
        <v>26</v>
      </c>
      <c r="B27" s="21">
        <v>18</v>
      </c>
      <c r="C27" s="21"/>
      <c r="D27" s="21"/>
      <c r="E27" s="21"/>
      <c r="F27" s="21"/>
      <c r="G27" s="21"/>
      <c r="H27" s="21"/>
      <c r="I27" s="21">
        <f t="shared" ref="I27:I32" si="24">SUM(B27:H27)</f>
        <v>18</v>
      </c>
      <c r="J27" s="17">
        <f>I27/6</f>
        <v>3</v>
      </c>
      <c r="L27" s="21">
        <v>53</v>
      </c>
      <c r="M27" s="21"/>
      <c r="N27" s="21"/>
      <c r="O27" s="21"/>
      <c r="P27" s="21"/>
      <c r="Q27" s="21"/>
      <c r="R27" s="21"/>
      <c r="S27" s="21">
        <f t="shared" ref="S27:S28" si="25">SUM(L27:R27)</f>
        <v>53</v>
      </c>
      <c r="T27" s="17">
        <f>S27/6</f>
        <v>8.8333333333333339</v>
      </c>
      <c r="V27" s="21">
        <f>B27+L27</f>
        <v>71</v>
      </c>
      <c r="W27" s="21">
        <f t="shared" ref="W27:Y35" si="26">C27+M27</f>
        <v>0</v>
      </c>
      <c r="X27" s="21">
        <f t="shared" si="26"/>
        <v>0</v>
      </c>
      <c r="Y27" s="21">
        <f t="shared" si="26"/>
        <v>0</v>
      </c>
      <c r="Z27" s="21"/>
      <c r="AA27" s="21"/>
      <c r="AB27" s="21"/>
      <c r="AC27" s="21">
        <f t="shared" ref="AC27:AC28" si="27">SUM(V27:AB27)</f>
        <v>71</v>
      </c>
    </row>
    <row r="28" spans="1:29" x14ac:dyDescent="0.35">
      <c r="A28" s="25" t="s">
        <v>27</v>
      </c>
      <c r="B28" s="22">
        <v>0</v>
      </c>
      <c r="C28" s="22">
        <v>3</v>
      </c>
      <c r="D28" s="22"/>
      <c r="E28" s="22"/>
      <c r="F28" s="22"/>
      <c r="G28" s="22"/>
      <c r="H28" s="22"/>
      <c r="I28" s="21">
        <f t="shared" si="24"/>
        <v>3</v>
      </c>
      <c r="J28" s="17">
        <f>I20/21</f>
        <v>2.6666666666666665</v>
      </c>
      <c r="L28" s="22">
        <v>0</v>
      </c>
      <c r="M28" s="22">
        <v>7</v>
      </c>
      <c r="N28" s="22"/>
      <c r="O28" s="22"/>
      <c r="P28" s="22"/>
      <c r="Q28" s="22"/>
      <c r="R28" s="22"/>
      <c r="S28" s="21">
        <f t="shared" si="25"/>
        <v>7</v>
      </c>
      <c r="T28" s="17">
        <f>S20/21</f>
        <v>7.4761904761904763</v>
      </c>
      <c r="V28" s="21">
        <f t="shared" ref="V28:V35" si="28">B28+L28</f>
        <v>0</v>
      </c>
      <c r="W28" s="21">
        <f t="shared" si="26"/>
        <v>10</v>
      </c>
      <c r="X28" s="21">
        <f t="shared" si="26"/>
        <v>0</v>
      </c>
      <c r="Y28" s="21">
        <f t="shared" si="26"/>
        <v>0</v>
      </c>
      <c r="Z28" s="22"/>
      <c r="AA28" s="22"/>
      <c r="AB28" s="22"/>
      <c r="AC28" s="21">
        <f t="shared" si="27"/>
        <v>10</v>
      </c>
    </row>
    <row r="29" spans="1:29" x14ac:dyDescent="0.35">
      <c r="A29" s="25" t="s">
        <v>28</v>
      </c>
      <c r="B29" s="21">
        <v>1</v>
      </c>
      <c r="C29" s="21"/>
      <c r="D29" s="21"/>
      <c r="E29" s="21"/>
      <c r="F29" s="21"/>
      <c r="G29" s="21"/>
      <c r="H29" s="21"/>
      <c r="I29" s="21">
        <f>SUM(B29:H29)</f>
        <v>1</v>
      </c>
      <c r="J29" s="11"/>
      <c r="L29" s="21">
        <v>2</v>
      </c>
      <c r="M29" s="21"/>
      <c r="N29" s="21"/>
      <c r="O29" s="21"/>
      <c r="P29" s="21"/>
      <c r="Q29" s="21"/>
      <c r="R29" s="21"/>
      <c r="S29" s="21">
        <f>SUM(L29:R29)</f>
        <v>2</v>
      </c>
      <c r="T29" s="11"/>
      <c r="V29" s="21">
        <f t="shared" si="28"/>
        <v>3</v>
      </c>
      <c r="W29" s="21">
        <f t="shared" si="26"/>
        <v>0</v>
      </c>
      <c r="X29" s="21">
        <f t="shared" si="26"/>
        <v>0</v>
      </c>
      <c r="Y29" s="21">
        <f t="shared" si="26"/>
        <v>0</v>
      </c>
      <c r="Z29" s="21"/>
      <c r="AA29" s="21"/>
      <c r="AB29" s="21"/>
      <c r="AC29" s="21">
        <f>SUM(V29:AB29)</f>
        <v>3</v>
      </c>
    </row>
    <row r="30" spans="1:29" x14ac:dyDescent="0.35">
      <c r="A30" s="25" t="s">
        <v>29</v>
      </c>
      <c r="B30" s="21">
        <v>1</v>
      </c>
      <c r="C30" s="21"/>
      <c r="D30" s="21"/>
      <c r="E30" s="21"/>
      <c r="F30" s="21"/>
      <c r="G30" s="21"/>
      <c r="H30" s="21"/>
      <c r="I30" s="21">
        <f t="shared" si="24"/>
        <v>1</v>
      </c>
      <c r="J30" s="11"/>
      <c r="L30" s="21">
        <v>2</v>
      </c>
      <c r="M30" s="21"/>
      <c r="N30" s="21"/>
      <c r="O30" s="21"/>
      <c r="P30" s="21"/>
      <c r="Q30" s="21"/>
      <c r="R30" s="21"/>
      <c r="S30" s="21">
        <f t="shared" ref="S30:S32" si="29">SUM(L30:R30)</f>
        <v>2</v>
      </c>
      <c r="T30" s="11"/>
      <c r="V30" s="21">
        <f t="shared" si="28"/>
        <v>3</v>
      </c>
      <c r="W30" s="21">
        <f t="shared" si="26"/>
        <v>0</v>
      </c>
      <c r="X30" s="21">
        <f t="shared" si="26"/>
        <v>0</v>
      </c>
      <c r="Y30" s="21">
        <f t="shared" si="26"/>
        <v>0</v>
      </c>
      <c r="Z30" s="21"/>
      <c r="AA30" s="21"/>
      <c r="AB30" s="21"/>
      <c r="AC30" s="21">
        <f t="shared" ref="AC30:AC32" si="30">SUM(V30:AB30)</f>
        <v>3</v>
      </c>
    </row>
    <row r="31" spans="1:29" x14ac:dyDescent="0.35">
      <c r="A31" s="25" t="s">
        <v>30</v>
      </c>
      <c r="B31" s="21">
        <v>1</v>
      </c>
      <c r="C31" s="21"/>
      <c r="D31" s="21"/>
      <c r="E31" s="21"/>
      <c r="F31" s="21"/>
      <c r="G31" s="21"/>
      <c r="H31" s="21"/>
      <c r="I31" s="21">
        <f t="shared" si="24"/>
        <v>1</v>
      </c>
      <c r="J31" s="11"/>
      <c r="L31" s="21">
        <v>2</v>
      </c>
      <c r="M31" s="21"/>
      <c r="N31" s="21"/>
      <c r="O31" s="21"/>
      <c r="P31" s="21"/>
      <c r="Q31" s="21"/>
      <c r="R31" s="21"/>
      <c r="S31" s="21">
        <f t="shared" si="29"/>
        <v>2</v>
      </c>
      <c r="T31" s="11"/>
      <c r="V31" s="21">
        <f t="shared" si="28"/>
        <v>3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/>
      <c r="AA31" s="21"/>
      <c r="AB31" s="21"/>
      <c r="AC31" s="21">
        <f t="shared" si="30"/>
        <v>3</v>
      </c>
    </row>
    <row r="32" spans="1:29" x14ac:dyDescent="0.35">
      <c r="A32" s="100" t="s">
        <v>31</v>
      </c>
      <c r="B32" s="21">
        <v>0</v>
      </c>
      <c r="C32" s="21"/>
      <c r="D32" s="21"/>
      <c r="E32" s="21"/>
      <c r="F32" s="21"/>
      <c r="G32" s="21"/>
      <c r="H32" s="21"/>
      <c r="I32" s="21">
        <f t="shared" si="24"/>
        <v>0</v>
      </c>
      <c r="J32" s="11"/>
      <c r="L32" s="21">
        <v>0</v>
      </c>
      <c r="M32" s="21"/>
      <c r="N32" s="21"/>
      <c r="O32" s="21"/>
      <c r="P32" s="21"/>
      <c r="Q32" s="21"/>
      <c r="R32" s="21"/>
      <c r="S32" s="21">
        <f t="shared" si="29"/>
        <v>0</v>
      </c>
      <c r="T32" s="11"/>
      <c r="V32" s="21">
        <f t="shared" si="28"/>
        <v>0</v>
      </c>
      <c r="W32" s="21">
        <f t="shared" si="26"/>
        <v>0</v>
      </c>
      <c r="X32" s="21">
        <f t="shared" si="26"/>
        <v>0</v>
      </c>
      <c r="Y32" s="21">
        <f t="shared" si="26"/>
        <v>0</v>
      </c>
      <c r="Z32" s="21"/>
      <c r="AA32" s="21"/>
      <c r="AB32" s="21"/>
      <c r="AC32" s="21">
        <f t="shared" si="30"/>
        <v>0</v>
      </c>
    </row>
    <row r="33" spans="1:29" x14ac:dyDescent="0.35">
      <c r="A33" s="100" t="s">
        <v>32</v>
      </c>
      <c r="B33" s="21">
        <v>0</v>
      </c>
      <c r="C33" s="21"/>
      <c r="D33" s="21"/>
      <c r="E33" s="21"/>
      <c r="F33" s="21"/>
      <c r="G33" s="21"/>
      <c r="H33" s="21"/>
      <c r="I33" s="21">
        <f>SUM(B33:H33)</f>
        <v>0</v>
      </c>
      <c r="J33" s="11"/>
      <c r="L33" s="21">
        <v>0</v>
      </c>
      <c r="M33" s="21"/>
      <c r="N33" s="21"/>
      <c r="O33" s="21"/>
      <c r="P33" s="21"/>
      <c r="Q33" s="21"/>
      <c r="R33" s="21"/>
      <c r="S33" s="21">
        <f>SUM(L33:R33)</f>
        <v>0</v>
      </c>
      <c r="T33" s="11"/>
      <c r="V33" s="21">
        <f t="shared" si="28"/>
        <v>0</v>
      </c>
      <c r="W33" s="21">
        <f t="shared" si="26"/>
        <v>0</v>
      </c>
      <c r="X33" s="21">
        <f t="shared" si="26"/>
        <v>0</v>
      </c>
      <c r="Y33" s="21">
        <f t="shared" si="26"/>
        <v>0</v>
      </c>
      <c r="Z33" s="21"/>
      <c r="AA33" s="21"/>
      <c r="AB33" s="21"/>
      <c r="AC33" s="21">
        <f>SUM(V33:AB33)</f>
        <v>0</v>
      </c>
    </row>
    <row r="34" spans="1:29" x14ac:dyDescent="0.35">
      <c r="A34" s="100" t="s">
        <v>33</v>
      </c>
      <c r="B34" s="21">
        <v>0</v>
      </c>
      <c r="C34" s="21"/>
      <c r="D34" s="21"/>
      <c r="E34" s="21"/>
      <c r="F34" s="21"/>
      <c r="G34" s="21"/>
      <c r="H34" s="21"/>
      <c r="I34" s="21">
        <f>SUM(B34:H34)</f>
        <v>0</v>
      </c>
      <c r="J34" s="11"/>
      <c r="L34" s="21">
        <v>3</v>
      </c>
      <c r="M34" s="21"/>
      <c r="N34" s="21"/>
      <c r="O34" s="21"/>
      <c r="P34" s="21"/>
      <c r="Q34" s="21"/>
      <c r="R34" s="21"/>
      <c r="S34" s="21">
        <f>SUM(L34:R34)</f>
        <v>3</v>
      </c>
      <c r="T34" s="11"/>
      <c r="V34" s="21">
        <f t="shared" si="28"/>
        <v>3</v>
      </c>
      <c r="W34" s="21">
        <f t="shared" si="26"/>
        <v>0</v>
      </c>
      <c r="X34" s="21">
        <f t="shared" si="26"/>
        <v>0</v>
      </c>
      <c r="Y34" s="21">
        <f t="shared" si="26"/>
        <v>0</v>
      </c>
      <c r="Z34" s="21"/>
      <c r="AA34" s="21"/>
      <c r="AB34" s="21"/>
      <c r="AC34" s="21">
        <f>SUM(V34:AB34)</f>
        <v>3</v>
      </c>
    </row>
    <row r="35" spans="1:29" x14ac:dyDescent="0.35">
      <c r="A35" s="26" t="s">
        <v>35</v>
      </c>
      <c r="B35" s="21">
        <v>0</v>
      </c>
      <c r="C35" s="21"/>
      <c r="D35" s="21"/>
      <c r="E35" s="21"/>
      <c r="F35" s="21"/>
      <c r="G35" s="21"/>
      <c r="H35" s="21"/>
      <c r="I35" s="21">
        <f>SUM(B35:H35)</f>
        <v>0</v>
      </c>
      <c r="J35" s="11"/>
      <c r="L35" s="21">
        <v>0</v>
      </c>
      <c r="M35" s="21"/>
      <c r="N35" s="21"/>
      <c r="O35" s="21"/>
      <c r="P35" s="21"/>
      <c r="Q35" s="21"/>
      <c r="R35" s="21"/>
      <c r="S35" s="21">
        <f>SUM(L35:R35)</f>
        <v>0</v>
      </c>
      <c r="T35" s="11"/>
      <c r="V35" s="21">
        <f t="shared" si="28"/>
        <v>0</v>
      </c>
      <c r="W35" s="21">
        <f t="shared" si="26"/>
        <v>0</v>
      </c>
      <c r="X35" s="21">
        <f t="shared" si="26"/>
        <v>0</v>
      </c>
      <c r="Y35" s="21">
        <f t="shared" si="26"/>
        <v>0</v>
      </c>
      <c r="Z35" s="21"/>
      <c r="AA35" s="21"/>
      <c r="AB35" s="21"/>
      <c r="AC35" s="21">
        <f>SUM(V35:AB35)</f>
        <v>0</v>
      </c>
    </row>
    <row r="36" spans="1:29" x14ac:dyDescent="0.35">
      <c r="A36" s="20" t="s">
        <v>37</v>
      </c>
      <c r="B36" s="24">
        <f>SUM(B27:B35)</f>
        <v>21</v>
      </c>
      <c r="C36" s="24">
        <f t="shared" ref="C36:H36" si="31">SUM(C27:C35)</f>
        <v>3</v>
      </c>
      <c r="D36" s="24">
        <f t="shared" si="31"/>
        <v>0</v>
      </c>
      <c r="E36" s="24"/>
      <c r="F36" s="24">
        <f t="shared" si="31"/>
        <v>0</v>
      </c>
      <c r="G36" s="24">
        <f t="shared" si="31"/>
        <v>0</v>
      </c>
      <c r="H36" s="24">
        <f t="shared" si="31"/>
        <v>0</v>
      </c>
      <c r="I36" s="24">
        <f>SUM(I27:I35)</f>
        <v>24</v>
      </c>
      <c r="J36" s="7"/>
      <c r="L36" s="24">
        <f>SUM(L27:L35)</f>
        <v>62</v>
      </c>
      <c r="M36" s="24">
        <f t="shared" ref="M36:N36" si="32">SUM(M27:M35)</f>
        <v>7</v>
      </c>
      <c r="N36" s="24">
        <f t="shared" si="32"/>
        <v>0</v>
      </c>
      <c r="O36" s="24"/>
      <c r="P36" s="24">
        <f t="shared" ref="P36:R36" si="33">SUM(P27:P35)</f>
        <v>0</v>
      </c>
      <c r="Q36" s="24">
        <f t="shared" si="33"/>
        <v>0</v>
      </c>
      <c r="R36" s="24">
        <f t="shared" si="33"/>
        <v>0</v>
      </c>
      <c r="S36" s="24">
        <f>SUM(S27:S35)</f>
        <v>69</v>
      </c>
      <c r="T36" s="7"/>
      <c r="V36" s="24">
        <f>SUM(V27:V35)</f>
        <v>83</v>
      </c>
      <c r="W36" s="24">
        <f t="shared" ref="W36:X36" si="34">SUM(W27:W35)</f>
        <v>10</v>
      </c>
      <c r="X36" s="24">
        <f t="shared" si="34"/>
        <v>0</v>
      </c>
      <c r="Y36" s="24"/>
      <c r="Z36" s="24">
        <f t="shared" ref="Z36:AB36" si="35">SUM(Z27:Z35)</f>
        <v>0</v>
      </c>
      <c r="AA36" s="24">
        <f t="shared" si="35"/>
        <v>0</v>
      </c>
      <c r="AB36" s="24">
        <f t="shared" si="35"/>
        <v>0</v>
      </c>
      <c r="AC36" s="24">
        <f>SUM(AC27:AC35)</f>
        <v>93</v>
      </c>
    </row>
    <row r="37" spans="1:29" x14ac:dyDescent="0.35">
      <c r="A37" s="23"/>
      <c r="B37" s="5"/>
      <c r="C37" s="5"/>
      <c r="D37" s="5"/>
      <c r="E37" s="5"/>
      <c r="F37" s="5"/>
      <c r="G37" s="5"/>
      <c r="H37" s="5"/>
      <c r="I37" s="5"/>
      <c r="J37" s="7"/>
      <c r="L37" s="5"/>
      <c r="M37" s="5"/>
      <c r="N37" s="5"/>
      <c r="O37" s="5"/>
      <c r="P37" s="5"/>
      <c r="Q37" s="5"/>
      <c r="R37" s="5"/>
      <c r="S37" s="5"/>
      <c r="T37" s="7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20" t="s">
        <v>39</v>
      </c>
      <c r="B38" s="15" t="str">
        <f t="shared" ref="B38:I38" si="36">B1</f>
        <v>Operating</v>
      </c>
      <c r="C38" s="15" t="str">
        <f t="shared" si="36"/>
        <v>SPED</v>
      </c>
      <c r="D38" s="15" t="str">
        <f t="shared" si="36"/>
        <v>NSLP</v>
      </c>
      <c r="E38" s="15" t="str">
        <f t="shared" si="36"/>
        <v>Other</v>
      </c>
      <c r="F38" s="15" t="str">
        <f t="shared" si="36"/>
        <v>Title I</v>
      </c>
      <c r="G38" s="15" t="str">
        <f t="shared" si="36"/>
        <v>Title II</v>
      </c>
      <c r="H38" s="15" t="str">
        <f t="shared" si="36"/>
        <v>Title III</v>
      </c>
      <c r="I38" s="15" t="str">
        <f t="shared" si="36"/>
        <v>B&amp;G</v>
      </c>
      <c r="J38" s="16"/>
      <c r="L38" s="15" t="str">
        <f t="shared" ref="L38:S38" si="37">L1</f>
        <v>Operating</v>
      </c>
      <c r="M38" s="15" t="str">
        <f t="shared" si="37"/>
        <v>SPED</v>
      </c>
      <c r="N38" s="15" t="str">
        <f t="shared" si="37"/>
        <v>NSLP</v>
      </c>
      <c r="O38" s="15" t="str">
        <f t="shared" si="37"/>
        <v>Other</v>
      </c>
      <c r="P38" s="15" t="str">
        <f t="shared" si="37"/>
        <v>Title I</v>
      </c>
      <c r="Q38" s="15" t="str">
        <f t="shared" si="37"/>
        <v>Title II</v>
      </c>
      <c r="R38" s="15" t="str">
        <f t="shared" si="37"/>
        <v>Title III</v>
      </c>
      <c r="S38" s="15" t="str">
        <f t="shared" si="37"/>
        <v>New</v>
      </c>
      <c r="T38" s="16"/>
      <c r="V38" s="15" t="str">
        <f t="shared" ref="V38:AC38" si="38">V1</f>
        <v>Operating</v>
      </c>
      <c r="W38" s="15" t="str">
        <f t="shared" si="38"/>
        <v>SPED</v>
      </c>
      <c r="X38" s="15" t="str">
        <f t="shared" si="38"/>
        <v>NSLP</v>
      </c>
      <c r="Y38" s="15" t="str">
        <f t="shared" si="38"/>
        <v>Other</v>
      </c>
      <c r="Z38" s="15" t="str">
        <f t="shared" si="38"/>
        <v>Title I</v>
      </c>
      <c r="AA38" s="15" t="str">
        <f t="shared" si="38"/>
        <v>Title II</v>
      </c>
      <c r="AB38" s="15" t="str">
        <f t="shared" si="38"/>
        <v>Title III</v>
      </c>
      <c r="AC38" s="15" t="str">
        <f t="shared" si="38"/>
        <v>MANN</v>
      </c>
    </row>
    <row r="39" spans="1:29" x14ac:dyDescent="0.35">
      <c r="A39" s="25" t="s">
        <v>40</v>
      </c>
      <c r="B39" s="22">
        <v>1</v>
      </c>
      <c r="C39" s="22"/>
      <c r="D39" s="22"/>
      <c r="E39" s="22"/>
      <c r="F39" s="22"/>
      <c r="G39" s="22"/>
      <c r="H39" s="22"/>
      <c r="I39" s="21">
        <f t="shared" ref="I39:I60" si="39">SUM(B39:H39)</f>
        <v>1</v>
      </c>
      <c r="J39" s="11"/>
      <c r="L39" s="22">
        <v>1</v>
      </c>
      <c r="M39" s="22"/>
      <c r="N39" s="22"/>
      <c r="O39" s="22"/>
      <c r="P39" s="22"/>
      <c r="Q39" s="22"/>
      <c r="R39" s="22"/>
      <c r="S39" s="21">
        <f t="shared" ref="S39" si="40">SUM(L39:R39)</f>
        <v>1</v>
      </c>
      <c r="T39" s="11"/>
      <c r="V39" s="22">
        <f>B39+L39</f>
        <v>2</v>
      </c>
      <c r="W39" s="22">
        <f t="shared" ref="W39:Y54" si="41">C39+M39</f>
        <v>0</v>
      </c>
      <c r="X39" s="22">
        <f t="shared" si="41"/>
        <v>0</v>
      </c>
      <c r="Y39" s="22">
        <f t="shared" si="41"/>
        <v>0</v>
      </c>
      <c r="Z39" s="22"/>
      <c r="AA39" s="22"/>
      <c r="AB39" s="22"/>
      <c r="AC39" s="21">
        <f t="shared" ref="AC39" si="42">SUM(V39:AB39)</f>
        <v>2</v>
      </c>
    </row>
    <row r="40" spans="1:29" x14ac:dyDescent="0.35">
      <c r="A40" s="25" t="s">
        <v>41</v>
      </c>
      <c r="B40" s="22">
        <v>1</v>
      </c>
      <c r="C40" s="22"/>
      <c r="D40" s="22"/>
      <c r="E40" s="22"/>
      <c r="F40" s="22"/>
      <c r="G40" s="22"/>
      <c r="H40" s="22"/>
      <c r="I40" s="21">
        <f>SUM(B40:H40)</f>
        <v>1</v>
      </c>
      <c r="J40" s="11"/>
      <c r="L40" s="22">
        <v>3</v>
      </c>
      <c r="M40" s="22"/>
      <c r="N40" s="22"/>
      <c r="O40" s="22"/>
      <c r="P40" s="22"/>
      <c r="Q40" s="22"/>
      <c r="R40" s="22"/>
      <c r="S40" s="21">
        <f>SUM(L40:R40)</f>
        <v>3</v>
      </c>
      <c r="T40" s="11"/>
      <c r="V40" s="22">
        <f t="shared" ref="V40:Y60" si="43">B40+L40</f>
        <v>4</v>
      </c>
      <c r="W40" s="22">
        <f t="shared" si="41"/>
        <v>0</v>
      </c>
      <c r="X40" s="22">
        <f t="shared" si="41"/>
        <v>0</v>
      </c>
      <c r="Y40" s="22">
        <f t="shared" si="41"/>
        <v>0</v>
      </c>
      <c r="Z40" s="22"/>
      <c r="AA40" s="22"/>
      <c r="AB40" s="22"/>
      <c r="AC40" s="21">
        <f>SUM(V40:AB40)</f>
        <v>4</v>
      </c>
    </row>
    <row r="41" spans="1:29" x14ac:dyDescent="0.35">
      <c r="A41" s="26" t="s">
        <v>34</v>
      </c>
      <c r="B41" s="22">
        <v>0</v>
      </c>
      <c r="C41" s="22"/>
      <c r="D41" s="22"/>
      <c r="E41" s="22"/>
      <c r="F41" s="22"/>
      <c r="G41" s="22"/>
      <c r="H41" s="22"/>
      <c r="I41" s="21">
        <f>SUM(B41:H41)</f>
        <v>0</v>
      </c>
      <c r="J41" s="11"/>
      <c r="L41" s="22">
        <v>1</v>
      </c>
      <c r="M41" s="22"/>
      <c r="N41" s="22"/>
      <c r="O41" s="22"/>
      <c r="P41" s="22"/>
      <c r="Q41" s="22"/>
      <c r="R41" s="22"/>
      <c r="S41" s="21">
        <f>SUM(L41:R41)</f>
        <v>1</v>
      </c>
      <c r="T41" s="11"/>
      <c r="V41" s="22">
        <f t="shared" si="43"/>
        <v>1</v>
      </c>
      <c r="W41" s="22">
        <f t="shared" si="41"/>
        <v>0</v>
      </c>
      <c r="X41" s="22">
        <f t="shared" si="41"/>
        <v>0</v>
      </c>
      <c r="Y41" s="22">
        <f t="shared" si="41"/>
        <v>0</v>
      </c>
      <c r="Z41" s="22"/>
      <c r="AA41" s="22"/>
      <c r="AB41" s="22"/>
      <c r="AC41" s="21">
        <f>SUM(V41:AB41)</f>
        <v>1</v>
      </c>
    </row>
    <row r="42" spans="1:29" x14ac:dyDescent="0.35">
      <c r="A42" s="27" t="s">
        <v>36</v>
      </c>
      <c r="B42" s="22">
        <v>0</v>
      </c>
      <c r="C42" s="22"/>
      <c r="D42" s="22"/>
      <c r="E42" s="22"/>
      <c r="F42" s="22"/>
      <c r="G42" s="22"/>
      <c r="H42" s="22"/>
      <c r="I42" s="21">
        <f>SUM(B42:H42)</f>
        <v>0</v>
      </c>
      <c r="J42" s="11"/>
      <c r="L42" s="22">
        <v>0</v>
      </c>
      <c r="M42" s="22"/>
      <c r="N42" s="22"/>
      <c r="O42" s="22"/>
      <c r="P42" s="22"/>
      <c r="Q42" s="22"/>
      <c r="R42" s="22"/>
      <c r="S42" s="21">
        <f>SUM(L42:R42)</f>
        <v>0</v>
      </c>
      <c r="T42" s="11"/>
      <c r="V42" s="22">
        <f t="shared" si="43"/>
        <v>0</v>
      </c>
      <c r="W42" s="22">
        <f t="shared" si="41"/>
        <v>0</v>
      </c>
      <c r="X42" s="22">
        <f t="shared" si="41"/>
        <v>0</v>
      </c>
      <c r="Y42" s="22">
        <f t="shared" si="41"/>
        <v>0</v>
      </c>
      <c r="Z42" s="22"/>
      <c r="AA42" s="22"/>
      <c r="AB42" s="22"/>
      <c r="AC42" s="21">
        <f>SUM(V42:AB42)</f>
        <v>0</v>
      </c>
    </row>
    <row r="43" spans="1:29" x14ac:dyDescent="0.35">
      <c r="A43" s="27" t="s">
        <v>38</v>
      </c>
      <c r="B43" s="22">
        <v>1</v>
      </c>
      <c r="C43" s="22"/>
      <c r="D43" s="22"/>
      <c r="E43" s="22"/>
      <c r="F43" s="22"/>
      <c r="G43" s="22"/>
      <c r="H43" s="22"/>
      <c r="I43" s="21">
        <f>SUM(B43:H43)</f>
        <v>1</v>
      </c>
      <c r="J43" s="11"/>
      <c r="L43" s="22">
        <v>2</v>
      </c>
      <c r="M43" s="22"/>
      <c r="N43" s="22"/>
      <c r="O43" s="22"/>
      <c r="P43" s="22"/>
      <c r="Q43" s="22"/>
      <c r="R43" s="22"/>
      <c r="S43" s="21">
        <f>SUM(L43:R43)</f>
        <v>2</v>
      </c>
      <c r="T43" s="11"/>
      <c r="V43" s="22">
        <f t="shared" si="43"/>
        <v>3</v>
      </c>
      <c r="W43" s="22">
        <f t="shared" si="41"/>
        <v>0</v>
      </c>
      <c r="X43" s="22">
        <f t="shared" si="41"/>
        <v>0</v>
      </c>
      <c r="Y43" s="22">
        <f t="shared" si="41"/>
        <v>0</v>
      </c>
      <c r="Z43" s="22"/>
      <c r="AA43" s="22"/>
      <c r="AB43" s="22"/>
      <c r="AC43" s="21">
        <f>SUM(V43:AB43)</f>
        <v>3</v>
      </c>
    </row>
    <row r="44" spans="1:29" x14ac:dyDescent="0.35">
      <c r="A44" s="27" t="s">
        <v>46</v>
      </c>
      <c r="B44" s="22">
        <v>1</v>
      </c>
      <c r="C44" s="22"/>
      <c r="D44" s="22"/>
      <c r="E44" s="22"/>
      <c r="F44" s="22"/>
      <c r="G44" s="22"/>
      <c r="H44" s="22"/>
      <c r="I44" s="21">
        <f>SUM(B44:H44)</f>
        <v>1</v>
      </c>
      <c r="J44" s="11"/>
      <c r="L44" s="22">
        <v>3</v>
      </c>
      <c r="M44" s="22"/>
      <c r="N44" s="22"/>
      <c r="O44" s="22"/>
      <c r="P44" s="22"/>
      <c r="Q44" s="22"/>
      <c r="R44" s="22"/>
      <c r="S44" s="21">
        <f>SUM(L44:R44)</f>
        <v>3</v>
      </c>
      <c r="T44" s="11"/>
      <c r="V44" s="22">
        <f t="shared" si="43"/>
        <v>4</v>
      </c>
      <c r="W44" s="22">
        <f t="shared" si="41"/>
        <v>0</v>
      </c>
      <c r="X44" s="22">
        <f t="shared" si="41"/>
        <v>0</v>
      </c>
      <c r="Y44" s="22">
        <f t="shared" si="41"/>
        <v>0</v>
      </c>
      <c r="Z44" s="22"/>
      <c r="AA44" s="22"/>
      <c r="AB44" s="22"/>
      <c r="AC44" s="21">
        <f>SUM(V44:AB44)</f>
        <v>4</v>
      </c>
    </row>
    <row r="45" spans="1:29" x14ac:dyDescent="0.35">
      <c r="A45" s="27" t="s">
        <v>48</v>
      </c>
      <c r="B45" s="22">
        <v>0</v>
      </c>
      <c r="C45" s="22"/>
      <c r="D45" s="22"/>
      <c r="E45" s="22"/>
      <c r="F45" s="22"/>
      <c r="G45" s="22"/>
      <c r="H45" s="22"/>
      <c r="I45" s="21">
        <f t="shared" si="39"/>
        <v>0</v>
      </c>
      <c r="J45" s="11"/>
      <c r="L45" s="22">
        <v>1</v>
      </c>
      <c r="M45" s="22"/>
      <c r="N45" s="22"/>
      <c r="O45" s="22"/>
      <c r="P45" s="22"/>
      <c r="Q45" s="22"/>
      <c r="R45" s="22"/>
      <c r="S45" s="21">
        <f t="shared" ref="S45:S46" si="44">SUM(L45:R45)</f>
        <v>1</v>
      </c>
      <c r="T45" s="11"/>
      <c r="V45" s="22">
        <f t="shared" si="43"/>
        <v>1</v>
      </c>
      <c r="W45" s="22">
        <f t="shared" si="41"/>
        <v>0</v>
      </c>
      <c r="X45" s="22">
        <f t="shared" si="41"/>
        <v>0</v>
      </c>
      <c r="Y45" s="22">
        <f t="shared" si="41"/>
        <v>0</v>
      </c>
      <c r="Z45" s="22"/>
      <c r="AA45" s="22"/>
      <c r="AB45" s="22"/>
      <c r="AC45" s="21">
        <f t="shared" ref="AC45:AC46" si="45">SUM(V45:AB45)</f>
        <v>1</v>
      </c>
    </row>
    <row r="46" spans="1:29" x14ac:dyDescent="0.35">
      <c r="A46" s="25" t="s">
        <v>49</v>
      </c>
      <c r="B46" s="22">
        <v>1</v>
      </c>
      <c r="C46" s="22"/>
      <c r="D46" s="22"/>
      <c r="E46" s="22"/>
      <c r="F46" s="22"/>
      <c r="G46" s="22"/>
      <c r="H46" s="22"/>
      <c r="I46" s="21">
        <f t="shared" si="39"/>
        <v>1</v>
      </c>
      <c r="J46" s="11"/>
      <c r="L46" s="22">
        <v>2</v>
      </c>
      <c r="M46" s="22"/>
      <c r="N46" s="22"/>
      <c r="O46" s="22"/>
      <c r="P46" s="22"/>
      <c r="Q46" s="22"/>
      <c r="R46" s="22"/>
      <c r="S46" s="21">
        <f t="shared" si="44"/>
        <v>2</v>
      </c>
      <c r="T46" s="11"/>
      <c r="V46" s="22">
        <f t="shared" si="43"/>
        <v>3</v>
      </c>
      <c r="W46" s="22">
        <f t="shared" si="41"/>
        <v>0</v>
      </c>
      <c r="X46" s="22">
        <f t="shared" si="41"/>
        <v>0</v>
      </c>
      <c r="Y46" s="22">
        <f t="shared" si="41"/>
        <v>0</v>
      </c>
      <c r="Z46" s="22"/>
      <c r="AA46" s="22"/>
      <c r="AB46" s="22"/>
      <c r="AC46" s="21">
        <f t="shared" si="45"/>
        <v>3</v>
      </c>
    </row>
    <row r="47" spans="1:29" x14ac:dyDescent="0.35">
      <c r="A47" s="25" t="s">
        <v>50</v>
      </c>
      <c r="B47" s="22">
        <v>1</v>
      </c>
      <c r="C47" s="22"/>
      <c r="D47" s="22"/>
      <c r="E47" s="22"/>
      <c r="F47" s="22"/>
      <c r="G47" s="22"/>
      <c r="H47" s="22"/>
      <c r="I47" s="21">
        <f>SUM(B47:H47)</f>
        <v>1</v>
      </c>
      <c r="J47" s="11"/>
      <c r="L47" s="22">
        <v>2</v>
      </c>
      <c r="M47" s="22"/>
      <c r="N47" s="22"/>
      <c r="O47" s="22"/>
      <c r="P47" s="22"/>
      <c r="Q47" s="22"/>
      <c r="R47" s="22"/>
      <c r="S47" s="21">
        <f>SUM(L47:R47)</f>
        <v>2</v>
      </c>
      <c r="T47" s="11"/>
      <c r="V47" s="22">
        <f t="shared" si="43"/>
        <v>3</v>
      </c>
      <c r="W47" s="22">
        <f t="shared" si="41"/>
        <v>0</v>
      </c>
      <c r="X47" s="22">
        <f t="shared" si="41"/>
        <v>0</v>
      </c>
      <c r="Y47" s="22">
        <f t="shared" si="41"/>
        <v>0</v>
      </c>
      <c r="Z47" s="22"/>
      <c r="AA47" s="22"/>
      <c r="AB47" s="22"/>
      <c r="AC47" s="21">
        <f>SUM(V47:AB47)</f>
        <v>3</v>
      </c>
    </row>
    <row r="48" spans="1:29" x14ac:dyDescent="0.35">
      <c r="A48" s="25" t="s">
        <v>52</v>
      </c>
      <c r="B48" s="22">
        <v>1</v>
      </c>
      <c r="C48" s="22"/>
      <c r="D48" s="22"/>
      <c r="E48" s="22"/>
      <c r="F48" s="22"/>
      <c r="G48" s="22"/>
      <c r="H48" s="22"/>
      <c r="I48" s="21">
        <f t="shared" si="39"/>
        <v>1</v>
      </c>
      <c r="J48" s="11"/>
      <c r="L48" s="22">
        <v>1</v>
      </c>
      <c r="M48" s="22"/>
      <c r="N48" s="22"/>
      <c r="O48" s="22"/>
      <c r="P48" s="22"/>
      <c r="Q48" s="22"/>
      <c r="R48" s="22"/>
      <c r="S48" s="21">
        <f t="shared" ref="S48" si="46">SUM(L48:R48)</f>
        <v>1</v>
      </c>
      <c r="T48" s="11"/>
      <c r="V48" s="22">
        <f t="shared" si="43"/>
        <v>2</v>
      </c>
      <c r="W48" s="22">
        <f t="shared" si="41"/>
        <v>0</v>
      </c>
      <c r="X48" s="22">
        <f t="shared" si="41"/>
        <v>0</v>
      </c>
      <c r="Y48" s="22">
        <f t="shared" si="41"/>
        <v>0</v>
      </c>
      <c r="Z48" s="22"/>
      <c r="AA48" s="22"/>
      <c r="AB48" s="22"/>
      <c r="AC48" s="21">
        <f t="shared" ref="AC48" si="47">SUM(V48:AB48)</f>
        <v>2</v>
      </c>
    </row>
    <row r="49" spans="1:29" x14ac:dyDescent="0.35">
      <c r="A49" s="25" t="s">
        <v>53</v>
      </c>
      <c r="B49" s="22">
        <v>0</v>
      </c>
      <c r="C49" s="22"/>
      <c r="D49" s="22"/>
      <c r="E49" s="22"/>
      <c r="F49" s="22"/>
      <c r="G49" s="22"/>
      <c r="H49" s="22"/>
      <c r="I49" s="21">
        <f>SUM(B49:H49)</f>
        <v>0</v>
      </c>
      <c r="J49" s="11"/>
      <c r="L49" s="22">
        <v>1</v>
      </c>
      <c r="M49" s="22"/>
      <c r="N49" s="22"/>
      <c r="O49" s="22"/>
      <c r="P49" s="22"/>
      <c r="Q49" s="22"/>
      <c r="R49" s="22"/>
      <c r="S49" s="21">
        <f>SUM(L49:R49)</f>
        <v>1</v>
      </c>
      <c r="T49" s="11"/>
      <c r="V49" s="22">
        <f t="shared" si="43"/>
        <v>1</v>
      </c>
      <c r="W49" s="22">
        <f t="shared" si="41"/>
        <v>0</v>
      </c>
      <c r="X49" s="22">
        <f t="shared" si="41"/>
        <v>0</v>
      </c>
      <c r="Y49" s="22">
        <f t="shared" si="41"/>
        <v>0</v>
      </c>
      <c r="Z49" s="22"/>
      <c r="AA49" s="22"/>
      <c r="AB49" s="22"/>
      <c r="AC49" s="21">
        <f>SUM(V49:AB49)</f>
        <v>1</v>
      </c>
    </row>
    <row r="50" spans="1:29" x14ac:dyDescent="0.35">
      <c r="A50" s="25" t="s">
        <v>51</v>
      </c>
      <c r="B50" s="22">
        <v>5</v>
      </c>
      <c r="C50" s="22">
        <v>3</v>
      </c>
      <c r="D50" s="22">
        <v>2</v>
      </c>
      <c r="E50" s="22"/>
      <c r="F50" s="22"/>
      <c r="G50" s="22"/>
      <c r="H50" s="22"/>
      <c r="I50" s="21">
        <f>SUM(B50:H50)</f>
        <v>10</v>
      </c>
      <c r="J50" s="11"/>
      <c r="L50" s="22">
        <v>8</v>
      </c>
      <c r="M50" s="22">
        <v>7</v>
      </c>
      <c r="N50" s="22">
        <v>4</v>
      </c>
      <c r="O50" s="22"/>
      <c r="P50" s="22"/>
      <c r="Q50" s="22"/>
      <c r="R50" s="22"/>
      <c r="S50" s="21">
        <f>SUM(L50:R50)</f>
        <v>19</v>
      </c>
      <c r="T50" s="11"/>
      <c r="V50" s="22">
        <f t="shared" si="43"/>
        <v>13</v>
      </c>
      <c r="W50" s="22">
        <f t="shared" si="41"/>
        <v>10</v>
      </c>
      <c r="X50" s="22">
        <f t="shared" si="41"/>
        <v>6</v>
      </c>
      <c r="Y50" s="22">
        <f t="shared" si="41"/>
        <v>0</v>
      </c>
      <c r="Z50" s="22"/>
      <c r="AA50" s="22"/>
      <c r="AB50" s="22"/>
      <c r="AC50" s="21">
        <f>SUM(V50:AB50)</f>
        <v>29</v>
      </c>
    </row>
    <row r="51" spans="1:29" x14ac:dyDescent="0.35">
      <c r="A51" s="25" t="s">
        <v>54</v>
      </c>
      <c r="B51" s="22">
        <v>0</v>
      </c>
      <c r="C51" s="22"/>
      <c r="D51" s="22"/>
      <c r="E51" s="22"/>
      <c r="F51" s="22"/>
      <c r="G51" s="22"/>
      <c r="H51" s="22"/>
      <c r="I51" s="21">
        <f t="shared" si="39"/>
        <v>0</v>
      </c>
      <c r="J51" s="11"/>
      <c r="L51" s="22">
        <v>6</v>
      </c>
      <c r="M51" s="22"/>
      <c r="N51" s="22"/>
      <c r="O51" s="22"/>
      <c r="P51" s="22"/>
      <c r="Q51" s="22"/>
      <c r="R51" s="22"/>
      <c r="S51" s="21">
        <f t="shared" ref="S51" si="48">SUM(L51:R51)</f>
        <v>6</v>
      </c>
      <c r="T51" s="11"/>
      <c r="V51" s="22">
        <f t="shared" si="43"/>
        <v>6</v>
      </c>
      <c r="W51" s="22">
        <f t="shared" si="41"/>
        <v>0</v>
      </c>
      <c r="X51" s="22">
        <f t="shared" si="41"/>
        <v>0</v>
      </c>
      <c r="Y51" s="22">
        <f t="shared" si="41"/>
        <v>0</v>
      </c>
      <c r="Z51" s="22"/>
      <c r="AA51" s="22"/>
      <c r="AB51" s="22"/>
      <c r="AC51" s="21">
        <f t="shared" ref="AC51" si="49">SUM(V51:AB51)</f>
        <v>6</v>
      </c>
    </row>
    <row r="52" spans="1:29" x14ac:dyDescent="0.35">
      <c r="A52" s="25" t="s">
        <v>56</v>
      </c>
      <c r="B52" s="22"/>
      <c r="C52" s="22"/>
      <c r="D52" s="22"/>
      <c r="E52" s="22"/>
      <c r="F52" s="22"/>
      <c r="G52" s="22"/>
      <c r="H52" s="22"/>
      <c r="I52" s="21">
        <f>SUM(B52:H52)</f>
        <v>0</v>
      </c>
      <c r="J52" s="11"/>
      <c r="L52" s="22"/>
      <c r="M52" s="22"/>
      <c r="N52" s="22">
        <v>1</v>
      </c>
      <c r="O52" s="22"/>
      <c r="P52" s="22"/>
      <c r="Q52" s="22"/>
      <c r="R52" s="22"/>
      <c r="S52" s="21">
        <f>SUM(L52:R52)</f>
        <v>1</v>
      </c>
      <c r="T52" s="11"/>
      <c r="V52" s="22">
        <f t="shared" si="43"/>
        <v>0</v>
      </c>
      <c r="W52" s="22">
        <f t="shared" si="41"/>
        <v>0</v>
      </c>
      <c r="X52" s="22">
        <f t="shared" si="41"/>
        <v>1</v>
      </c>
      <c r="Y52" s="22">
        <f t="shared" si="41"/>
        <v>0</v>
      </c>
      <c r="Z52" s="22"/>
      <c r="AA52" s="22"/>
      <c r="AB52" s="22"/>
      <c r="AC52" s="21">
        <f>SUM(V52:AB52)</f>
        <v>1</v>
      </c>
    </row>
    <row r="53" spans="1:29" x14ac:dyDescent="0.35">
      <c r="A53" s="25" t="s">
        <v>57</v>
      </c>
      <c r="B53" s="22">
        <v>0</v>
      </c>
      <c r="C53" s="22"/>
      <c r="D53" s="22"/>
      <c r="E53" s="22"/>
      <c r="F53" s="22"/>
      <c r="G53" s="22"/>
      <c r="H53" s="22"/>
      <c r="I53" s="21">
        <f t="shared" si="39"/>
        <v>0</v>
      </c>
      <c r="J53" s="6"/>
      <c r="L53" s="22">
        <v>0</v>
      </c>
      <c r="M53" s="22"/>
      <c r="N53" s="22"/>
      <c r="O53" s="22"/>
      <c r="P53" s="22"/>
      <c r="Q53" s="22"/>
      <c r="R53" s="22"/>
      <c r="S53" s="21">
        <f t="shared" ref="S53:S55" si="50">SUM(L53:R53)</f>
        <v>0</v>
      </c>
      <c r="T53" s="6"/>
      <c r="V53" s="22">
        <f t="shared" si="43"/>
        <v>0</v>
      </c>
      <c r="W53" s="22">
        <f t="shared" si="41"/>
        <v>0</v>
      </c>
      <c r="X53" s="22">
        <f t="shared" si="41"/>
        <v>0</v>
      </c>
      <c r="Y53" s="22">
        <f t="shared" si="41"/>
        <v>0</v>
      </c>
      <c r="Z53" s="22"/>
      <c r="AA53" s="22"/>
      <c r="AB53" s="22"/>
      <c r="AC53" s="21">
        <f t="shared" ref="AC53:AC55" si="51">SUM(V53:AB53)</f>
        <v>0</v>
      </c>
    </row>
    <row r="54" spans="1:29" x14ac:dyDescent="0.35">
      <c r="A54" s="26" t="s">
        <v>42</v>
      </c>
      <c r="B54" s="22"/>
      <c r="C54" s="22">
        <v>0</v>
      </c>
      <c r="D54" s="22"/>
      <c r="E54" s="22"/>
      <c r="F54" s="22"/>
      <c r="G54" s="22"/>
      <c r="H54" s="22"/>
      <c r="I54" s="21">
        <f t="shared" si="39"/>
        <v>0</v>
      </c>
      <c r="J54" s="6"/>
      <c r="L54" s="22"/>
      <c r="M54" s="22">
        <v>0</v>
      </c>
      <c r="N54" s="22"/>
      <c r="O54" s="22"/>
      <c r="P54" s="22"/>
      <c r="Q54" s="22"/>
      <c r="R54" s="22"/>
      <c r="S54" s="21">
        <f t="shared" si="50"/>
        <v>0</v>
      </c>
      <c r="T54" s="6"/>
      <c r="V54" s="22">
        <f t="shared" si="43"/>
        <v>0</v>
      </c>
      <c r="W54" s="22">
        <f t="shared" si="41"/>
        <v>0</v>
      </c>
      <c r="X54" s="22">
        <f t="shared" si="41"/>
        <v>0</v>
      </c>
      <c r="Y54" s="22">
        <f t="shared" si="41"/>
        <v>0</v>
      </c>
      <c r="Z54" s="22"/>
      <c r="AA54" s="22"/>
      <c r="AB54" s="22"/>
      <c r="AC54" s="21">
        <f t="shared" si="51"/>
        <v>0</v>
      </c>
    </row>
    <row r="55" spans="1:29" x14ac:dyDescent="0.35">
      <c r="A55" s="26" t="s">
        <v>43</v>
      </c>
      <c r="B55" s="22"/>
      <c r="C55" s="22">
        <v>1</v>
      </c>
      <c r="D55" s="22"/>
      <c r="E55" s="22"/>
      <c r="F55" s="22"/>
      <c r="G55" s="22"/>
      <c r="H55" s="22"/>
      <c r="I55" s="21">
        <f t="shared" si="39"/>
        <v>1</v>
      </c>
      <c r="J55" s="6"/>
      <c r="L55" s="22"/>
      <c r="M55" s="22">
        <v>0</v>
      </c>
      <c r="N55" s="22"/>
      <c r="O55" s="22"/>
      <c r="P55" s="22"/>
      <c r="Q55" s="22"/>
      <c r="R55" s="22"/>
      <c r="S55" s="21">
        <f t="shared" si="50"/>
        <v>0</v>
      </c>
      <c r="T55" s="6"/>
      <c r="V55" s="22">
        <f t="shared" si="43"/>
        <v>0</v>
      </c>
      <c r="W55" s="22">
        <f t="shared" si="43"/>
        <v>1</v>
      </c>
      <c r="X55" s="22">
        <f t="shared" si="43"/>
        <v>0</v>
      </c>
      <c r="Y55" s="22">
        <f t="shared" si="43"/>
        <v>0</v>
      </c>
      <c r="Z55" s="22"/>
      <c r="AA55" s="22"/>
      <c r="AB55" s="22"/>
      <c r="AC55" s="21">
        <f t="shared" si="51"/>
        <v>1</v>
      </c>
    </row>
    <row r="56" spans="1:29" x14ac:dyDescent="0.35">
      <c r="A56" s="26" t="s">
        <v>44</v>
      </c>
      <c r="B56" s="22"/>
      <c r="C56" s="22">
        <v>0</v>
      </c>
      <c r="D56" s="22"/>
      <c r="E56" s="22"/>
      <c r="F56" s="22"/>
      <c r="G56" s="22"/>
      <c r="H56" s="22"/>
      <c r="I56" s="21">
        <f>SUM(B56:H56)</f>
        <v>0</v>
      </c>
      <c r="J56" s="6"/>
      <c r="L56" s="22"/>
      <c r="M56" s="22">
        <v>0</v>
      </c>
      <c r="N56" s="22"/>
      <c r="O56" s="22"/>
      <c r="P56" s="22"/>
      <c r="Q56" s="22"/>
      <c r="R56" s="22"/>
      <c r="S56" s="21">
        <f>SUM(L56:R56)</f>
        <v>0</v>
      </c>
      <c r="T56" s="6"/>
      <c r="V56" s="22">
        <f t="shared" si="43"/>
        <v>0</v>
      </c>
      <c r="W56" s="22">
        <f t="shared" si="43"/>
        <v>0</v>
      </c>
      <c r="X56" s="22">
        <f t="shared" si="43"/>
        <v>0</v>
      </c>
      <c r="Y56" s="22">
        <f t="shared" si="43"/>
        <v>0</v>
      </c>
      <c r="Z56" s="22"/>
      <c r="AA56" s="22"/>
      <c r="AB56" s="22"/>
      <c r="AC56" s="21">
        <f>SUM(V56:AB56)</f>
        <v>0</v>
      </c>
    </row>
    <row r="57" spans="1:29" x14ac:dyDescent="0.35">
      <c r="A57" s="26" t="s">
        <v>45</v>
      </c>
      <c r="B57" s="22"/>
      <c r="C57" s="22"/>
      <c r="D57" s="22"/>
      <c r="E57" s="22"/>
      <c r="F57" s="22"/>
      <c r="G57" s="22"/>
      <c r="H57" s="22"/>
      <c r="I57" s="21">
        <f t="shared" si="39"/>
        <v>0</v>
      </c>
      <c r="J57" s="6"/>
      <c r="L57" s="22"/>
      <c r="M57" s="22"/>
      <c r="N57" s="22"/>
      <c r="O57" s="22"/>
      <c r="P57" s="22"/>
      <c r="Q57" s="22"/>
      <c r="R57" s="22"/>
      <c r="S57" s="21">
        <f t="shared" ref="S57" si="52">SUM(L57:R57)</f>
        <v>0</v>
      </c>
      <c r="T57" s="6"/>
      <c r="V57" s="22">
        <f t="shared" si="43"/>
        <v>0</v>
      </c>
      <c r="W57" s="22">
        <f t="shared" si="43"/>
        <v>0</v>
      </c>
      <c r="X57" s="22">
        <f t="shared" si="43"/>
        <v>0</v>
      </c>
      <c r="Y57" s="22">
        <f t="shared" si="43"/>
        <v>0</v>
      </c>
      <c r="Z57" s="22"/>
      <c r="AA57" s="22"/>
      <c r="AB57" s="22"/>
      <c r="AC57" s="21">
        <f t="shared" ref="AC57" si="53">SUM(V57:AB57)</f>
        <v>0</v>
      </c>
    </row>
    <row r="58" spans="1:29" x14ac:dyDescent="0.35">
      <c r="A58" s="26" t="s">
        <v>47</v>
      </c>
      <c r="B58" s="22">
        <v>0</v>
      </c>
      <c r="C58" s="22"/>
      <c r="D58" s="22"/>
      <c r="E58" s="22"/>
      <c r="F58" s="22"/>
      <c r="G58" s="22"/>
      <c r="H58" s="22"/>
      <c r="I58" s="21">
        <f>SUM(B58:H58)</f>
        <v>0</v>
      </c>
      <c r="J58" s="6"/>
      <c r="L58" s="22">
        <v>0</v>
      </c>
      <c r="M58" s="22"/>
      <c r="N58" s="22"/>
      <c r="O58" s="22"/>
      <c r="P58" s="22"/>
      <c r="Q58" s="22"/>
      <c r="R58" s="22"/>
      <c r="S58" s="21">
        <f>SUM(L58:R58)</f>
        <v>0</v>
      </c>
      <c r="T58" s="6"/>
      <c r="V58" s="22">
        <f t="shared" si="43"/>
        <v>0</v>
      </c>
      <c r="W58" s="22">
        <f t="shared" si="43"/>
        <v>0</v>
      </c>
      <c r="X58" s="22">
        <f t="shared" si="43"/>
        <v>0</v>
      </c>
      <c r="Y58" s="22">
        <f t="shared" si="43"/>
        <v>0</v>
      </c>
      <c r="Z58" s="22"/>
      <c r="AA58" s="22"/>
      <c r="AB58" s="22"/>
      <c r="AC58" s="21">
        <f>SUM(V58:AB58)</f>
        <v>0</v>
      </c>
    </row>
    <row r="59" spans="1:29" x14ac:dyDescent="0.35">
      <c r="A59" s="26" t="s">
        <v>55</v>
      </c>
      <c r="B59" s="22">
        <v>0</v>
      </c>
      <c r="C59" s="22"/>
      <c r="D59" s="22"/>
      <c r="E59" s="22"/>
      <c r="F59" s="22"/>
      <c r="G59" s="22"/>
      <c r="H59" s="22"/>
      <c r="I59" s="21">
        <f t="shared" si="39"/>
        <v>0</v>
      </c>
      <c r="J59" s="6"/>
      <c r="L59" s="22">
        <v>0</v>
      </c>
      <c r="M59" s="22"/>
      <c r="N59" s="22"/>
      <c r="O59" s="22"/>
      <c r="P59" s="22"/>
      <c r="Q59" s="22"/>
      <c r="R59" s="22"/>
      <c r="S59" s="21">
        <f t="shared" ref="S59:S60" si="54">SUM(L59:R59)</f>
        <v>0</v>
      </c>
      <c r="T59" s="6"/>
      <c r="V59" s="22">
        <f t="shared" si="43"/>
        <v>0</v>
      </c>
      <c r="W59" s="22">
        <f t="shared" si="43"/>
        <v>0</v>
      </c>
      <c r="X59" s="22">
        <f t="shared" si="43"/>
        <v>0</v>
      </c>
      <c r="Y59" s="22">
        <f t="shared" si="43"/>
        <v>0</v>
      </c>
      <c r="Z59" s="22"/>
      <c r="AA59" s="22"/>
      <c r="AB59" s="22"/>
      <c r="AC59" s="21">
        <f t="shared" ref="AC59:AC60" si="55">SUM(V59:AB59)</f>
        <v>0</v>
      </c>
    </row>
    <row r="60" spans="1:29" x14ac:dyDescent="0.35">
      <c r="A60" s="25" t="s">
        <v>307</v>
      </c>
      <c r="B60" s="21"/>
      <c r="C60" s="21"/>
      <c r="D60" s="21"/>
      <c r="E60" s="21"/>
      <c r="F60" s="21"/>
      <c r="G60" s="21"/>
      <c r="H60" s="21"/>
      <c r="I60" s="21">
        <f t="shared" si="39"/>
        <v>0</v>
      </c>
      <c r="J60" s="6"/>
      <c r="L60" s="21"/>
      <c r="M60" s="21"/>
      <c r="N60" s="21"/>
      <c r="O60" s="21"/>
      <c r="P60" s="21"/>
      <c r="Q60" s="21"/>
      <c r="R60" s="21"/>
      <c r="S60" s="21">
        <f t="shared" si="54"/>
        <v>0</v>
      </c>
      <c r="T60" s="6"/>
      <c r="V60" s="22">
        <f t="shared" si="43"/>
        <v>0</v>
      </c>
      <c r="W60" s="22">
        <f t="shared" si="43"/>
        <v>0</v>
      </c>
      <c r="X60" s="22">
        <f t="shared" si="43"/>
        <v>0</v>
      </c>
      <c r="Y60" s="22">
        <f t="shared" si="43"/>
        <v>0</v>
      </c>
      <c r="Z60" s="21"/>
      <c r="AA60" s="21"/>
      <c r="AB60" s="21"/>
      <c r="AC60" s="21">
        <f t="shared" si="55"/>
        <v>0</v>
      </c>
    </row>
    <row r="61" spans="1:29" x14ac:dyDescent="0.35">
      <c r="A61" s="20" t="s">
        <v>58</v>
      </c>
      <c r="B61" s="28">
        <f t="shared" ref="B61:I61" si="56">SUM(B39:B60)</f>
        <v>12</v>
      </c>
      <c r="C61" s="28">
        <f t="shared" si="56"/>
        <v>4</v>
      </c>
      <c r="D61" s="28">
        <f t="shared" si="56"/>
        <v>2</v>
      </c>
      <c r="E61" s="28">
        <f t="shared" si="56"/>
        <v>0</v>
      </c>
      <c r="F61" s="28">
        <f t="shared" si="56"/>
        <v>0</v>
      </c>
      <c r="G61" s="28">
        <f t="shared" si="56"/>
        <v>0</v>
      </c>
      <c r="H61" s="28">
        <f t="shared" si="56"/>
        <v>0</v>
      </c>
      <c r="I61" s="28">
        <f t="shared" si="56"/>
        <v>18</v>
      </c>
      <c r="J61" s="7"/>
      <c r="L61" s="28">
        <f t="shared" ref="L61:S61" si="57">SUM(L39:L60)</f>
        <v>31</v>
      </c>
      <c r="M61" s="28">
        <f t="shared" si="57"/>
        <v>7</v>
      </c>
      <c r="N61" s="28">
        <f t="shared" si="57"/>
        <v>5</v>
      </c>
      <c r="O61" s="28">
        <f t="shared" si="57"/>
        <v>0</v>
      </c>
      <c r="P61" s="28">
        <f t="shared" si="57"/>
        <v>0</v>
      </c>
      <c r="Q61" s="28">
        <f t="shared" si="57"/>
        <v>0</v>
      </c>
      <c r="R61" s="28">
        <f t="shared" si="57"/>
        <v>0</v>
      </c>
      <c r="S61" s="28">
        <f t="shared" si="57"/>
        <v>43</v>
      </c>
      <c r="T61" s="7"/>
      <c r="V61" s="28">
        <f t="shared" ref="V61:AC61" si="58">SUM(V39:V60)</f>
        <v>43</v>
      </c>
      <c r="W61" s="28">
        <f t="shared" si="58"/>
        <v>11</v>
      </c>
      <c r="X61" s="28">
        <f t="shared" si="58"/>
        <v>7</v>
      </c>
      <c r="Y61" s="28">
        <f t="shared" si="58"/>
        <v>0</v>
      </c>
      <c r="Z61" s="28">
        <f t="shared" si="58"/>
        <v>0</v>
      </c>
      <c r="AA61" s="28">
        <f t="shared" si="58"/>
        <v>0</v>
      </c>
      <c r="AB61" s="28">
        <f t="shared" si="58"/>
        <v>0</v>
      </c>
      <c r="AC61" s="28">
        <f t="shared" si="58"/>
        <v>61</v>
      </c>
    </row>
    <row r="62" spans="1:29" ht="15" thickBot="1" x14ac:dyDescent="0.4">
      <c r="A62" s="29"/>
      <c r="B62" s="30"/>
      <c r="C62" s="30"/>
      <c r="D62" s="30"/>
      <c r="E62" s="30"/>
      <c r="F62" s="30"/>
      <c r="G62" s="30"/>
      <c r="H62" s="30"/>
      <c r="I62" s="30"/>
      <c r="J62" s="7"/>
      <c r="L62" s="30"/>
      <c r="M62" s="30"/>
      <c r="N62" s="30"/>
      <c r="O62" s="30"/>
      <c r="P62" s="30"/>
      <c r="Q62" s="30"/>
      <c r="R62" s="30"/>
      <c r="S62" s="30"/>
      <c r="T62" s="7"/>
      <c r="V62" s="30"/>
      <c r="W62" s="30"/>
      <c r="X62" s="30"/>
      <c r="Y62" s="30"/>
      <c r="Z62" s="30"/>
      <c r="AA62" s="30"/>
      <c r="AB62" s="30"/>
      <c r="AC62" s="30"/>
    </row>
    <row r="63" spans="1:29" x14ac:dyDescent="0.35">
      <c r="A63" s="31" t="s">
        <v>59</v>
      </c>
      <c r="B63" s="32">
        <f t="shared" ref="B63:I63" si="59">B36</f>
        <v>21</v>
      </c>
      <c r="C63" s="32">
        <f t="shared" si="59"/>
        <v>3</v>
      </c>
      <c r="D63" s="32">
        <f t="shared" si="59"/>
        <v>0</v>
      </c>
      <c r="E63" s="32">
        <f t="shared" si="59"/>
        <v>0</v>
      </c>
      <c r="F63" s="32">
        <f t="shared" si="59"/>
        <v>0</v>
      </c>
      <c r="G63" s="32">
        <f t="shared" si="59"/>
        <v>0</v>
      </c>
      <c r="H63" s="32">
        <f t="shared" si="59"/>
        <v>0</v>
      </c>
      <c r="I63" s="32">
        <f t="shared" si="59"/>
        <v>24</v>
      </c>
      <c r="J63" s="7"/>
      <c r="L63" s="32">
        <f t="shared" ref="L63:S63" si="60">L36</f>
        <v>62</v>
      </c>
      <c r="M63" s="32">
        <f t="shared" si="60"/>
        <v>7</v>
      </c>
      <c r="N63" s="32">
        <f t="shared" si="60"/>
        <v>0</v>
      </c>
      <c r="O63" s="32">
        <f t="shared" si="60"/>
        <v>0</v>
      </c>
      <c r="P63" s="32">
        <f t="shared" si="60"/>
        <v>0</v>
      </c>
      <c r="Q63" s="32">
        <f t="shared" si="60"/>
        <v>0</v>
      </c>
      <c r="R63" s="32">
        <f t="shared" si="60"/>
        <v>0</v>
      </c>
      <c r="S63" s="32">
        <f t="shared" si="60"/>
        <v>69</v>
      </c>
      <c r="T63" s="7"/>
      <c r="V63" s="32">
        <f t="shared" ref="V63:AC63" si="61">V36</f>
        <v>83</v>
      </c>
      <c r="W63" s="32">
        <f t="shared" si="61"/>
        <v>10</v>
      </c>
      <c r="X63" s="32">
        <f t="shared" si="61"/>
        <v>0</v>
      </c>
      <c r="Y63" s="32">
        <f t="shared" si="61"/>
        <v>0</v>
      </c>
      <c r="Z63" s="32">
        <f t="shared" si="61"/>
        <v>0</v>
      </c>
      <c r="AA63" s="32">
        <f t="shared" si="61"/>
        <v>0</v>
      </c>
      <c r="AB63" s="32">
        <f t="shared" si="61"/>
        <v>0</v>
      </c>
      <c r="AC63" s="32">
        <f t="shared" si="61"/>
        <v>93</v>
      </c>
    </row>
    <row r="64" spans="1:29" x14ac:dyDescent="0.35">
      <c r="A64" s="33" t="s">
        <v>60</v>
      </c>
      <c r="B64" s="34">
        <f>B61</f>
        <v>12</v>
      </c>
      <c r="C64" s="34">
        <f t="shared" ref="C64:I64" si="62">C61</f>
        <v>4</v>
      </c>
      <c r="D64" s="34">
        <f t="shared" si="62"/>
        <v>2</v>
      </c>
      <c r="E64" s="34">
        <f t="shared" si="62"/>
        <v>0</v>
      </c>
      <c r="F64" s="34">
        <f t="shared" si="62"/>
        <v>0</v>
      </c>
      <c r="G64" s="34">
        <f t="shared" si="62"/>
        <v>0</v>
      </c>
      <c r="H64" s="34">
        <f t="shared" si="62"/>
        <v>0</v>
      </c>
      <c r="I64" s="34">
        <f t="shared" si="62"/>
        <v>18</v>
      </c>
      <c r="J64" s="7"/>
      <c r="L64" s="34">
        <f>L61</f>
        <v>31</v>
      </c>
      <c r="M64" s="34">
        <f t="shared" ref="M64:S64" si="63">M61</f>
        <v>7</v>
      </c>
      <c r="N64" s="34">
        <f t="shared" si="63"/>
        <v>5</v>
      </c>
      <c r="O64" s="34">
        <f t="shared" si="63"/>
        <v>0</v>
      </c>
      <c r="P64" s="34">
        <f t="shared" si="63"/>
        <v>0</v>
      </c>
      <c r="Q64" s="34">
        <f t="shared" si="63"/>
        <v>0</v>
      </c>
      <c r="R64" s="34">
        <f t="shared" si="63"/>
        <v>0</v>
      </c>
      <c r="S64" s="34">
        <f t="shared" si="63"/>
        <v>43</v>
      </c>
      <c r="T64" s="7"/>
      <c r="V64" s="34">
        <f>V61</f>
        <v>43</v>
      </c>
      <c r="W64" s="34">
        <f t="shared" ref="W64:AC64" si="64">W61</f>
        <v>11</v>
      </c>
      <c r="X64" s="34">
        <f t="shared" si="64"/>
        <v>7</v>
      </c>
      <c r="Y64" s="34">
        <f t="shared" si="64"/>
        <v>0</v>
      </c>
      <c r="Z64" s="34">
        <f t="shared" si="64"/>
        <v>0</v>
      </c>
      <c r="AA64" s="34">
        <f t="shared" si="64"/>
        <v>0</v>
      </c>
      <c r="AB64" s="34">
        <f t="shared" si="64"/>
        <v>0</v>
      </c>
      <c r="AC64" s="34">
        <f t="shared" si="64"/>
        <v>61</v>
      </c>
    </row>
    <row r="65" spans="1:29" ht="15" thickBot="1" x14ac:dyDescent="0.4">
      <c r="A65" s="35" t="s">
        <v>61</v>
      </c>
      <c r="B65" s="36">
        <f>SUM(B63:B64)</f>
        <v>33</v>
      </c>
      <c r="C65" s="36">
        <f t="shared" ref="C65:H65" si="65">SUM(C63:C64)</f>
        <v>7</v>
      </c>
      <c r="D65" s="36">
        <f t="shared" si="65"/>
        <v>2</v>
      </c>
      <c r="E65" s="36">
        <f t="shared" si="65"/>
        <v>0</v>
      </c>
      <c r="F65" s="36">
        <f t="shared" si="65"/>
        <v>0</v>
      </c>
      <c r="G65" s="36">
        <f t="shared" si="65"/>
        <v>0</v>
      </c>
      <c r="H65" s="36">
        <f t="shared" si="65"/>
        <v>0</v>
      </c>
      <c r="I65" s="36">
        <f>SUM(I63:I64)</f>
        <v>42</v>
      </c>
      <c r="J65" s="7"/>
      <c r="L65" s="36">
        <f>SUM(L63:L64)</f>
        <v>93</v>
      </c>
      <c r="M65" s="36">
        <f t="shared" ref="M65:R65" si="66">SUM(M63:M64)</f>
        <v>14</v>
      </c>
      <c r="N65" s="36">
        <f t="shared" si="66"/>
        <v>5</v>
      </c>
      <c r="O65" s="36">
        <f t="shared" si="66"/>
        <v>0</v>
      </c>
      <c r="P65" s="36">
        <f t="shared" si="66"/>
        <v>0</v>
      </c>
      <c r="Q65" s="36">
        <f t="shared" si="66"/>
        <v>0</v>
      </c>
      <c r="R65" s="36">
        <f t="shared" si="66"/>
        <v>0</v>
      </c>
      <c r="S65" s="36">
        <f>SUM(S63:S64)</f>
        <v>112</v>
      </c>
      <c r="T65" s="7"/>
      <c r="V65" s="36">
        <f>SUM(V63:V64)</f>
        <v>126</v>
      </c>
      <c r="W65" s="36">
        <f t="shared" ref="W65:AB65" si="67">SUM(W63:W64)</f>
        <v>21</v>
      </c>
      <c r="X65" s="36">
        <f t="shared" si="67"/>
        <v>7</v>
      </c>
      <c r="Y65" s="36">
        <f t="shared" si="67"/>
        <v>0</v>
      </c>
      <c r="Z65" s="36">
        <f t="shared" si="67"/>
        <v>0</v>
      </c>
      <c r="AA65" s="36">
        <f t="shared" si="67"/>
        <v>0</v>
      </c>
      <c r="AB65" s="36">
        <f t="shared" si="67"/>
        <v>0</v>
      </c>
      <c r="AC65" s="36">
        <f>SUM(AC63:AC64)</f>
        <v>154</v>
      </c>
    </row>
    <row r="66" spans="1:29" x14ac:dyDescent="0.35">
      <c r="A66" s="26"/>
      <c r="B66" s="37"/>
      <c r="C66" s="37"/>
      <c r="D66" s="37"/>
      <c r="E66" s="37"/>
      <c r="F66" s="37"/>
      <c r="G66" s="37"/>
      <c r="H66" s="37"/>
      <c r="I66" s="37"/>
      <c r="J66" s="7"/>
      <c r="L66" s="37"/>
      <c r="M66" s="37"/>
      <c r="N66" s="37"/>
      <c r="O66" s="37"/>
      <c r="P66" s="37"/>
      <c r="Q66" s="37"/>
      <c r="R66" s="37"/>
      <c r="S66" s="37"/>
      <c r="T66" s="7"/>
      <c r="V66" s="37"/>
      <c r="W66" s="37"/>
      <c r="X66" s="37"/>
      <c r="Y66" s="37"/>
      <c r="Z66" s="37"/>
      <c r="AA66" s="37"/>
      <c r="AB66" s="37"/>
      <c r="AC66" s="37"/>
    </row>
    <row r="67" spans="1:29" x14ac:dyDescent="0.35">
      <c r="A67" s="38" t="s">
        <v>62</v>
      </c>
      <c r="B67" s="39"/>
      <c r="C67" s="39"/>
      <c r="D67" s="39"/>
      <c r="E67" s="39"/>
      <c r="F67" s="39"/>
      <c r="G67" s="39"/>
      <c r="H67" s="39"/>
      <c r="I67" s="40">
        <f>I142/(I210+I212+I213+I214+I215+I216)</f>
        <v>0.64540874251053582</v>
      </c>
      <c r="J67" s="7"/>
      <c r="L67" s="39"/>
      <c r="M67" s="39"/>
      <c r="N67" s="39"/>
      <c r="O67" s="39"/>
      <c r="P67" s="39"/>
      <c r="Q67" s="39"/>
      <c r="R67" s="39"/>
      <c r="S67" s="40">
        <f>S142/(S210+S212+S213+S214+S215+S216)</f>
        <v>0.54966739520778485</v>
      </c>
      <c r="T67" s="7"/>
      <c r="V67" s="39"/>
      <c r="W67" s="39"/>
      <c r="X67" s="39"/>
      <c r="Y67" s="39"/>
      <c r="Z67" s="39"/>
      <c r="AA67" s="39"/>
      <c r="AB67" s="39"/>
      <c r="AC67" s="40">
        <f>AC142/(AC210+AC212+AC213+AC214+AC215+AC216)</f>
        <v>0.57327942157337419</v>
      </c>
    </row>
    <row r="68" spans="1:29" x14ac:dyDescent="0.35">
      <c r="A68" s="38" t="s">
        <v>63</v>
      </c>
      <c r="B68" s="39"/>
      <c r="C68" s="39"/>
      <c r="D68" s="39"/>
      <c r="E68" s="39"/>
      <c r="F68" s="39"/>
      <c r="G68" s="39"/>
      <c r="H68" s="39"/>
      <c r="I68" s="40">
        <f>(I114+I115+I118+I128)/I132</f>
        <v>0.74835449317168679</v>
      </c>
      <c r="J68" s="7"/>
      <c r="L68" s="39"/>
      <c r="M68" s="39"/>
      <c r="N68" s="39"/>
      <c r="O68" s="39"/>
      <c r="P68" s="39"/>
      <c r="Q68" s="39"/>
      <c r="R68" s="39"/>
      <c r="S68" s="40">
        <f>(S114+S115+S118+S128)/S132</f>
        <v>0.75842423748218257</v>
      </c>
      <c r="T68" s="7"/>
      <c r="V68" s="39"/>
      <c r="W68" s="39"/>
      <c r="X68" s="39"/>
      <c r="Y68" s="39"/>
      <c r="Z68" s="39"/>
      <c r="AA68" s="39"/>
      <c r="AB68" s="39"/>
      <c r="AC68" s="40">
        <f>(AC114+AC115+AC118+AC128)/AC132</f>
        <v>0.75567210615755487</v>
      </c>
    </row>
    <row r="69" spans="1:29" x14ac:dyDescent="0.35">
      <c r="A69" s="38" t="s">
        <v>64</v>
      </c>
      <c r="B69" s="39"/>
      <c r="C69" s="39"/>
      <c r="D69" s="39"/>
      <c r="E69" s="39"/>
      <c r="F69" s="39"/>
      <c r="G69" s="39"/>
      <c r="H69" s="39"/>
      <c r="I69" s="40">
        <f>(I107+I108+I109+I112+I116+I117+I119+I120++I123+I124+I125+I126+I127+I129+I130)/I132</f>
        <v>0.2159389891932427</v>
      </c>
      <c r="J69" s="7"/>
      <c r="L69" s="39"/>
      <c r="M69" s="39"/>
      <c r="N69" s="39"/>
      <c r="O69" s="39"/>
      <c r="P69" s="39"/>
      <c r="Q69" s="39"/>
      <c r="R69" s="39"/>
      <c r="S69" s="40">
        <f>(S107+S108+S109+S112+S116+S117+S119+S120++S123+S124+S125+S126+S127+S129+S130)/S132</f>
        <v>0.20504014366789958</v>
      </c>
      <c r="T69" s="7"/>
      <c r="V69" s="39"/>
      <c r="W69" s="39"/>
      <c r="X69" s="39"/>
      <c r="Y69" s="39"/>
      <c r="Z69" s="39"/>
      <c r="AA69" s="39"/>
      <c r="AB69" s="39"/>
      <c r="AC69" s="40">
        <f>(AC107+AC108+AC109+AC112+AC116+AC117+AC119+AC120++AC123+AC124+AC125+AC126+AC127+AC129+AC130)/AC132</f>
        <v>0.20801887413489975</v>
      </c>
    </row>
    <row r="70" spans="1:29" x14ac:dyDescent="0.35">
      <c r="A70" s="38" t="s">
        <v>65</v>
      </c>
      <c r="B70" s="39"/>
      <c r="C70" s="39"/>
      <c r="D70" s="39"/>
      <c r="E70" s="39"/>
      <c r="F70" s="39"/>
      <c r="G70" s="39"/>
      <c r="H70" s="39"/>
      <c r="I70" s="40">
        <f>(I213+I214+I215+I216+I212)/(I97-I83-I84)</f>
        <v>0.10934908807521738</v>
      </c>
      <c r="J70" s="7"/>
      <c r="L70" s="39"/>
      <c r="M70" s="39"/>
      <c r="N70" s="39"/>
      <c r="O70" s="39"/>
      <c r="P70" s="39"/>
      <c r="Q70" s="39"/>
      <c r="R70" s="39"/>
      <c r="S70" s="40">
        <f>(S213+S214+S215+S216+S212)/(S97-S83-S84)</f>
        <v>0.16668428648964492</v>
      </c>
      <c r="T70" s="7"/>
      <c r="V70" s="39"/>
      <c r="W70" s="39"/>
      <c r="X70" s="39"/>
      <c r="Y70" s="39"/>
      <c r="Z70" s="39"/>
      <c r="AA70" s="39"/>
      <c r="AB70" s="39"/>
      <c r="AC70" s="40">
        <f>(AC213+AC214+AC215+AC216+AC212)/(AC97-AC83-AC84)</f>
        <v>0.15258019244861992</v>
      </c>
    </row>
    <row r="71" spans="1:29" ht="15" thickBot="1" x14ac:dyDescent="0.4">
      <c r="B71" s="37"/>
      <c r="C71" s="37"/>
      <c r="D71" s="37"/>
      <c r="E71" s="37"/>
      <c r="F71" s="37"/>
      <c r="G71" s="37"/>
      <c r="H71" s="37"/>
      <c r="I71" s="37"/>
      <c r="J71" s="7"/>
      <c r="L71" s="37"/>
      <c r="M71" s="37"/>
      <c r="N71" s="37"/>
      <c r="O71" s="37"/>
      <c r="P71" s="37"/>
      <c r="Q71" s="37"/>
      <c r="R71" s="37"/>
      <c r="S71" s="37"/>
      <c r="T71" s="7"/>
      <c r="V71" s="37"/>
      <c r="W71" s="37"/>
      <c r="X71" s="37"/>
      <c r="Y71" s="37"/>
      <c r="Z71" s="37"/>
      <c r="AA71" s="37"/>
      <c r="AB71" s="37"/>
      <c r="AC71" s="37"/>
    </row>
    <row r="72" spans="1:29" ht="15" thickBot="1" x14ac:dyDescent="0.4">
      <c r="A72" s="41" t="s">
        <v>66</v>
      </c>
      <c r="B72" s="42" t="str">
        <f t="shared" ref="B72:I72" si="68">B1</f>
        <v>Operating</v>
      </c>
      <c r="C72" s="42" t="str">
        <f t="shared" si="68"/>
        <v>SPED</v>
      </c>
      <c r="D72" s="42" t="str">
        <f t="shared" si="68"/>
        <v>NSLP</v>
      </c>
      <c r="E72" s="42" t="str">
        <f t="shared" si="68"/>
        <v>Other</v>
      </c>
      <c r="F72" s="42" t="str">
        <f t="shared" si="68"/>
        <v>Title I</v>
      </c>
      <c r="G72" s="42" t="str">
        <f t="shared" si="68"/>
        <v>Title II</v>
      </c>
      <c r="H72" s="42" t="str">
        <f t="shared" si="68"/>
        <v>Title III</v>
      </c>
      <c r="I72" s="42" t="str">
        <f t="shared" si="68"/>
        <v>B&amp;G</v>
      </c>
      <c r="J72" s="7"/>
      <c r="L72" s="42" t="str">
        <f t="shared" ref="L72:S72" si="69">L1</f>
        <v>Operating</v>
      </c>
      <c r="M72" s="42" t="str">
        <f t="shared" si="69"/>
        <v>SPED</v>
      </c>
      <c r="N72" s="42" t="str">
        <f t="shared" si="69"/>
        <v>NSLP</v>
      </c>
      <c r="O72" s="42" t="str">
        <f t="shared" si="69"/>
        <v>Other</v>
      </c>
      <c r="P72" s="42" t="str">
        <f t="shared" si="69"/>
        <v>Title I</v>
      </c>
      <c r="Q72" s="42" t="str">
        <f t="shared" si="69"/>
        <v>Title II</v>
      </c>
      <c r="R72" s="42" t="str">
        <f t="shared" si="69"/>
        <v>Title III</v>
      </c>
      <c r="S72" s="42" t="str">
        <f t="shared" si="69"/>
        <v>New</v>
      </c>
      <c r="T72" s="7"/>
      <c r="V72" s="42" t="str">
        <f t="shared" ref="V72:AC72" si="70">V1</f>
        <v>Operating</v>
      </c>
      <c r="W72" s="42" t="str">
        <f t="shared" si="70"/>
        <v>SPED</v>
      </c>
      <c r="X72" s="42" t="str">
        <f t="shared" si="70"/>
        <v>NSLP</v>
      </c>
      <c r="Y72" s="42" t="str">
        <f t="shared" si="70"/>
        <v>Other</v>
      </c>
      <c r="Z72" s="42" t="str">
        <f t="shared" si="70"/>
        <v>Title I</v>
      </c>
      <c r="AA72" s="42" t="str">
        <f t="shared" si="70"/>
        <v>Title II</v>
      </c>
      <c r="AB72" s="42" t="str">
        <f t="shared" si="70"/>
        <v>Title III</v>
      </c>
      <c r="AC72" s="42" t="str">
        <f t="shared" si="70"/>
        <v>MANN</v>
      </c>
    </row>
    <row r="73" spans="1:29" x14ac:dyDescent="0.35">
      <c r="A73" s="43" t="s">
        <v>67</v>
      </c>
      <c r="B73" s="44"/>
      <c r="C73" s="44"/>
      <c r="D73" s="44"/>
      <c r="E73" s="44"/>
      <c r="F73" s="44"/>
      <c r="G73" s="44"/>
      <c r="H73" s="44"/>
      <c r="I73" s="45"/>
      <c r="J73" s="7"/>
      <c r="L73" s="44"/>
      <c r="M73" s="44"/>
      <c r="N73" s="44"/>
      <c r="O73" s="44"/>
      <c r="P73" s="44"/>
      <c r="Q73" s="44"/>
      <c r="R73" s="44"/>
      <c r="S73" s="45"/>
      <c r="T73" s="7"/>
      <c r="V73" s="44"/>
      <c r="W73" s="44"/>
      <c r="X73" s="44"/>
      <c r="Y73" s="44"/>
      <c r="Z73" s="44"/>
      <c r="AA73" s="44"/>
      <c r="AB73" s="44"/>
      <c r="AC73" s="45"/>
    </row>
    <row r="74" spans="1:29" x14ac:dyDescent="0.35">
      <c r="A74" s="26" t="s">
        <v>68</v>
      </c>
      <c r="B74" s="46">
        <f>(B2*B3)</f>
        <v>4713240</v>
      </c>
      <c r="C74" s="46"/>
      <c r="D74" s="46"/>
      <c r="E74" s="46"/>
      <c r="F74" s="46"/>
      <c r="G74" s="46"/>
      <c r="H74" s="46"/>
      <c r="I74" s="47">
        <f t="shared" ref="I74:I79" si="71">SUM(B74:H74)</f>
        <v>4713240</v>
      </c>
      <c r="J74" s="11"/>
      <c r="L74" s="46">
        <f>(L2*L3)</f>
        <v>14798560</v>
      </c>
      <c r="M74" s="46"/>
      <c r="N74" s="46"/>
      <c r="O74" s="46"/>
      <c r="P74" s="46"/>
      <c r="Q74" s="46"/>
      <c r="R74" s="46"/>
      <c r="S74" s="47">
        <f t="shared" ref="S74:S79" si="72">SUM(L74:R74)</f>
        <v>14798560</v>
      </c>
      <c r="T74" s="11"/>
      <c r="V74" s="46">
        <f>B74+L74</f>
        <v>19511800</v>
      </c>
      <c r="W74" s="46">
        <f t="shared" ref="W74:Y79" si="73">C74+M74</f>
        <v>0</v>
      </c>
      <c r="X74" s="46">
        <f t="shared" si="73"/>
        <v>0</v>
      </c>
      <c r="Y74" s="46">
        <f t="shared" si="73"/>
        <v>0</v>
      </c>
      <c r="Z74" s="46"/>
      <c r="AA74" s="46"/>
      <c r="AB74" s="46"/>
      <c r="AC74" s="47">
        <f t="shared" ref="AC74:AC79" si="74">SUM(V74:AB74)</f>
        <v>19511800</v>
      </c>
    </row>
    <row r="75" spans="1:29" x14ac:dyDescent="0.35">
      <c r="A75" s="26" t="s">
        <v>69</v>
      </c>
      <c r="B75" s="30">
        <f>4561*B21</f>
        <v>656784</v>
      </c>
      <c r="C75" s="30"/>
      <c r="D75" s="30"/>
      <c r="E75" s="30"/>
      <c r="F75" s="30"/>
      <c r="G75" s="30"/>
      <c r="H75" s="30"/>
      <c r="I75" s="5">
        <f t="shared" si="71"/>
        <v>656784</v>
      </c>
      <c r="J75" s="6">
        <v>4561</v>
      </c>
      <c r="L75" s="30">
        <f>4561*L21</f>
        <v>1856327</v>
      </c>
      <c r="M75" s="30"/>
      <c r="N75" s="30"/>
      <c r="O75" s="30"/>
      <c r="P75" s="30"/>
      <c r="Q75" s="30"/>
      <c r="R75" s="30"/>
      <c r="S75" s="5">
        <f t="shared" si="72"/>
        <v>1856327</v>
      </c>
      <c r="T75" s="6">
        <v>4561</v>
      </c>
      <c r="V75" s="46">
        <f t="shared" ref="V75:V79" si="75">B75+L75</f>
        <v>2513111</v>
      </c>
      <c r="W75" s="46">
        <f t="shared" si="73"/>
        <v>0</v>
      </c>
      <c r="X75" s="46">
        <f t="shared" si="73"/>
        <v>0</v>
      </c>
      <c r="Y75" s="46">
        <f t="shared" si="73"/>
        <v>0</v>
      </c>
      <c r="Z75" s="30"/>
      <c r="AA75" s="30"/>
      <c r="AB75" s="30"/>
      <c r="AC75" s="5">
        <f t="shared" si="74"/>
        <v>2513111</v>
      </c>
    </row>
    <row r="76" spans="1:29" x14ac:dyDescent="0.35">
      <c r="A76" s="26" t="s">
        <v>70</v>
      </c>
      <c r="B76" s="5">
        <f>1216*B22</f>
        <v>0</v>
      </c>
      <c r="C76" s="5"/>
      <c r="D76" s="5"/>
      <c r="E76" s="5"/>
      <c r="F76" s="5"/>
      <c r="G76" s="5"/>
      <c r="H76" s="5"/>
      <c r="I76" s="5">
        <f t="shared" si="71"/>
        <v>0</v>
      </c>
      <c r="J76" s="6">
        <v>1216</v>
      </c>
      <c r="L76" s="5">
        <f>1216*L22</f>
        <v>0</v>
      </c>
      <c r="M76" s="5"/>
      <c r="N76" s="5"/>
      <c r="O76" s="5"/>
      <c r="P76" s="5"/>
      <c r="Q76" s="5"/>
      <c r="R76" s="5"/>
      <c r="S76" s="5">
        <f t="shared" si="72"/>
        <v>0</v>
      </c>
      <c r="T76" s="6">
        <v>1216</v>
      </c>
      <c r="V76" s="46">
        <f t="shared" si="75"/>
        <v>0</v>
      </c>
      <c r="W76" s="46">
        <f t="shared" si="73"/>
        <v>0</v>
      </c>
      <c r="X76" s="46">
        <f t="shared" si="73"/>
        <v>0</v>
      </c>
      <c r="Y76" s="46">
        <f t="shared" si="73"/>
        <v>0</v>
      </c>
      <c r="Z76" s="5"/>
      <c r="AA76" s="5"/>
      <c r="AB76" s="5"/>
      <c r="AC76" s="5">
        <f t="shared" si="74"/>
        <v>0</v>
      </c>
    </row>
    <row r="77" spans="1:29" x14ac:dyDescent="0.35">
      <c r="A77" s="26" t="s">
        <v>71</v>
      </c>
      <c r="B77" s="5">
        <f>3547*B24</f>
        <v>14188</v>
      </c>
      <c r="C77" s="5"/>
      <c r="D77" s="5"/>
      <c r="E77" s="5"/>
      <c r="F77" s="5"/>
      <c r="G77" s="5"/>
      <c r="H77" s="5"/>
      <c r="I77" s="5">
        <f t="shared" si="71"/>
        <v>14188</v>
      </c>
      <c r="J77" s="6">
        <v>3547</v>
      </c>
      <c r="L77" s="5">
        <f>3547*L24</f>
        <v>46111</v>
      </c>
      <c r="M77" s="5"/>
      <c r="N77" s="5"/>
      <c r="O77" s="5"/>
      <c r="P77" s="5"/>
      <c r="Q77" s="5"/>
      <c r="R77" s="5"/>
      <c r="S77" s="5">
        <f t="shared" si="72"/>
        <v>46111</v>
      </c>
      <c r="T77" s="6">
        <v>3547</v>
      </c>
      <c r="V77" s="46">
        <f t="shared" si="75"/>
        <v>60299</v>
      </c>
      <c r="W77" s="46">
        <f t="shared" si="73"/>
        <v>0</v>
      </c>
      <c r="X77" s="46">
        <f t="shared" si="73"/>
        <v>0</v>
      </c>
      <c r="Y77" s="46">
        <f t="shared" si="73"/>
        <v>0</v>
      </c>
      <c r="Z77" s="5"/>
      <c r="AA77" s="5"/>
      <c r="AB77" s="5"/>
      <c r="AC77" s="5">
        <f t="shared" si="74"/>
        <v>60299</v>
      </c>
    </row>
    <row r="78" spans="1:29" x14ac:dyDescent="0.35">
      <c r="A78" s="26" t="s">
        <v>73</v>
      </c>
      <c r="B78" s="30">
        <v>0</v>
      </c>
      <c r="C78" s="30">
        <v>53862</v>
      </c>
      <c r="D78" s="30"/>
      <c r="E78" s="30"/>
      <c r="F78" s="30"/>
      <c r="G78" s="30"/>
      <c r="H78" s="30"/>
      <c r="I78" s="30">
        <f t="shared" si="71"/>
        <v>53862</v>
      </c>
      <c r="J78" s="48"/>
      <c r="L78" s="30">
        <v>0</v>
      </c>
      <c r="M78" s="30">
        <v>40000</v>
      </c>
      <c r="N78" s="30"/>
      <c r="O78" s="30"/>
      <c r="P78" s="30"/>
      <c r="Q78" s="30"/>
      <c r="R78" s="30"/>
      <c r="S78" s="30">
        <f t="shared" si="72"/>
        <v>40000</v>
      </c>
      <c r="T78" s="48"/>
      <c r="V78" s="46">
        <f t="shared" si="75"/>
        <v>0</v>
      </c>
      <c r="W78" s="46">
        <f t="shared" si="73"/>
        <v>93862</v>
      </c>
      <c r="X78" s="46">
        <f t="shared" si="73"/>
        <v>0</v>
      </c>
      <c r="Y78" s="46">
        <f t="shared" si="73"/>
        <v>0</v>
      </c>
      <c r="Z78" s="30"/>
      <c r="AA78" s="30"/>
      <c r="AB78" s="30"/>
      <c r="AC78" s="30">
        <f t="shared" si="74"/>
        <v>93862</v>
      </c>
    </row>
    <row r="79" spans="1:29" x14ac:dyDescent="0.35">
      <c r="A79" s="26" t="s">
        <v>72</v>
      </c>
      <c r="B79" s="30">
        <v>0</v>
      </c>
      <c r="C79" s="30">
        <f>4000*C20</f>
        <v>224000</v>
      </c>
      <c r="D79" s="30"/>
      <c r="E79" s="30"/>
      <c r="F79" s="30"/>
      <c r="G79" s="30"/>
      <c r="H79" s="30"/>
      <c r="I79" s="30">
        <f t="shared" si="71"/>
        <v>224000</v>
      </c>
      <c r="J79" s="6">
        <v>4000</v>
      </c>
      <c r="L79" s="30">
        <v>0</v>
      </c>
      <c r="M79" s="30">
        <f>4000*M20</f>
        <v>628000</v>
      </c>
      <c r="N79" s="30"/>
      <c r="O79" s="30"/>
      <c r="P79" s="30"/>
      <c r="Q79" s="30"/>
      <c r="R79" s="30"/>
      <c r="S79" s="30">
        <f t="shared" si="72"/>
        <v>628000</v>
      </c>
      <c r="T79" s="6">
        <v>4000</v>
      </c>
      <c r="V79" s="46">
        <f t="shared" si="75"/>
        <v>0</v>
      </c>
      <c r="W79" s="46">
        <f t="shared" si="73"/>
        <v>852000</v>
      </c>
      <c r="X79" s="46">
        <f t="shared" si="73"/>
        <v>0</v>
      </c>
      <c r="Y79" s="46">
        <f t="shared" si="73"/>
        <v>0</v>
      </c>
      <c r="Z79" s="30"/>
      <c r="AA79" s="30"/>
      <c r="AB79" s="30"/>
      <c r="AC79" s="30">
        <f t="shared" si="74"/>
        <v>852000</v>
      </c>
    </row>
    <row r="80" spans="1:29" x14ac:dyDescent="0.35">
      <c r="A80" s="49" t="s">
        <v>74</v>
      </c>
      <c r="B80" s="50">
        <f t="shared" ref="B80:I80" si="76">SUM(B74:B79)</f>
        <v>5384212</v>
      </c>
      <c r="C80" s="50">
        <f t="shared" si="76"/>
        <v>277862</v>
      </c>
      <c r="D80" s="50">
        <f t="shared" si="76"/>
        <v>0</v>
      </c>
      <c r="E80" s="50"/>
      <c r="F80" s="50">
        <f t="shared" si="76"/>
        <v>0</v>
      </c>
      <c r="G80" s="50">
        <f t="shared" si="76"/>
        <v>0</v>
      </c>
      <c r="H80" s="50">
        <f t="shared" si="76"/>
        <v>0</v>
      </c>
      <c r="I80" s="50">
        <f t="shared" si="76"/>
        <v>5662074</v>
      </c>
      <c r="J80" s="7"/>
      <c r="L80" s="50">
        <f t="shared" ref="L80:N80" si="77">SUM(L74:L79)</f>
        <v>16700998</v>
      </c>
      <c r="M80" s="50">
        <f t="shared" si="77"/>
        <v>668000</v>
      </c>
      <c r="N80" s="50">
        <f t="shared" si="77"/>
        <v>0</v>
      </c>
      <c r="O80" s="50"/>
      <c r="P80" s="50">
        <f t="shared" ref="P80:S80" si="78">SUM(P74:P79)</f>
        <v>0</v>
      </c>
      <c r="Q80" s="50">
        <f t="shared" si="78"/>
        <v>0</v>
      </c>
      <c r="R80" s="50">
        <f t="shared" si="78"/>
        <v>0</v>
      </c>
      <c r="S80" s="50">
        <f t="shared" si="78"/>
        <v>17368998</v>
      </c>
      <c r="T80" s="7"/>
      <c r="V80" s="50">
        <f t="shared" ref="V80:X80" si="79">SUM(V74:V79)</f>
        <v>22085210</v>
      </c>
      <c r="W80" s="50">
        <f t="shared" si="79"/>
        <v>945862</v>
      </c>
      <c r="X80" s="50">
        <f t="shared" si="79"/>
        <v>0</v>
      </c>
      <c r="Y80" s="50"/>
      <c r="Z80" s="50">
        <f t="shared" ref="Z80:AC80" si="80">SUM(Z74:Z79)</f>
        <v>0</v>
      </c>
      <c r="AA80" s="50">
        <f t="shared" si="80"/>
        <v>0</v>
      </c>
      <c r="AB80" s="50">
        <f t="shared" si="80"/>
        <v>0</v>
      </c>
      <c r="AC80" s="50">
        <f t="shared" si="80"/>
        <v>23031072</v>
      </c>
    </row>
    <row r="81" spans="1:29" x14ac:dyDescent="0.35">
      <c r="A81" s="51" t="s">
        <v>75</v>
      </c>
      <c r="B81" s="44"/>
      <c r="C81" s="44"/>
      <c r="D81" s="44"/>
      <c r="E81" s="44"/>
      <c r="F81" s="44"/>
      <c r="G81" s="44"/>
      <c r="H81" s="44"/>
      <c r="I81" s="45"/>
      <c r="J81" s="7"/>
      <c r="L81" s="44"/>
      <c r="M81" s="44"/>
      <c r="N81" s="44"/>
      <c r="O81" s="44"/>
      <c r="P81" s="44"/>
      <c r="Q81" s="44"/>
      <c r="R81" s="44"/>
      <c r="S81" s="45"/>
      <c r="T81" s="7"/>
      <c r="V81" s="44"/>
      <c r="W81" s="44"/>
      <c r="X81" s="44"/>
      <c r="Y81" s="44"/>
      <c r="Z81" s="44"/>
      <c r="AA81" s="44"/>
      <c r="AB81" s="44"/>
      <c r="AC81" s="45"/>
    </row>
    <row r="82" spans="1:29" x14ac:dyDescent="0.35">
      <c r="A82" s="26" t="s">
        <v>76</v>
      </c>
      <c r="B82" s="5"/>
      <c r="C82" s="5">
        <f>950*C20</f>
        <v>53200</v>
      </c>
      <c r="D82" s="5"/>
      <c r="E82" s="5"/>
      <c r="F82" s="5"/>
      <c r="G82" s="5"/>
      <c r="H82" s="5"/>
      <c r="I82" s="5">
        <f>SUM(B82:H82)</f>
        <v>53200</v>
      </c>
      <c r="J82" s="6"/>
      <c r="L82" s="5"/>
      <c r="M82" s="5">
        <f>950*M20</f>
        <v>149150</v>
      </c>
      <c r="N82" s="5"/>
      <c r="O82" s="5"/>
      <c r="P82" s="5"/>
      <c r="Q82" s="5"/>
      <c r="R82" s="5"/>
      <c r="S82" s="5">
        <f>SUM(L82:R82)</f>
        <v>149150</v>
      </c>
      <c r="T82" s="6"/>
      <c r="V82" s="5">
        <f>B82+L82</f>
        <v>0</v>
      </c>
      <c r="W82" s="5">
        <f t="shared" ref="W82:Y89" si="81">C82+M82</f>
        <v>202350</v>
      </c>
      <c r="X82" s="5">
        <f t="shared" si="81"/>
        <v>0</v>
      </c>
      <c r="Y82" s="5">
        <f t="shared" si="81"/>
        <v>0</v>
      </c>
      <c r="Z82" s="5"/>
      <c r="AA82" s="5"/>
      <c r="AB82" s="5"/>
      <c r="AC82" s="5">
        <f>SUM(V82:AB82)</f>
        <v>202350</v>
      </c>
    </row>
    <row r="83" spans="1:29" x14ac:dyDescent="0.35">
      <c r="A83" s="26" t="s">
        <v>77</v>
      </c>
      <c r="B83" s="5"/>
      <c r="C83" s="5"/>
      <c r="D83" s="10">
        <f>((B17*0.95)*2.85*180)</f>
        <v>226617.75</v>
      </c>
      <c r="E83" s="10"/>
      <c r="F83" s="10"/>
      <c r="G83" s="10"/>
      <c r="H83" s="10"/>
      <c r="I83" s="5">
        <f t="shared" ref="I83:I95" si="82">SUM(B83:H83)</f>
        <v>226617.75</v>
      </c>
      <c r="J83" s="52">
        <v>2.85</v>
      </c>
      <c r="L83" s="5"/>
      <c r="M83" s="5"/>
      <c r="N83" s="10">
        <f>((L17*0.95)*2.85*180)</f>
        <v>711531</v>
      </c>
      <c r="O83" s="10"/>
      <c r="P83" s="10"/>
      <c r="Q83" s="10"/>
      <c r="R83" s="10"/>
      <c r="S83" s="5">
        <f t="shared" ref="S83:S88" si="83">SUM(L83:R83)</f>
        <v>711531</v>
      </c>
      <c r="T83" s="52">
        <v>2.85</v>
      </c>
      <c r="V83" s="5">
        <f t="shared" ref="V83:V89" si="84">B83+L83</f>
        <v>0</v>
      </c>
      <c r="W83" s="5">
        <f t="shared" si="81"/>
        <v>0</v>
      </c>
      <c r="X83" s="5">
        <f t="shared" si="81"/>
        <v>938148.75</v>
      </c>
      <c r="Y83" s="5">
        <f t="shared" si="81"/>
        <v>0</v>
      </c>
      <c r="Z83" s="10"/>
      <c r="AA83" s="10"/>
      <c r="AB83" s="10"/>
      <c r="AC83" s="5">
        <f t="shared" ref="AC83:AC88" si="85">SUM(V83:AB83)</f>
        <v>938148.75</v>
      </c>
    </row>
    <row r="84" spans="1:29" x14ac:dyDescent="0.35">
      <c r="A84" s="26" t="s">
        <v>78</v>
      </c>
      <c r="B84" s="30"/>
      <c r="C84" s="30"/>
      <c r="D84" s="10">
        <f>((B17*0.95)*4.5*180)</f>
        <v>357817.5</v>
      </c>
      <c r="E84" s="10"/>
      <c r="F84" s="10"/>
      <c r="G84" s="10"/>
      <c r="H84" s="10"/>
      <c r="I84" s="5">
        <f t="shared" si="82"/>
        <v>357817.5</v>
      </c>
      <c r="J84" s="52">
        <v>4.5</v>
      </c>
      <c r="L84" s="30"/>
      <c r="M84" s="30"/>
      <c r="N84" s="10">
        <f>((L17*0.95)*4.5*180)</f>
        <v>1123470</v>
      </c>
      <c r="O84" s="10"/>
      <c r="P84" s="10"/>
      <c r="Q84" s="10"/>
      <c r="R84" s="10"/>
      <c r="S84" s="5">
        <f t="shared" si="83"/>
        <v>1123470</v>
      </c>
      <c r="T84" s="52">
        <v>4.5</v>
      </c>
      <c r="V84" s="5">
        <f t="shared" si="84"/>
        <v>0</v>
      </c>
      <c r="W84" s="5">
        <f t="shared" si="81"/>
        <v>0</v>
      </c>
      <c r="X84" s="5">
        <f t="shared" si="81"/>
        <v>1481287.5</v>
      </c>
      <c r="Y84" s="5">
        <f t="shared" si="81"/>
        <v>0</v>
      </c>
      <c r="Z84" s="10"/>
      <c r="AA84" s="10"/>
      <c r="AB84" s="10"/>
      <c r="AC84" s="5">
        <f t="shared" si="85"/>
        <v>1481287.5</v>
      </c>
    </row>
    <row r="85" spans="1:29" x14ac:dyDescent="0.35">
      <c r="A85" s="26" t="s">
        <v>79</v>
      </c>
      <c r="B85" s="30"/>
      <c r="C85" s="30"/>
      <c r="D85" s="30"/>
      <c r="E85" s="30"/>
      <c r="F85" s="30"/>
      <c r="G85" s="30"/>
      <c r="H85" s="30"/>
      <c r="I85" s="5">
        <f t="shared" si="82"/>
        <v>0</v>
      </c>
      <c r="J85" s="6"/>
      <c r="L85" s="30"/>
      <c r="M85" s="30"/>
      <c r="N85" s="30"/>
      <c r="O85" s="30"/>
      <c r="P85" s="30"/>
      <c r="Q85" s="30"/>
      <c r="R85" s="30"/>
      <c r="S85" s="5">
        <f t="shared" si="83"/>
        <v>0</v>
      </c>
      <c r="T85" s="6"/>
      <c r="V85" s="5">
        <f t="shared" si="84"/>
        <v>0</v>
      </c>
      <c r="W85" s="5">
        <f t="shared" si="81"/>
        <v>0</v>
      </c>
      <c r="X85" s="5">
        <f t="shared" si="81"/>
        <v>0</v>
      </c>
      <c r="Y85" s="5">
        <f t="shared" si="81"/>
        <v>0</v>
      </c>
      <c r="Z85" s="30"/>
      <c r="AA85" s="30"/>
      <c r="AB85" s="30"/>
      <c r="AC85" s="5">
        <f t="shared" si="85"/>
        <v>0</v>
      </c>
    </row>
    <row r="86" spans="1:29" x14ac:dyDescent="0.35">
      <c r="A86" s="26" t="s">
        <v>80</v>
      </c>
      <c r="B86" s="30"/>
      <c r="C86" s="30"/>
      <c r="D86" s="30"/>
      <c r="E86" s="30"/>
      <c r="F86" s="30"/>
      <c r="G86" s="30"/>
      <c r="H86" s="30"/>
      <c r="I86" s="5">
        <f t="shared" si="82"/>
        <v>0</v>
      </c>
      <c r="J86" s="6"/>
      <c r="L86" s="30"/>
      <c r="M86" s="30"/>
      <c r="N86" s="30"/>
      <c r="O86" s="30"/>
      <c r="P86" s="30"/>
      <c r="Q86" s="30"/>
      <c r="R86" s="30"/>
      <c r="S86" s="5">
        <f t="shared" si="83"/>
        <v>0</v>
      </c>
      <c r="T86" s="6"/>
      <c r="V86" s="5">
        <f t="shared" si="84"/>
        <v>0</v>
      </c>
      <c r="W86" s="5">
        <f t="shared" si="81"/>
        <v>0</v>
      </c>
      <c r="X86" s="5">
        <f t="shared" si="81"/>
        <v>0</v>
      </c>
      <c r="Y86" s="5">
        <f t="shared" si="81"/>
        <v>0</v>
      </c>
      <c r="Z86" s="30"/>
      <c r="AA86" s="30"/>
      <c r="AB86" s="30"/>
      <c r="AC86" s="5">
        <f t="shared" si="85"/>
        <v>0</v>
      </c>
    </row>
    <row r="87" spans="1:29" x14ac:dyDescent="0.35">
      <c r="A87" s="26" t="s">
        <v>81</v>
      </c>
      <c r="B87" s="30"/>
      <c r="C87" s="30"/>
      <c r="D87" s="30"/>
      <c r="E87" s="30"/>
      <c r="F87" s="30"/>
      <c r="G87" s="30"/>
      <c r="H87" s="30"/>
      <c r="I87" s="5">
        <f t="shared" si="82"/>
        <v>0</v>
      </c>
      <c r="J87" s="6"/>
      <c r="L87" s="30"/>
      <c r="M87" s="30"/>
      <c r="N87" s="30"/>
      <c r="O87" s="30"/>
      <c r="P87" s="30"/>
      <c r="Q87" s="30"/>
      <c r="R87" s="30"/>
      <c r="S87" s="5">
        <f t="shared" si="83"/>
        <v>0</v>
      </c>
      <c r="T87" s="6"/>
      <c r="V87" s="5">
        <f t="shared" si="84"/>
        <v>0</v>
      </c>
      <c r="W87" s="5">
        <f t="shared" si="81"/>
        <v>0</v>
      </c>
      <c r="X87" s="5">
        <f t="shared" si="81"/>
        <v>0</v>
      </c>
      <c r="Y87" s="5">
        <f t="shared" si="81"/>
        <v>0</v>
      </c>
      <c r="Z87" s="30"/>
      <c r="AA87" s="30"/>
      <c r="AB87" s="30"/>
      <c r="AC87" s="5">
        <f t="shared" si="85"/>
        <v>0</v>
      </c>
    </row>
    <row r="88" spans="1:29" x14ac:dyDescent="0.35">
      <c r="A88" s="26" t="s">
        <v>82</v>
      </c>
      <c r="B88" s="30"/>
      <c r="C88" s="30"/>
      <c r="D88" s="30"/>
      <c r="E88" s="30"/>
      <c r="F88" s="30"/>
      <c r="G88" s="30"/>
      <c r="H88" s="30"/>
      <c r="I88" s="5">
        <f t="shared" si="82"/>
        <v>0</v>
      </c>
      <c r="J88" s="6"/>
      <c r="L88" s="30"/>
      <c r="M88" s="30"/>
      <c r="N88" s="30"/>
      <c r="O88" s="30"/>
      <c r="P88" s="30"/>
      <c r="Q88" s="30"/>
      <c r="R88" s="30"/>
      <c r="S88" s="5">
        <f t="shared" si="83"/>
        <v>0</v>
      </c>
      <c r="T88" s="6"/>
      <c r="V88" s="5">
        <f t="shared" si="84"/>
        <v>0</v>
      </c>
      <c r="W88" s="5">
        <f t="shared" si="81"/>
        <v>0</v>
      </c>
      <c r="X88" s="5">
        <f t="shared" si="81"/>
        <v>0</v>
      </c>
      <c r="Y88" s="5">
        <f t="shared" si="81"/>
        <v>0</v>
      </c>
      <c r="Z88" s="30"/>
      <c r="AA88" s="30"/>
      <c r="AB88" s="30"/>
      <c r="AC88" s="5">
        <f t="shared" si="85"/>
        <v>0</v>
      </c>
    </row>
    <row r="89" spans="1:29" x14ac:dyDescent="0.35">
      <c r="A89" s="26" t="s">
        <v>83</v>
      </c>
      <c r="B89" s="30"/>
      <c r="C89" s="30"/>
      <c r="D89" s="30"/>
      <c r="E89" s="30"/>
      <c r="F89" s="30"/>
      <c r="G89" s="30"/>
      <c r="H89" s="30"/>
      <c r="I89" s="5"/>
      <c r="J89" s="53"/>
      <c r="L89" s="30"/>
      <c r="M89" s="30"/>
      <c r="N89" s="30"/>
      <c r="O89" s="30"/>
      <c r="P89" s="30"/>
      <c r="Q89" s="30"/>
      <c r="R89" s="30"/>
      <c r="S89" s="5"/>
      <c r="T89" s="53"/>
      <c r="V89" s="5">
        <f t="shared" si="84"/>
        <v>0</v>
      </c>
      <c r="W89" s="5">
        <f t="shared" si="81"/>
        <v>0</v>
      </c>
      <c r="X89" s="5">
        <f t="shared" si="81"/>
        <v>0</v>
      </c>
      <c r="Y89" s="5">
        <f t="shared" si="81"/>
        <v>0</v>
      </c>
      <c r="Z89" s="30"/>
      <c r="AA89" s="30"/>
      <c r="AB89" s="30"/>
      <c r="AC89" s="5"/>
    </row>
    <row r="90" spans="1:29" x14ac:dyDescent="0.35">
      <c r="A90" s="49" t="s">
        <v>84</v>
      </c>
      <c r="B90" s="50">
        <f>SUM(B82:B88)</f>
        <v>0</v>
      </c>
      <c r="C90" s="50">
        <f t="shared" ref="C90:I90" si="86">SUM(C82:C88)</f>
        <v>53200</v>
      </c>
      <c r="D90" s="50">
        <f t="shared" si="86"/>
        <v>584435.25</v>
      </c>
      <c r="E90" s="50"/>
      <c r="F90" s="50">
        <f t="shared" si="86"/>
        <v>0</v>
      </c>
      <c r="G90" s="50">
        <f t="shared" si="86"/>
        <v>0</v>
      </c>
      <c r="H90" s="50">
        <f t="shared" si="86"/>
        <v>0</v>
      </c>
      <c r="I90" s="50">
        <f t="shared" si="86"/>
        <v>637635.25</v>
      </c>
      <c r="J90" s="7"/>
      <c r="L90" s="50">
        <f>SUM(L82:L88)</f>
        <v>0</v>
      </c>
      <c r="M90" s="50">
        <f t="shared" ref="M90:N90" si="87">SUM(M82:M88)</f>
        <v>149150</v>
      </c>
      <c r="N90" s="50">
        <f t="shared" si="87"/>
        <v>1835001</v>
      </c>
      <c r="O90" s="50"/>
      <c r="P90" s="50">
        <f t="shared" ref="P90:S90" si="88">SUM(P82:P88)</f>
        <v>0</v>
      </c>
      <c r="Q90" s="50">
        <f t="shared" si="88"/>
        <v>0</v>
      </c>
      <c r="R90" s="50">
        <f t="shared" si="88"/>
        <v>0</v>
      </c>
      <c r="S90" s="50">
        <f t="shared" si="88"/>
        <v>1984151</v>
      </c>
      <c r="T90" s="7"/>
      <c r="V90" s="50">
        <f>SUM(V82:V88)</f>
        <v>0</v>
      </c>
      <c r="W90" s="50">
        <f t="shared" ref="W90:X90" si="89">SUM(W82:W88)</f>
        <v>202350</v>
      </c>
      <c r="X90" s="50">
        <f t="shared" si="89"/>
        <v>2419436.25</v>
      </c>
      <c r="Y90" s="50"/>
      <c r="Z90" s="50">
        <f t="shared" ref="Z90:AC90" si="90">SUM(Z82:Z88)</f>
        <v>0</v>
      </c>
      <c r="AA90" s="50">
        <f t="shared" si="90"/>
        <v>0</v>
      </c>
      <c r="AB90" s="50">
        <f t="shared" si="90"/>
        <v>0</v>
      </c>
      <c r="AC90" s="50">
        <f t="shared" si="90"/>
        <v>2621786.25</v>
      </c>
    </row>
    <row r="91" spans="1:29" x14ac:dyDescent="0.35">
      <c r="A91" s="51" t="s">
        <v>85</v>
      </c>
      <c r="B91" s="44"/>
      <c r="C91" s="44"/>
      <c r="D91" s="44"/>
      <c r="E91" s="44"/>
      <c r="F91" s="44"/>
      <c r="G91" s="44"/>
      <c r="H91" s="44"/>
      <c r="I91" s="45"/>
      <c r="J91" s="7"/>
      <c r="L91" s="44"/>
      <c r="M91" s="44"/>
      <c r="N91" s="44"/>
      <c r="O91" s="44"/>
      <c r="P91" s="44"/>
      <c r="Q91" s="44"/>
      <c r="R91" s="44"/>
      <c r="S91" s="45"/>
      <c r="T91" s="7"/>
      <c r="V91" s="44"/>
      <c r="W91" s="44"/>
      <c r="X91" s="44"/>
      <c r="Y91" s="44"/>
      <c r="Z91" s="44"/>
      <c r="AA91" s="44"/>
      <c r="AB91" s="44"/>
      <c r="AC91" s="45"/>
    </row>
    <row r="92" spans="1:29" x14ac:dyDescent="0.35">
      <c r="A92" s="26" t="s">
        <v>179</v>
      </c>
      <c r="B92" s="5">
        <v>0</v>
      </c>
      <c r="C92" s="5"/>
      <c r="D92" s="5"/>
      <c r="E92" s="5"/>
      <c r="F92" s="5"/>
      <c r="G92" s="5"/>
      <c r="H92" s="5"/>
      <c r="I92" s="5">
        <f t="shared" si="82"/>
        <v>0</v>
      </c>
      <c r="J92" s="11"/>
      <c r="L92" s="5">
        <v>0</v>
      </c>
      <c r="M92" s="5"/>
      <c r="N92" s="5"/>
      <c r="O92" s="5"/>
      <c r="P92" s="5"/>
      <c r="Q92" s="5"/>
      <c r="R92" s="5"/>
      <c r="S92" s="5">
        <f t="shared" ref="S92:S95" si="91">SUM(L92:R92)</f>
        <v>0</v>
      </c>
      <c r="T92" s="11"/>
      <c r="V92" s="5">
        <f>B92+L92</f>
        <v>0</v>
      </c>
      <c r="W92" s="5">
        <f t="shared" ref="W92:Y95" si="92">C92+M92</f>
        <v>0</v>
      </c>
      <c r="X92" s="5">
        <f t="shared" si="92"/>
        <v>0</v>
      </c>
      <c r="Y92" s="5">
        <f t="shared" si="92"/>
        <v>0</v>
      </c>
      <c r="Z92" s="5"/>
      <c r="AA92" s="5"/>
      <c r="AB92" s="5"/>
      <c r="AC92" s="5">
        <f t="shared" ref="AC92:AC95" si="93">SUM(V92:AB92)</f>
        <v>0</v>
      </c>
    </row>
    <row r="93" spans="1:29" x14ac:dyDescent="0.35">
      <c r="A93" s="26" t="s">
        <v>180</v>
      </c>
      <c r="B93" s="10">
        <v>0</v>
      </c>
      <c r="C93" s="10">
        <v>0</v>
      </c>
      <c r="D93" s="10">
        <v>0</v>
      </c>
      <c r="E93" s="10"/>
      <c r="F93" s="10">
        <f t="shared" ref="F93:H93" si="94">F161</f>
        <v>0</v>
      </c>
      <c r="G93" s="10">
        <f t="shared" si="94"/>
        <v>0</v>
      </c>
      <c r="H93" s="10">
        <f t="shared" si="94"/>
        <v>0</v>
      </c>
      <c r="I93" s="5">
        <f t="shared" si="82"/>
        <v>0</v>
      </c>
      <c r="J93" s="11"/>
      <c r="L93" s="10">
        <v>0</v>
      </c>
      <c r="M93" s="10">
        <v>0</v>
      </c>
      <c r="N93" s="10">
        <v>0</v>
      </c>
      <c r="O93" s="10"/>
      <c r="P93" s="10">
        <f t="shared" ref="P93:R93" si="95">P161</f>
        <v>0</v>
      </c>
      <c r="Q93" s="10">
        <f t="shared" si="95"/>
        <v>0</v>
      </c>
      <c r="R93" s="10">
        <f t="shared" si="95"/>
        <v>0</v>
      </c>
      <c r="S93" s="5">
        <f t="shared" si="91"/>
        <v>0</v>
      </c>
      <c r="T93" s="11"/>
      <c r="V93" s="5">
        <f t="shared" ref="V93:V95" si="96">B93+L93</f>
        <v>0</v>
      </c>
      <c r="W93" s="5">
        <f t="shared" si="92"/>
        <v>0</v>
      </c>
      <c r="X93" s="5">
        <f t="shared" si="92"/>
        <v>0</v>
      </c>
      <c r="Y93" s="5">
        <f t="shared" si="92"/>
        <v>0</v>
      </c>
      <c r="Z93" s="10">
        <f t="shared" ref="Z93:AB93" si="97">Z161</f>
        <v>0</v>
      </c>
      <c r="AA93" s="10">
        <f t="shared" si="97"/>
        <v>0</v>
      </c>
      <c r="AB93" s="10">
        <f t="shared" si="97"/>
        <v>0</v>
      </c>
      <c r="AC93" s="5">
        <f t="shared" si="93"/>
        <v>0</v>
      </c>
    </row>
    <row r="94" spans="1:29" x14ac:dyDescent="0.35">
      <c r="A94" s="26" t="s">
        <v>86</v>
      </c>
      <c r="B94" s="30"/>
      <c r="C94" s="30"/>
      <c r="D94" s="30"/>
      <c r="E94" s="30"/>
      <c r="F94" s="30"/>
      <c r="G94" s="30"/>
      <c r="H94" s="30"/>
      <c r="I94" s="30">
        <f t="shared" si="82"/>
        <v>0</v>
      </c>
      <c r="J94" s="11"/>
      <c r="L94" s="30"/>
      <c r="M94" s="30"/>
      <c r="N94" s="30"/>
      <c r="O94" s="30"/>
      <c r="P94" s="30"/>
      <c r="Q94" s="30"/>
      <c r="R94" s="30"/>
      <c r="S94" s="30">
        <f t="shared" si="91"/>
        <v>0</v>
      </c>
      <c r="T94" s="11"/>
      <c r="V94" s="5">
        <f t="shared" si="96"/>
        <v>0</v>
      </c>
      <c r="W94" s="5">
        <f t="shared" si="92"/>
        <v>0</v>
      </c>
      <c r="X94" s="5">
        <f t="shared" si="92"/>
        <v>0</v>
      </c>
      <c r="Y94" s="5">
        <f t="shared" si="92"/>
        <v>0</v>
      </c>
      <c r="Z94" s="30"/>
      <c r="AA94" s="30"/>
      <c r="AB94" s="30"/>
      <c r="AC94" s="30">
        <f t="shared" si="93"/>
        <v>0</v>
      </c>
    </row>
    <row r="95" spans="1:29" x14ac:dyDescent="0.35">
      <c r="A95" s="26" t="s">
        <v>178</v>
      </c>
      <c r="B95" s="30">
        <v>0</v>
      </c>
      <c r="C95" s="30"/>
      <c r="D95" s="30"/>
      <c r="E95" s="30"/>
      <c r="F95" s="30"/>
      <c r="G95" s="30"/>
      <c r="H95" s="30"/>
      <c r="I95" s="30">
        <f t="shared" si="82"/>
        <v>0</v>
      </c>
      <c r="J95" s="11"/>
      <c r="L95" s="30">
        <v>0</v>
      </c>
      <c r="M95" s="30"/>
      <c r="N95" s="30"/>
      <c r="O95" s="30"/>
      <c r="P95" s="30"/>
      <c r="Q95" s="30"/>
      <c r="R95" s="30"/>
      <c r="S95" s="30">
        <f t="shared" si="91"/>
        <v>0</v>
      </c>
      <c r="T95" s="11"/>
      <c r="V95" s="5">
        <f t="shared" si="96"/>
        <v>0</v>
      </c>
      <c r="W95" s="5">
        <f t="shared" si="92"/>
        <v>0</v>
      </c>
      <c r="X95" s="5">
        <f t="shared" si="92"/>
        <v>0</v>
      </c>
      <c r="Y95" s="5">
        <f t="shared" si="92"/>
        <v>0</v>
      </c>
      <c r="Z95" s="30"/>
      <c r="AA95" s="30"/>
      <c r="AB95" s="30"/>
      <c r="AC95" s="30">
        <f t="shared" si="93"/>
        <v>0</v>
      </c>
    </row>
    <row r="96" spans="1:29" x14ac:dyDescent="0.35">
      <c r="A96" s="49" t="s">
        <v>87</v>
      </c>
      <c r="B96" s="50">
        <f>SUM(B92:B95)</f>
        <v>0</v>
      </c>
      <c r="C96" s="50">
        <f t="shared" ref="C96:H96" si="98">SUM(C92:C95)</f>
        <v>0</v>
      </c>
      <c r="D96" s="50">
        <f t="shared" si="98"/>
        <v>0</v>
      </c>
      <c r="E96" s="50"/>
      <c r="F96" s="50">
        <f t="shared" si="98"/>
        <v>0</v>
      </c>
      <c r="G96" s="50">
        <f t="shared" si="98"/>
        <v>0</v>
      </c>
      <c r="H96" s="50">
        <f t="shared" si="98"/>
        <v>0</v>
      </c>
      <c r="I96" s="50">
        <f>SUM(I92:I95)</f>
        <v>0</v>
      </c>
      <c r="J96" s="7"/>
      <c r="L96" s="50">
        <f>SUM(L92:L95)</f>
        <v>0</v>
      </c>
      <c r="M96" s="50">
        <f t="shared" ref="M96:N96" si="99">SUM(M92:M95)</f>
        <v>0</v>
      </c>
      <c r="N96" s="50">
        <f t="shared" si="99"/>
        <v>0</v>
      </c>
      <c r="O96" s="50"/>
      <c r="P96" s="50">
        <f t="shared" ref="P96:R96" si="100">SUM(P92:P95)</f>
        <v>0</v>
      </c>
      <c r="Q96" s="50">
        <f t="shared" si="100"/>
        <v>0</v>
      </c>
      <c r="R96" s="50">
        <f t="shared" si="100"/>
        <v>0</v>
      </c>
      <c r="S96" s="50">
        <f>SUM(S92:S95)</f>
        <v>0</v>
      </c>
      <c r="T96" s="7"/>
      <c r="V96" s="50">
        <f>SUM(V92:V95)</f>
        <v>0</v>
      </c>
      <c r="W96" s="50">
        <f t="shared" ref="W96:X96" si="101">SUM(W92:W95)</f>
        <v>0</v>
      </c>
      <c r="X96" s="50">
        <f t="shared" si="101"/>
        <v>0</v>
      </c>
      <c r="Y96" s="50"/>
      <c r="Z96" s="50">
        <f t="shared" ref="Z96:AB96" si="102">SUM(Z92:Z95)</f>
        <v>0</v>
      </c>
      <c r="AA96" s="50">
        <f t="shared" si="102"/>
        <v>0</v>
      </c>
      <c r="AB96" s="50">
        <f t="shared" si="102"/>
        <v>0</v>
      </c>
      <c r="AC96" s="50">
        <f>SUM(AC92:AC95)</f>
        <v>0</v>
      </c>
    </row>
    <row r="97" spans="1:29" x14ac:dyDescent="0.35">
      <c r="A97" s="150" t="s">
        <v>88</v>
      </c>
      <c r="B97" s="151">
        <f t="shared" ref="B97:H97" si="103">B80+B90+B96</f>
        <v>5384212</v>
      </c>
      <c r="C97" s="151">
        <f t="shared" si="103"/>
        <v>331062</v>
      </c>
      <c r="D97" s="151">
        <f t="shared" si="103"/>
        <v>584435.25</v>
      </c>
      <c r="E97" s="151"/>
      <c r="F97" s="151">
        <f t="shared" si="103"/>
        <v>0</v>
      </c>
      <c r="G97" s="151">
        <f t="shared" si="103"/>
        <v>0</v>
      </c>
      <c r="H97" s="151">
        <f t="shared" si="103"/>
        <v>0</v>
      </c>
      <c r="I97" s="151">
        <f>I80+I90+I96</f>
        <v>6299709.25</v>
      </c>
      <c r="J97" s="7"/>
      <c r="L97" s="151">
        <f>L80+L90+L96</f>
        <v>16700998</v>
      </c>
      <c r="M97" s="151">
        <f t="shared" ref="M97:N97" si="104">M80+M90+M96</f>
        <v>817150</v>
      </c>
      <c r="N97" s="151">
        <f t="shared" si="104"/>
        <v>1835001</v>
      </c>
      <c r="O97" s="151"/>
      <c r="P97" s="151">
        <f t="shared" ref="P97:R97" si="105">P80+P90+P96</f>
        <v>0</v>
      </c>
      <c r="Q97" s="151">
        <f t="shared" si="105"/>
        <v>0</v>
      </c>
      <c r="R97" s="151">
        <f t="shared" si="105"/>
        <v>0</v>
      </c>
      <c r="S97" s="151">
        <f>S80+S90+S96</f>
        <v>19353149</v>
      </c>
      <c r="T97" s="7"/>
      <c r="V97" s="151">
        <f>V80+V90+V96</f>
        <v>22085210</v>
      </c>
      <c r="W97" s="151">
        <f t="shared" ref="W97:X97" si="106">W80+W90+W96</f>
        <v>1148212</v>
      </c>
      <c r="X97" s="151">
        <f t="shared" si="106"/>
        <v>2419436.25</v>
      </c>
      <c r="Y97" s="151"/>
      <c r="Z97" s="151">
        <f t="shared" ref="Z97:AB97" si="107">Z80+Z90+Z96</f>
        <v>0</v>
      </c>
      <c r="AA97" s="151">
        <f t="shared" si="107"/>
        <v>0</v>
      </c>
      <c r="AB97" s="151">
        <f t="shared" si="107"/>
        <v>0</v>
      </c>
      <c r="AC97" s="151">
        <f>AC80+AC90+AC96</f>
        <v>25652858.25</v>
      </c>
    </row>
    <row r="98" spans="1:29" x14ac:dyDescent="0.35">
      <c r="A98" s="51" t="s">
        <v>278</v>
      </c>
      <c r="B98" s="44"/>
      <c r="C98" s="44"/>
      <c r="D98" s="44"/>
      <c r="E98" s="44"/>
      <c r="F98" s="44"/>
      <c r="G98" s="44"/>
      <c r="H98" s="44"/>
      <c r="I98" s="45"/>
      <c r="J98" s="7"/>
      <c r="L98" s="44"/>
      <c r="M98" s="44"/>
      <c r="N98" s="44"/>
      <c r="O98" s="44"/>
      <c r="P98" s="44"/>
      <c r="Q98" s="44"/>
      <c r="R98" s="44"/>
      <c r="S98" s="45"/>
      <c r="T98" s="7"/>
      <c r="V98" s="44"/>
      <c r="W98" s="44"/>
      <c r="X98" s="44"/>
      <c r="Y98" s="44"/>
      <c r="Z98" s="44"/>
      <c r="AA98" s="44"/>
      <c r="AB98" s="44"/>
      <c r="AC98" s="45"/>
    </row>
    <row r="99" spans="1:29" x14ac:dyDescent="0.35">
      <c r="A99" s="26" t="s">
        <v>281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11"/>
      <c r="L99" s="5">
        <v>0</v>
      </c>
      <c r="M99" s="5"/>
      <c r="N99" s="5"/>
      <c r="O99" s="5"/>
      <c r="P99" s="5"/>
      <c r="Q99" s="5"/>
      <c r="R99" s="5"/>
      <c r="S99" s="5">
        <f>SUM(L99:R99)</f>
        <v>0</v>
      </c>
      <c r="T99" s="11"/>
      <c r="V99" s="5">
        <f>B99+L99</f>
        <v>0</v>
      </c>
      <c r="W99" s="5">
        <f t="shared" ref="W99:Y102" si="108">C99+M99</f>
        <v>0</v>
      </c>
      <c r="X99" s="5">
        <f t="shared" si="108"/>
        <v>0</v>
      </c>
      <c r="Y99" s="5">
        <f t="shared" si="108"/>
        <v>0</v>
      </c>
      <c r="Z99" s="5"/>
      <c r="AA99" s="5"/>
      <c r="AB99" s="5"/>
      <c r="AC99" s="5">
        <f>SUM(V99:AB99)</f>
        <v>0</v>
      </c>
    </row>
    <row r="100" spans="1:29" x14ac:dyDescent="0.35">
      <c r="A100" s="26" t="s">
        <v>279</v>
      </c>
      <c r="B100" s="10">
        <v>0</v>
      </c>
      <c r="C100" s="10">
        <v>0</v>
      </c>
      <c r="D100" s="10">
        <v>0</v>
      </c>
      <c r="E100" s="10"/>
      <c r="F100" s="10">
        <f t="shared" ref="F100:H100" si="109">F168</f>
        <v>0</v>
      </c>
      <c r="G100" s="10">
        <f t="shared" si="109"/>
        <v>0</v>
      </c>
      <c r="H100" s="10">
        <f t="shared" si="109"/>
        <v>0</v>
      </c>
      <c r="I100" s="5">
        <f t="shared" ref="I100:I102" si="110">SUM(B100:H100)</f>
        <v>0</v>
      </c>
      <c r="J100" s="11"/>
      <c r="L100" s="10">
        <v>0</v>
      </c>
      <c r="M100" s="10">
        <v>0</v>
      </c>
      <c r="N100" s="10">
        <v>0</v>
      </c>
      <c r="O100" s="10"/>
      <c r="P100" s="10">
        <f t="shared" ref="P100:R100" si="111">P168</f>
        <v>0</v>
      </c>
      <c r="Q100" s="10">
        <f t="shared" si="111"/>
        <v>0</v>
      </c>
      <c r="R100" s="10">
        <f t="shared" si="111"/>
        <v>0</v>
      </c>
      <c r="S100" s="5">
        <f t="shared" ref="S100:S102" si="112">SUM(L100:R100)</f>
        <v>0</v>
      </c>
      <c r="T100" s="11"/>
      <c r="V100" s="5">
        <f t="shared" ref="V100:V102" si="113">B100+L100</f>
        <v>0</v>
      </c>
      <c r="W100" s="5">
        <f t="shared" si="108"/>
        <v>0</v>
      </c>
      <c r="X100" s="5">
        <f t="shared" si="108"/>
        <v>0</v>
      </c>
      <c r="Y100" s="5">
        <f t="shared" si="108"/>
        <v>0</v>
      </c>
      <c r="Z100" s="10">
        <f t="shared" ref="Z100:AB100" si="114">Z168</f>
        <v>0</v>
      </c>
      <c r="AA100" s="10">
        <f t="shared" si="114"/>
        <v>0</v>
      </c>
      <c r="AB100" s="10">
        <f t="shared" si="114"/>
        <v>0</v>
      </c>
      <c r="AC100" s="5">
        <f t="shared" ref="AC100:AC102" si="115">SUM(V100:AB100)</f>
        <v>0</v>
      </c>
    </row>
    <row r="101" spans="1:29" x14ac:dyDescent="0.35">
      <c r="A101" s="26"/>
      <c r="B101" s="30"/>
      <c r="C101" s="30"/>
      <c r="D101" s="30"/>
      <c r="E101" s="30"/>
      <c r="F101" s="30"/>
      <c r="G101" s="30"/>
      <c r="H101" s="30"/>
      <c r="I101" s="5">
        <f t="shared" si="110"/>
        <v>0</v>
      </c>
      <c r="J101" s="11"/>
      <c r="L101" s="30"/>
      <c r="M101" s="30"/>
      <c r="N101" s="30"/>
      <c r="O101" s="30"/>
      <c r="P101" s="30"/>
      <c r="Q101" s="30"/>
      <c r="R101" s="30"/>
      <c r="S101" s="5">
        <f t="shared" si="112"/>
        <v>0</v>
      </c>
      <c r="T101" s="11"/>
      <c r="V101" s="5">
        <f t="shared" si="113"/>
        <v>0</v>
      </c>
      <c r="W101" s="5">
        <f t="shared" si="108"/>
        <v>0</v>
      </c>
      <c r="X101" s="5">
        <f t="shared" si="108"/>
        <v>0</v>
      </c>
      <c r="Y101" s="5">
        <f t="shared" si="108"/>
        <v>0</v>
      </c>
      <c r="Z101" s="30"/>
      <c r="AA101" s="30"/>
      <c r="AB101" s="30"/>
      <c r="AC101" s="5">
        <f t="shared" si="115"/>
        <v>0</v>
      </c>
    </row>
    <row r="102" spans="1:29" x14ac:dyDescent="0.35">
      <c r="A102" s="26"/>
      <c r="B102" s="30"/>
      <c r="C102" s="30"/>
      <c r="D102" s="30"/>
      <c r="E102" s="30"/>
      <c r="F102" s="30"/>
      <c r="G102" s="30"/>
      <c r="H102" s="30"/>
      <c r="I102" s="5">
        <f t="shared" si="110"/>
        <v>0</v>
      </c>
      <c r="J102" s="11"/>
      <c r="L102" s="30"/>
      <c r="M102" s="30"/>
      <c r="N102" s="30"/>
      <c r="O102" s="30"/>
      <c r="P102" s="30"/>
      <c r="Q102" s="30"/>
      <c r="R102" s="30"/>
      <c r="S102" s="5">
        <f t="shared" si="112"/>
        <v>0</v>
      </c>
      <c r="T102" s="11"/>
      <c r="V102" s="5">
        <f t="shared" si="113"/>
        <v>0</v>
      </c>
      <c r="W102" s="5">
        <f t="shared" si="108"/>
        <v>0</v>
      </c>
      <c r="X102" s="5">
        <f t="shared" si="108"/>
        <v>0</v>
      </c>
      <c r="Y102" s="5">
        <f t="shared" si="108"/>
        <v>0</v>
      </c>
      <c r="Z102" s="30"/>
      <c r="AA102" s="30"/>
      <c r="AB102" s="30"/>
      <c r="AC102" s="5">
        <f t="shared" si="115"/>
        <v>0</v>
      </c>
    </row>
    <row r="103" spans="1:29" x14ac:dyDescent="0.35">
      <c r="A103" s="49" t="s">
        <v>280</v>
      </c>
      <c r="B103" s="50">
        <f>SUM(B99:B102)</f>
        <v>0</v>
      </c>
      <c r="C103" s="50">
        <f t="shared" ref="C103:I103" si="116">SUM(C99:C102)</f>
        <v>0</v>
      </c>
      <c r="D103" s="50">
        <f t="shared" si="116"/>
        <v>0</v>
      </c>
      <c r="E103" s="50">
        <f t="shared" si="116"/>
        <v>0</v>
      </c>
      <c r="F103" s="50">
        <f t="shared" si="116"/>
        <v>0</v>
      </c>
      <c r="G103" s="50">
        <f t="shared" si="116"/>
        <v>0</v>
      </c>
      <c r="H103" s="50">
        <f t="shared" si="116"/>
        <v>0</v>
      </c>
      <c r="I103" s="50">
        <f t="shared" si="116"/>
        <v>0</v>
      </c>
      <c r="J103" s="7"/>
      <c r="L103" s="50">
        <f>SUM(L99:L102)</f>
        <v>0</v>
      </c>
      <c r="M103" s="50">
        <f t="shared" ref="M103:S103" si="117">SUM(M99:M102)</f>
        <v>0</v>
      </c>
      <c r="N103" s="50">
        <f t="shared" si="117"/>
        <v>0</v>
      </c>
      <c r="O103" s="50">
        <f t="shared" si="117"/>
        <v>0</v>
      </c>
      <c r="P103" s="50">
        <f t="shared" si="117"/>
        <v>0</v>
      </c>
      <c r="Q103" s="50">
        <f t="shared" si="117"/>
        <v>0</v>
      </c>
      <c r="R103" s="50">
        <f t="shared" si="117"/>
        <v>0</v>
      </c>
      <c r="S103" s="50">
        <f t="shared" si="117"/>
        <v>0</v>
      </c>
      <c r="T103" s="7"/>
      <c r="V103" s="50">
        <f>SUM(V99:V102)</f>
        <v>0</v>
      </c>
      <c r="W103" s="50">
        <f t="shared" ref="W103:AC103" si="118">SUM(W99:W102)</f>
        <v>0</v>
      </c>
      <c r="X103" s="50">
        <f t="shared" si="118"/>
        <v>0</v>
      </c>
      <c r="Y103" s="50">
        <f t="shared" si="118"/>
        <v>0</v>
      </c>
      <c r="Z103" s="50">
        <f t="shared" si="118"/>
        <v>0</v>
      </c>
      <c r="AA103" s="50">
        <f t="shared" si="118"/>
        <v>0</v>
      </c>
      <c r="AB103" s="50">
        <f t="shared" si="118"/>
        <v>0</v>
      </c>
      <c r="AC103" s="50">
        <f t="shared" si="118"/>
        <v>0</v>
      </c>
    </row>
    <row r="104" spans="1:29" ht="15" thickBot="1" x14ac:dyDescent="0.4">
      <c r="A104" s="26"/>
      <c r="B104" s="37"/>
      <c r="C104" s="37"/>
      <c r="D104" s="37"/>
      <c r="E104" s="37"/>
      <c r="F104" s="37"/>
      <c r="G104" s="37"/>
      <c r="H104" s="37"/>
      <c r="I104" s="37"/>
      <c r="J104" s="7"/>
      <c r="L104" s="37"/>
      <c r="M104" s="37"/>
      <c r="N104" s="37"/>
      <c r="O104" s="37"/>
      <c r="P104" s="37"/>
      <c r="Q104" s="37"/>
      <c r="R104" s="37"/>
      <c r="S104" s="37"/>
      <c r="T104" s="7"/>
      <c r="V104" s="37"/>
      <c r="W104" s="37"/>
      <c r="X104" s="37"/>
      <c r="Y104" s="37"/>
      <c r="Z104" s="37"/>
      <c r="AA104" s="37"/>
      <c r="AB104" s="37"/>
      <c r="AC104" s="37"/>
    </row>
    <row r="105" spans="1:29" ht="15" thickBot="1" x14ac:dyDescent="0.4">
      <c r="A105" s="55" t="s">
        <v>89</v>
      </c>
      <c r="B105" s="56" t="str">
        <f t="shared" ref="B105:I105" si="119">B1</f>
        <v>Operating</v>
      </c>
      <c r="C105" s="56" t="str">
        <f t="shared" si="119"/>
        <v>SPED</v>
      </c>
      <c r="D105" s="56" t="str">
        <f t="shared" si="119"/>
        <v>NSLP</v>
      </c>
      <c r="E105" s="56" t="str">
        <f t="shared" si="119"/>
        <v>Other</v>
      </c>
      <c r="F105" s="56" t="str">
        <f t="shared" si="119"/>
        <v>Title I</v>
      </c>
      <c r="G105" s="56" t="str">
        <f t="shared" si="119"/>
        <v>Title II</v>
      </c>
      <c r="H105" s="56" t="str">
        <f t="shared" si="119"/>
        <v>Title III</v>
      </c>
      <c r="I105" s="56" t="str">
        <f t="shared" si="119"/>
        <v>B&amp;G</v>
      </c>
      <c r="J105" s="7"/>
      <c r="L105" s="56" t="str">
        <f t="shared" ref="L105:S105" si="120">L1</f>
        <v>Operating</v>
      </c>
      <c r="M105" s="56" t="str">
        <f t="shared" si="120"/>
        <v>SPED</v>
      </c>
      <c r="N105" s="56" t="str">
        <f t="shared" si="120"/>
        <v>NSLP</v>
      </c>
      <c r="O105" s="56" t="str">
        <f t="shared" si="120"/>
        <v>Other</v>
      </c>
      <c r="P105" s="56" t="str">
        <f t="shared" si="120"/>
        <v>Title I</v>
      </c>
      <c r="Q105" s="56" t="str">
        <f t="shared" si="120"/>
        <v>Title II</v>
      </c>
      <c r="R105" s="56" t="str">
        <f t="shared" si="120"/>
        <v>Title III</v>
      </c>
      <c r="S105" s="56" t="str">
        <f t="shared" si="120"/>
        <v>New</v>
      </c>
      <c r="T105" s="7"/>
      <c r="V105" s="56" t="str">
        <f t="shared" ref="V105:AC105" si="121">V1</f>
        <v>Operating</v>
      </c>
      <c r="W105" s="56" t="str">
        <f t="shared" si="121"/>
        <v>SPED</v>
      </c>
      <c r="X105" s="56" t="str">
        <f t="shared" si="121"/>
        <v>NSLP</v>
      </c>
      <c r="Y105" s="56" t="str">
        <f t="shared" si="121"/>
        <v>Other</v>
      </c>
      <c r="Z105" s="56" t="str">
        <f t="shared" si="121"/>
        <v>Title I</v>
      </c>
      <c r="AA105" s="56" t="str">
        <f t="shared" si="121"/>
        <v>Title II</v>
      </c>
      <c r="AB105" s="56" t="str">
        <f t="shared" si="121"/>
        <v>Title III</v>
      </c>
      <c r="AC105" s="56" t="str">
        <f t="shared" si="121"/>
        <v>MANN</v>
      </c>
    </row>
    <row r="106" spans="1:29" x14ac:dyDescent="0.35">
      <c r="A106" s="43" t="s">
        <v>90</v>
      </c>
      <c r="B106" s="44"/>
      <c r="C106" s="44"/>
      <c r="D106" s="44"/>
      <c r="E106" s="44"/>
      <c r="F106" s="44"/>
      <c r="G106" s="44"/>
      <c r="H106" s="44"/>
      <c r="I106" s="45"/>
      <c r="J106" s="7"/>
      <c r="L106" s="44"/>
      <c r="M106" s="44"/>
      <c r="N106" s="44"/>
      <c r="O106" s="44"/>
      <c r="P106" s="44"/>
      <c r="Q106" s="44"/>
      <c r="R106" s="44"/>
      <c r="S106" s="45"/>
      <c r="T106" s="7"/>
      <c r="V106" s="44"/>
      <c r="W106" s="44"/>
      <c r="X106" s="44"/>
      <c r="Y106" s="44"/>
      <c r="Z106" s="44"/>
      <c r="AA106" s="44"/>
      <c r="AB106" s="44"/>
      <c r="AC106" s="45"/>
    </row>
    <row r="107" spans="1:29" x14ac:dyDescent="0.35">
      <c r="A107" s="26" t="s">
        <v>40</v>
      </c>
      <c r="B107" s="72">
        <f>120000*1.03*1.015*1.015*1.015*1.01*1.013</f>
        <v>132235.30359457943</v>
      </c>
      <c r="C107" s="10"/>
      <c r="D107" s="5"/>
      <c r="E107" s="5"/>
      <c r="F107" s="5"/>
      <c r="G107" s="5"/>
      <c r="H107" s="5"/>
      <c r="I107" s="5">
        <f t="shared" ref="I107:I120" si="122">SUM(B107:H107)</f>
        <v>132235.30359457943</v>
      </c>
      <c r="J107" s="11"/>
      <c r="L107" s="72">
        <f>140000*1.015*1.05*1.015*1.015*1.015</f>
        <v>156020.44194187497</v>
      </c>
      <c r="M107" s="10"/>
      <c r="N107" s="5"/>
      <c r="O107" s="5"/>
      <c r="P107" s="5"/>
      <c r="Q107" s="5"/>
      <c r="R107" s="5"/>
      <c r="S107" s="5">
        <f t="shared" ref="S107:S120" si="123">SUM(L107:R107)</f>
        <v>156020.44194187497</v>
      </c>
      <c r="T107" s="11"/>
      <c r="V107" s="72">
        <f>B107+L107</f>
        <v>288255.74553645437</v>
      </c>
      <c r="W107" s="72">
        <f t="shared" ref="W107:Y120" si="124">C107+M107</f>
        <v>0</v>
      </c>
      <c r="X107" s="72">
        <f t="shared" si="124"/>
        <v>0</v>
      </c>
      <c r="Y107" s="72">
        <f t="shared" si="124"/>
        <v>0</v>
      </c>
      <c r="Z107" s="5"/>
      <c r="AA107" s="5"/>
      <c r="AB107" s="5"/>
      <c r="AC107" s="5">
        <f t="shared" ref="AC107:AC120" si="125">SUM(V107:AB107)</f>
        <v>288255.74553645437</v>
      </c>
    </row>
    <row r="108" spans="1:29" x14ac:dyDescent="0.35">
      <c r="A108" s="26" t="s">
        <v>91</v>
      </c>
      <c r="B108" s="72">
        <f>100000*1.015*1.015*1.01*1.013</f>
        <v>105405.41042499997</v>
      </c>
      <c r="C108" s="10"/>
      <c r="D108" s="5"/>
      <c r="E108" s="5"/>
      <c r="F108" s="5"/>
      <c r="G108" s="5"/>
      <c r="H108" s="5"/>
      <c r="I108" s="5">
        <f t="shared" si="122"/>
        <v>105405.41042499997</v>
      </c>
      <c r="J108" s="11"/>
      <c r="L108" s="72">
        <f>(95000+100000+95000)*1.015*1.02*1.015*1.015*1.015*1.013</f>
        <v>318032.70567244833</v>
      </c>
      <c r="M108" s="10"/>
      <c r="N108" s="5"/>
      <c r="O108" s="5"/>
      <c r="P108" s="5"/>
      <c r="Q108" s="5"/>
      <c r="R108" s="5"/>
      <c r="S108" s="5">
        <f t="shared" si="123"/>
        <v>318032.70567244833</v>
      </c>
      <c r="T108" s="11"/>
      <c r="V108" s="72">
        <f t="shared" ref="V108:V120" si="126">B108+L108</f>
        <v>423438.11609744828</v>
      </c>
      <c r="W108" s="72">
        <f t="shared" si="124"/>
        <v>0</v>
      </c>
      <c r="X108" s="72">
        <f t="shared" si="124"/>
        <v>0</v>
      </c>
      <c r="Y108" s="72">
        <f t="shared" si="124"/>
        <v>0</v>
      </c>
      <c r="Z108" s="5"/>
      <c r="AA108" s="5"/>
      <c r="AB108" s="5"/>
      <c r="AC108" s="5">
        <f t="shared" si="125"/>
        <v>423438.11609744828</v>
      </c>
    </row>
    <row r="109" spans="1:29" x14ac:dyDescent="0.35">
      <c r="A109" s="26" t="s">
        <v>34</v>
      </c>
      <c r="B109" s="72">
        <v>0</v>
      </c>
      <c r="C109" s="10"/>
      <c r="D109" s="5"/>
      <c r="E109" s="5"/>
      <c r="F109" s="5"/>
      <c r="G109" s="5"/>
      <c r="H109" s="5"/>
      <c r="I109" s="5">
        <f t="shared" si="122"/>
        <v>0</v>
      </c>
      <c r="J109" s="11"/>
      <c r="L109" s="72">
        <f>(80000*L41)*1.015*1.015*1.015*1.015*1.013</f>
        <v>86012.902142649938</v>
      </c>
      <c r="M109" s="10"/>
      <c r="N109" s="5"/>
      <c r="O109" s="5"/>
      <c r="P109" s="5"/>
      <c r="Q109" s="5"/>
      <c r="R109" s="5"/>
      <c r="S109" s="5">
        <f t="shared" si="123"/>
        <v>86012.902142649938</v>
      </c>
      <c r="T109" s="11"/>
      <c r="V109" s="72">
        <f t="shared" si="126"/>
        <v>86012.902142649938</v>
      </c>
      <c r="W109" s="72">
        <f t="shared" si="124"/>
        <v>0</v>
      </c>
      <c r="X109" s="72">
        <f t="shared" si="124"/>
        <v>0</v>
      </c>
      <c r="Y109" s="72">
        <f t="shared" si="124"/>
        <v>0</v>
      </c>
      <c r="Z109" s="5"/>
      <c r="AA109" s="5"/>
      <c r="AB109" s="5"/>
      <c r="AC109" s="5">
        <f t="shared" si="125"/>
        <v>86012.902142649938</v>
      </c>
    </row>
    <row r="110" spans="1:29" x14ac:dyDescent="0.35">
      <c r="A110" s="27" t="s">
        <v>36</v>
      </c>
      <c r="B110" s="72">
        <v>0</v>
      </c>
      <c r="C110" s="10"/>
      <c r="D110" s="5"/>
      <c r="E110" s="5"/>
      <c r="F110" s="5"/>
      <c r="G110" s="5"/>
      <c r="H110" s="5"/>
      <c r="I110" s="5">
        <f t="shared" si="122"/>
        <v>0</v>
      </c>
      <c r="J110" s="11"/>
      <c r="L110" s="72">
        <v>0</v>
      </c>
      <c r="M110" s="10"/>
      <c r="N110" s="5"/>
      <c r="O110" s="5"/>
      <c r="P110" s="5"/>
      <c r="Q110" s="5"/>
      <c r="R110" s="5"/>
      <c r="S110" s="5">
        <f t="shared" si="123"/>
        <v>0</v>
      </c>
      <c r="T110" s="11"/>
      <c r="V110" s="72">
        <f t="shared" si="126"/>
        <v>0</v>
      </c>
      <c r="W110" s="72">
        <f t="shared" si="124"/>
        <v>0</v>
      </c>
      <c r="X110" s="72">
        <f t="shared" si="124"/>
        <v>0</v>
      </c>
      <c r="Y110" s="72">
        <f t="shared" si="124"/>
        <v>0</v>
      </c>
      <c r="Z110" s="5"/>
      <c r="AA110" s="5"/>
      <c r="AB110" s="5"/>
      <c r="AC110" s="5">
        <f t="shared" si="125"/>
        <v>0</v>
      </c>
    </row>
    <row r="111" spans="1:29" x14ac:dyDescent="0.35">
      <c r="A111" s="27" t="s">
        <v>38</v>
      </c>
      <c r="B111" s="72">
        <f>87500*1.015*1.015*1.015*1.015</f>
        <v>92869.310679687449</v>
      </c>
      <c r="C111" s="10"/>
      <c r="D111" s="5"/>
      <c r="E111" s="5"/>
      <c r="F111" s="5"/>
      <c r="G111" s="5"/>
      <c r="H111" s="5"/>
      <c r="I111" s="5">
        <f t="shared" si="122"/>
        <v>92869.310679687449</v>
      </c>
      <c r="J111" s="11"/>
      <c r="L111" s="72">
        <f>(L43*80000)*1.015*1.015*1.015*1.015*1.013</f>
        <v>172025.80428529988</v>
      </c>
      <c r="M111" s="10"/>
      <c r="N111" s="5"/>
      <c r="O111" s="5"/>
      <c r="P111" s="5"/>
      <c r="Q111" s="5"/>
      <c r="R111" s="5"/>
      <c r="S111" s="5">
        <f t="shared" si="123"/>
        <v>172025.80428529988</v>
      </c>
      <c r="T111" s="11"/>
      <c r="V111" s="72">
        <f t="shared" si="126"/>
        <v>264895.11496498733</v>
      </c>
      <c r="W111" s="72">
        <f t="shared" si="124"/>
        <v>0</v>
      </c>
      <c r="X111" s="72">
        <f t="shared" si="124"/>
        <v>0</v>
      </c>
      <c r="Y111" s="72">
        <f t="shared" si="124"/>
        <v>0</v>
      </c>
      <c r="Z111" s="5"/>
      <c r="AA111" s="5"/>
      <c r="AB111" s="5"/>
      <c r="AC111" s="5">
        <f t="shared" si="125"/>
        <v>264895.11496498733</v>
      </c>
    </row>
    <row r="112" spans="1:29" x14ac:dyDescent="0.35">
      <c r="A112" s="26" t="s">
        <v>92</v>
      </c>
      <c r="B112" s="72">
        <f>87500*1.015*1.015*1.015*1.015</f>
        <v>92869.310679687449</v>
      </c>
      <c r="C112" s="10"/>
      <c r="D112" s="5"/>
      <c r="E112" s="5"/>
      <c r="F112" s="5"/>
      <c r="G112" s="5"/>
      <c r="H112" s="5"/>
      <c r="I112" s="5">
        <f t="shared" si="122"/>
        <v>92869.310679687449</v>
      </c>
      <c r="J112" s="11"/>
      <c r="L112" s="72">
        <f>(80000*L44)*1.015*1.015*1.015*1.015*1.013</f>
        <v>258038.70642794986</v>
      </c>
      <c r="M112" s="10"/>
      <c r="N112" s="5"/>
      <c r="O112" s="5"/>
      <c r="P112" s="5"/>
      <c r="Q112" s="5"/>
      <c r="R112" s="5"/>
      <c r="S112" s="5">
        <f t="shared" si="123"/>
        <v>258038.70642794986</v>
      </c>
      <c r="T112" s="11"/>
      <c r="V112" s="72">
        <f t="shared" si="126"/>
        <v>350908.01710763731</v>
      </c>
      <c r="W112" s="72">
        <f t="shared" si="124"/>
        <v>0</v>
      </c>
      <c r="X112" s="72">
        <f t="shared" si="124"/>
        <v>0</v>
      </c>
      <c r="Y112" s="72">
        <f t="shared" si="124"/>
        <v>0</v>
      </c>
      <c r="Z112" s="5"/>
      <c r="AA112" s="5"/>
      <c r="AB112" s="5"/>
      <c r="AC112" s="5">
        <f t="shared" si="125"/>
        <v>350908.01710763731</v>
      </c>
    </row>
    <row r="113" spans="1:29" x14ac:dyDescent="0.35">
      <c r="A113" s="26" t="s">
        <v>93</v>
      </c>
      <c r="B113" s="10">
        <v>0</v>
      </c>
      <c r="C113" s="10"/>
      <c r="D113" s="5"/>
      <c r="E113" s="5"/>
      <c r="F113" s="5"/>
      <c r="G113" s="5"/>
      <c r="H113" s="5"/>
      <c r="I113" s="5">
        <f t="shared" si="122"/>
        <v>0</v>
      </c>
      <c r="J113" s="11"/>
      <c r="L113" s="72">
        <f>(75000*L45)*1.015*1.015*1.015*1.015*1.013</f>
        <v>80637.095758734315</v>
      </c>
      <c r="M113" s="10"/>
      <c r="N113" s="5"/>
      <c r="O113" s="5"/>
      <c r="P113" s="5"/>
      <c r="Q113" s="5"/>
      <c r="R113" s="5"/>
      <c r="S113" s="5">
        <f t="shared" si="123"/>
        <v>80637.095758734315</v>
      </c>
      <c r="T113" s="11"/>
      <c r="V113" s="72">
        <f t="shared" si="126"/>
        <v>80637.095758734315</v>
      </c>
      <c r="W113" s="72">
        <f t="shared" si="124"/>
        <v>0</v>
      </c>
      <c r="X113" s="72">
        <f t="shared" si="124"/>
        <v>0</v>
      </c>
      <c r="Y113" s="72">
        <f t="shared" si="124"/>
        <v>0</v>
      </c>
      <c r="Z113" s="5"/>
      <c r="AA113" s="5"/>
      <c r="AB113" s="5"/>
      <c r="AC113" s="5">
        <f t="shared" si="125"/>
        <v>80637.095758734315</v>
      </c>
    </row>
    <row r="114" spans="1:29" x14ac:dyDescent="0.35">
      <c r="A114" s="26" t="s">
        <v>94</v>
      </c>
      <c r="B114" s="10">
        <f>66100*(B36-B35)</f>
        <v>1388100</v>
      </c>
      <c r="C114" s="10"/>
      <c r="D114" s="5"/>
      <c r="E114" s="5"/>
      <c r="F114" s="5"/>
      <c r="G114" s="5"/>
      <c r="H114" s="5"/>
      <c r="I114" s="5">
        <f t="shared" si="122"/>
        <v>1388100</v>
      </c>
      <c r="J114" s="6">
        <v>66100</v>
      </c>
      <c r="L114" s="10">
        <f>66100*(L36-L35)</f>
        <v>4098200</v>
      </c>
      <c r="M114" s="10"/>
      <c r="N114" s="5"/>
      <c r="O114" s="5"/>
      <c r="P114" s="5"/>
      <c r="Q114" s="5"/>
      <c r="R114" s="5"/>
      <c r="S114" s="5">
        <f t="shared" si="123"/>
        <v>4098200</v>
      </c>
      <c r="T114" s="6">
        <v>66100</v>
      </c>
      <c r="V114" s="72">
        <f t="shared" si="126"/>
        <v>5486300</v>
      </c>
      <c r="W114" s="72">
        <f t="shared" si="124"/>
        <v>0</v>
      </c>
      <c r="X114" s="72">
        <f t="shared" si="124"/>
        <v>0</v>
      </c>
      <c r="Y114" s="72">
        <f t="shared" si="124"/>
        <v>0</v>
      </c>
      <c r="Z114" s="5"/>
      <c r="AA114" s="5"/>
      <c r="AB114" s="5"/>
      <c r="AC114" s="5">
        <f t="shared" si="125"/>
        <v>5486300</v>
      </c>
    </row>
    <row r="115" spans="1:29" x14ac:dyDescent="0.35">
      <c r="A115" s="26" t="s">
        <v>27</v>
      </c>
      <c r="B115" s="10"/>
      <c r="C115" s="10">
        <f>66100*C36</f>
        <v>198300</v>
      </c>
      <c r="D115" s="5"/>
      <c r="E115" s="5"/>
      <c r="F115" s="5"/>
      <c r="G115" s="5"/>
      <c r="H115" s="5"/>
      <c r="I115" s="5">
        <f t="shared" si="122"/>
        <v>198300</v>
      </c>
      <c r="J115" s="11"/>
      <c r="L115" s="10"/>
      <c r="M115" s="10">
        <f>66100*M36</f>
        <v>462700</v>
      </c>
      <c r="N115" s="5"/>
      <c r="O115" s="5"/>
      <c r="P115" s="5"/>
      <c r="Q115" s="5"/>
      <c r="R115" s="5"/>
      <c r="S115" s="5">
        <f t="shared" si="123"/>
        <v>462700</v>
      </c>
      <c r="T115" s="11"/>
      <c r="V115" s="72">
        <f t="shared" si="126"/>
        <v>0</v>
      </c>
      <c r="W115" s="72">
        <f t="shared" si="124"/>
        <v>661000</v>
      </c>
      <c r="X115" s="72">
        <f t="shared" si="124"/>
        <v>0</v>
      </c>
      <c r="Y115" s="72">
        <f t="shared" si="124"/>
        <v>0</v>
      </c>
      <c r="Z115" s="5"/>
      <c r="AA115" s="5"/>
      <c r="AB115" s="5"/>
      <c r="AC115" s="5">
        <f t="shared" si="125"/>
        <v>661000</v>
      </c>
    </row>
    <row r="116" spans="1:29" x14ac:dyDescent="0.35">
      <c r="A116" s="26" t="s">
        <v>95</v>
      </c>
      <c r="B116" s="72">
        <f>(50000+67200)*1.03*1.015*1.015*1.015*1.01*1.013</f>
        <v>129149.81317737261</v>
      </c>
      <c r="C116" s="10"/>
      <c r="D116" s="5"/>
      <c r="E116" s="5"/>
      <c r="F116" s="5"/>
      <c r="G116" s="5"/>
      <c r="H116" s="5"/>
      <c r="I116" s="5">
        <f t="shared" si="122"/>
        <v>129149.81317737261</v>
      </c>
      <c r="J116" s="11"/>
      <c r="L116" s="72">
        <f>(52000+45000)*1.015*1.015*1.015*1.015*1.015*1.013+(25*8*190*2)</f>
        <v>181855.00350568251</v>
      </c>
      <c r="M116" s="10"/>
      <c r="N116" s="5"/>
      <c r="O116" s="5"/>
      <c r="P116" s="5"/>
      <c r="Q116" s="5"/>
      <c r="R116" s="5"/>
      <c r="S116" s="5">
        <f t="shared" si="123"/>
        <v>181855.00350568251</v>
      </c>
      <c r="T116" s="11"/>
      <c r="V116" s="72">
        <f t="shared" si="126"/>
        <v>311004.81668305513</v>
      </c>
      <c r="W116" s="72">
        <f t="shared" si="124"/>
        <v>0</v>
      </c>
      <c r="X116" s="72">
        <f t="shared" si="124"/>
        <v>0</v>
      </c>
      <c r="Y116" s="72">
        <f t="shared" si="124"/>
        <v>0</v>
      </c>
      <c r="Z116" s="5"/>
      <c r="AA116" s="5"/>
      <c r="AB116" s="5"/>
      <c r="AC116" s="5">
        <f t="shared" si="125"/>
        <v>311004.81668305513</v>
      </c>
    </row>
    <row r="117" spans="1:29" x14ac:dyDescent="0.35">
      <c r="A117" s="26" t="s">
        <v>96</v>
      </c>
      <c r="B117" s="10">
        <f>33120*1.03*1.015*1.015*1.015*1.01*1.013</f>
        <v>36496.943792103928</v>
      </c>
      <c r="C117" s="10"/>
      <c r="D117" s="5"/>
      <c r="E117" s="5"/>
      <c r="F117" s="5"/>
      <c r="G117" s="5"/>
      <c r="H117" s="5"/>
      <c r="I117" s="5">
        <f t="shared" si="122"/>
        <v>36496.943792103928</v>
      </c>
      <c r="J117" s="11"/>
      <c r="L117" s="10">
        <f>(25*8*185)*(L48+L49)</f>
        <v>74000</v>
      </c>
      <c r="M117" s="10"/>
      <c r="N117" s="5"/>
      <c r="O117" s="5"/>
      <c r="P117" s="5"/>
      <c r="Q117" s="5"/>
      <c r="R117" s="5"/>
      <c r="S117" s="5">
        <f t="shared" si="123"/>
        <v>74000</v>
      </c>
      <c r="T117" s="11"/>
      <c r="V117" s="72">
        <f t="shared" si="126"/>
        <v>110496.94379210394</v>
      </c>
      <c r="W117" s="72">
        <f t="shared" si="124"/>
        <v>0</v>
      </c>
      <c r="X117" s="72">
        <f t="shared" si="124"/>
        <v>0</v>
      </c>
      <c r="Y117" s="72">
        <f t="shared" si="124"/>
        <v>0</v>
      </c>
      <c r="Z117" s="5"/>
      <c r="AA117" s="5"/>
      <c r="AB117" s="5"/>
      <c r="AC117" s="5">
        <f t="shared" si="125"/>
        <v>110496.94379210394</v>
      </c>
    </row>
    <row r="118" spans="1:29" x14ac:dyDescent="0.35">
      <c r="A118" s="26" t="s">
        <v>292</v>
      </c>
      <c r="B118" s="10">
        <f>((25*8*180)*B50)</f>
        <v>180000</v>
      </c>
      <c r="C118" s="10">
        <f t="shared" ref="C118:E118" si="127">((25*8*180)*C50)</f>
        <v>108000</v>
      </c>
      <c r="D118" s="10">
        <f t="shared" si="127"/>
        <v>72000</v>
      </c>
      <c r="E118" s="10">
        <f t="shared" si="127"/>
        <v>0</v>
      </c>
      <c r="F118" s="5">
        <f>(14*8*180)*F50</f>
        <v>0</v>
      </c>
      <c r="G118" s="5"/>
      <c r="H118" s="5"/>
      <c r="I118" s="5">
        <f t="shared" si="122"/>
        <v>360000</v>
      </c>
      <c r="J118" s="11"/>
      <c r="L118" s="10">
        <f>((25*8*180)*L50)</f>
        <v>288000</v>
      </c>
      <c r="M118" s="10">
        <f t="shared" ref="M118:O118" si="128">((25*8*180)*M50)</f>
        <v>252000</v>
      </c>
      <c r="N118" s="10">
        <f t="shared" si="128"/>
        <v>144000</v>
      </c>
      <c r="O118" s="10">
        <f t="shared" si="128"/>
        <v>0</v>
      </c>
      <c r="P118" s="5">
        <f>(14*8*180)*P50</f>
        <v>0</v>
      </c>
      <c r="Q118" s="5"/>
      <c r="R118" s="5"/>
      <c r="S118" s="5">
        <f t="shared" si="123"/>
        <v>684000</v>
      </c>
      <c r="T118" s="11"/>
      <c r="V118" s="72">
        <f t="shared" si="126"/>
        <v>468000</v>
      </c>
      <c r="W118" s="72">
        <f t="shared" si="124"/>
        <v>360000</v>
      </c>
      <c r="X118" s="72">
        <f t="shared" si="124"/>
        <v>216000</v>
      </c>
      <c r="Y118" s="72">
        <f t="shared" si="124"/>
        <v>0</v>
      </c>
      <c r="Z118" s="5">
        <f>(14*8*180)*Z50</f>
        <v>0</v>
      </c>
      <c r="AA118" s="5"/>
      <c r="AB118" s="5"/>
      <c r="AC118" s="5">
        <f t="shared" si="125"/>
        <v>1044000</v>
      </c>
    </row>
    <row r="119" spans="1:29" x14ac:dyDescent="0.35">
      <c r="A119" s="26" t="s">
        <v>97</v>
      </c>
      <c r="B119" s="10">
        <f>(24.5*8*240)*B51</f>
        <v>0</v>
      </c>
      <c r="C119" s="10"/>
      <c r="D119" s="5"/>
      <c r="E119" s="5"/>
      <c r="F119" s="5"/>
      <c r="G119" s="5"/>
      <c r="H119" s="5"/>
      <c r="I119" s="5">
        <f t="shared" si="122"/>
        <v>0</v>
      </c>
      <c r="J119" s="11"/>
      <c r="L119" s="10">
        <f>(25*8*240)*L51</f>
        <v>288000</v>
      </c>
      <c r="M119" s="10"/>
      <c r="N119" s="5"/>
      <c r="O119" s="5"/>
      <c r="P119" s="5"/>
      <c r="Q119" s="5"/>
      <c r="R119" s="5"/>
      <c r="S119" s="5">
        <f t="shared" si="123"/>
        <v>288000</v>
      </c>
      <c r="T119" s="11"/>
      <c r="V119" s="72">
        <f t="shared" si="126"/>
        <v>288000</v>
      </c>
      <c r="W119" s="72">
        <f t="shared" si="124"/>
        <v>0</v>
      </c>
      <c r="X119" s="72">
        <f t="shared" si="124"/>
        <v>0</v>
      </c>
      <c r="Y119" s="72">
        <f t="shared" si="124"/>
        <v>0</v>
      </c>
      <c r="Z119" s="5"/>
      <c r="AA119" s="5"/>
      <c r="AB119" s="5"/>
      <c r="AC119" s="5">
        <f t="shared" si="125"/>
        <v>288000</v>
      </c>
    </row>
    <row r="120" spans="1:29" x14ac:dyDescent="0.35">
      <c r="A120" s="26" t="s">
        <v>56</v>
      </c>
      <c r="B120" s="10"/>
      <c r="C120" s="10"/>
      <c r="D120" s="5"/>
      <c r="E120" s="5"/>
      <c r="F120" s="5"/>
      <c r="G120" s="5"/>
      <c r="H120" s="5"/>
      <c r="I120" s="5">
        <f t="shared" si="122"/>
        <v>0</v>
      </c>
      <c r="J120" s="11"/>
      <c r="L120" s="10"/>
      <c r="M120" s="10"/>
      <c r="N120" s="5">
        <v>56000</v>
      </c>
      <c r="O120" s="5"/>
      <c r="P120" s="5"/>
      <c r="Q120" s="5"/>
      <c r="R120" s="5"/>
      <c r="S120" s="5">
        <f t="shared" si="123"/>
        <v>56000</v>
      </c>
      <c r="T120" s="11"/>
      <c r="V120" s="72">
        <f t="shared" si="126"/>
        <v>0</v>
      </c>
      <c r="W120" s="72">
        <f t="shared" si="124"/>
        <v>0</v>
      </c>
      <c r="X120" s="72">
        <f t="shared" si="124"/>
        <v>56000</v>
      </c>
      <c r="Y120" s="72">
        <f t="shared" si="124"/>
        <v>0</v>
      </c>
      <c r="Z120" s="5"/>
      <c r="AA120" s="5"/>
      <c r="AB120" s="5"/>
      <c r="AC120" s="5">
        <f t="shared" si="125"/>
        <v>56000</v>
      </c>
    </row>
    <row r="121" spans="1:29" x14ac:dyDescent="0.35">
      <c r="A121" s="57" t="s">
        <v>98</v>
      </c>
      <c r="B121" s="58">
        <f>SUM(B107:B120)</f>
        <v>2157126.0923484308</v>
      </c>
      <c r="C121" s="58">
        <f t="shared" ref="C121:D121" si="129">SUM(C107:C120)</f>
        <v>306300</v>
      </c>
      <c r="D121" s="58">
        <f t="shared" si="129"/>
        <v>72000</v>
      </c>
      <c r="E121" s="58"/>
      <c r="F121" s="58">
        <f t="shared" ref="F121:I121" si="130">SUM(F107:F120)</f>
        <v>0</v>
      </c>
      <c r="G121" s="58">
        <f t="shared" si="130"/>
        <v>0</v>
      </c>
      <c r="H121" s="58">
        <f t="shared" si="130"/>
        <v>0</v>
      </c>
      <c r="I121" s="58">
        <f t="shared" si="130"/>
        <v>2535426.0923484308</v>
      </c>
      <c r="J121" s="7"/>
      <c r="L121" s="58">
        <f>SUM(L107:L120)</f>
        <v>6000822.6597346403</v>
      </c>
      <c r="M121" s="58">
        <f t="shared" ref="M121:N121" si="131">SUM(M107:M120)</f>
        <v>714700</v>
      </c>
      <c r="N121" s="58">
        <f t="shared" si="131"/>
        <v>200000</v>
      </c>
      <c r="O121" s="58"/>
      <c r="P121" s="58">
        <f t="shared" ref="P121:S121" si="132">SUM(P107:P120)</f>
        <v>0</v>
      </c>
      <c r="Q121" s="58">
        <f t="shared" si="132"/>
        <v>0</v>
      </c>
      <c r="R121" s="58">
        <f t="shared" si="132"/>
        <v>0</v>
      </c>
      <c r="S121" s="58">
        <f t="shared" si="132"/>
        <v>6915522.6597346403</v>
      </c>
      <c r="T121" s="7"/>
      <c r="V121" s="58">
        <f>SUM(V107:V120)</f>
        <v>8157948.7520830706</v>
      </c>
      <c r="W121" s="58">
        <f t="shared" ref="W121:X121" si="133">SUM(W107:W120)</f>
        <v>1021000</v>
      </c>
      <c r="X121" s="58">
        <f t="shared" si="133"/>
        <v>272000</v>
      </c>
      <c r="Y121" s="58"/>
      <c r="Z121" s="58">
        <f t="shared" ref="Z121:AC121" si="134">SUM(Z107:Z120)</f>
        <v>0</v>
      </c>
      <c r="AA121" s="58">
        <f t="shared" si="134"/>
        <v>0</v>
      </c>
      <c r="AB121" s="58">
        <f t="shared" si="134"/>
        <v>0</v>
      </c>
      <c r="AC121" s="58">
        <f t="shared" si="134"/>
        <v>9450948.7520830706</v>
      </c>
    </row>
    <row r="122" spans="1:29" x14ac:dyDescent="0.35">
      <c r="A122" s="59" t="s">
        <v>99</v>
      </c>
      <c r="B122" s="44"/>
      <c r="C122" s="44"/>
      <c r="D122" s="44"/>
      <c r="E122" s="44"/>
      <c r="F122" s="44"/>
      <c r="G122" s="44"/>
      <c r="H122" s="44"/>
      <c r="I122" s="45"/>
      <c r="J122" s="7"/>
      <c r="L122" s="44"/>
      <c r="M122" s="44"/>
      <c r="N122" s="44"/>
      <c r="O122" s="44"/>
      <c r="P122" s="44"/>
      <c r="Q122" s="44"/>
      <c r="R122" s="44"/>
      <c r="S122" s="45"/>
      <c r="T122" s="7"/>
      <c r="V122" s="44"/>
      <c r="W122" s="44"/>
      <c r="X122" s="44"/>
      <c r="Y122" s="44"/>
      <c r="Z122" s="44"/>
      <c r="AA122" s="44"/>
      <c r="AB122" s="44"/>
      <c r="AC122" s="45"/>
    </row>
    <row r="123" spans="1:29" x14ac:dyDescent="0.35">
      <c r="A123" s="26" t="s">
        <v>42</v>
      </c>
      <c r="B123" s="10">
        <v>0</v>
      </c>
      <c r="C123" s="72">
        <v>0</v>
      </c>
      <c r="D123" s="10"/>
      <c r="E123" s="10"/>
      <c r="F123" s="5"/>
      <c r="G123" s="5"/>
      <c r="H123" s="5"/>
      <c r="I123" s="5">
        <f t="shared" ref="I123:I128" si="135">SUM(B123:H123)</f>
        <v>0</v>
      </c>
      <c r="J123" s="11"/>
      <c r="L123" s="10">
        <v>0</v>
      </c>
      <c r="M123" s="72">
        <v>0</v>
      </c>
      <c r="N123" s="10"/>
      <c r="O123" s="10"/>
      <c r="P123" s="5"/>
      <c r="Q123" s="5"/>
      <c r="R123" s="5"/>
      <c r="S123" s="5">
        <f t="shared" ref="S123:S128" si="136">SUM(L123:R123)</f>
        <v>0</v>
      </c>
      <c r="T123" s="11"/>
      <c r="V123" s="10">
        <f>B123+L123</f>
        <v>0</v>
      </c>
      <c r="W123" s="10">
        <f t="shared" ref="W123:Y130" si="137">C123+M123</f>
        <v>0</v>
      </c>
      <c r="X123" s="10">
        <f t="shared" si="137"/>
        <v>0</v>
      </c>
      <c r="Y123" s="10">
        <f t="shared" si="137"/>
        <v>0</v>
      </c>
      <c r="Z123" s="5"/>
      <c r="AA123" s="5"/>
      <c r="AB123" s="5"/>
      <c r="AC123" s="5">
        <f t="shared" ref="AC123:AC128" si="138">SUM(V123:AB123)</f>
        <v>0</v>
      </c>
    </row>
    <row r="124" spans="1:29" x14ac:dyDescent="0.35">
      <c r="A124" s="26" t="s">
        <v>43</v>
      </c>
      <c r="B124" s="10">
        <v>0</v>
      </c>
      <c r="C124" s="72">
        <f>64000*1.01*1.013</f>
        <v>65480.319999999992</v>
      </c>
      <c r="D124" s="10"/>
      <c r="E124" s="10"/>
      <c r="F124" s="5"/>
      <c r="G124" s="5"/>
      <c r="H124" s="5"/>
      <c r="I124" s="5">
        <f t="shared" si="135"/>
        <v>65480.319999999992</v>
      </c>
      <c r="J124" s="11"/>
      <c r="L124" s="10">
        <v>0</v>
      </c>
      <c r="M124" s="72">
        <v>0</v>
      </c>
      <c r="N124" s="10"/>
      <c r="O124" s="10"/>
      <c r="P124" s="5"/>
      <c r="Q124" s="5"/>
      <c r="R124" s="5"/>
      <c r="S124" s="5">
        <f t="shared" si="136"/>
        <v>0</v>
      </c>
      <c r="T124" s="11"/>
      <c r="V124" s="10">
        <f t="shared" ref="V124:V130" si="139">B124+L124</f>
        <v>0</v>
      </c>
      <c r="W124" s="10">
        <f t="shared" si="137"/>
        <v>65480.319999999992</v>
      </c>
      <c r="X124" s="10">
        <f t="shared" si="137"/>
        <v>0</v>
      </c>
      <c r="Y124" s="10">
        <f t="shared" si="137"/>
        <v>0</v>
      </c>
      <c r="Z124" s="5"/>
      <c r="AA124" s="5"/>
      <c r="AB124" s="5"/>
      <c r="AC124" s="5">
        <f t="shared" si="138"/>
        <v>65480.319999999992</v>
      </c>
    </row>
    <row r="125" spans="1:29" x14ac:dyDescent="0.35">
      <c r="A125" s="26" t="s">
        <v>44</v>
      </c>
      <c r="B125" s="10">
        <v>0</v>
      </c>
      <c r="C125" s="10">
        <v>0</v>
      </c>
      <c r="D125" s="10"/>
      <c r="E125" s="10"/>
      <c r="F125" s="5"/>
      <c r="G125" s="5"/>
      <c r="H125" s="5"/>
      <c r="I125" s="5">
        <f t="shared" si="135"/>
        <v>0</v>
      </c>
      <c r="J125" s="11"/>
      <c r="L125" s="10">
        <v>0</v>
      </c>
      <c r="M125" s="10">
        <v>0</v>
      </c>
      <c r="N125" s="10"/>
      <c r="O125" s="10"/>
      <c r="P125" s="5"/>
      <c r="Q125" s="5"/>
      <c r="R125" s="5"/>
      <c r="S125" s="5">
        <f t="shared" si="136"/>
        <v>0</v>
      </c>
      <c r="T125" s="11"/>
      <c r="V125" s="10">
        <f t="shared" si="139"/>
        <v>0</v>
      </c>
      <c r="W125" s="10">
        <f t="shared" si="137"/>
        <v>0</v>
      </c>
      <c r="X125" s="10">
        <f t="shared" si="137"/>
        <v>0</v>
      </c>
      <c r="Y125" s="10">
        <f t="shared" si="137"/>
        <v>0</v>
      </c>
      <c r="Z125" s="5"/>
      <c r="AA125" s="5"/>
      <c r="AB125" s="5"/>
      <c r="AC125" s="5">
        <f t="shared" si="138"/>
        <v>0</v>
      </c>
    </row>
    <row r="126" spans="1:29" x14ac:dyDescent="0.35">
      <c r="A126" s="26" t="s">
        <v>100</v>
      </c>
      <c r="B126" s="10">
        <v>0</v>
      </c>
      <c r="C126" s="10"/>
      <c r="D126" s="10"/>
      <c r="E126" s="10"/>
      <c r="F126" s="5"/>
      <c r="G126" s="5"/>
      <c r="H126" s="5"/>
      <c r="I126" s="21">
        <f t="shared" si="135"/>
        <v>0</v>
      </c>
      <c r="J126" s="11"/>
      <c r="L126" s="10">
        <v>0</v>
      </c>
      <c r="M126" s="10"/>
      <c r="N126" s="10"/>
      <c r="O126" s="10"/>
      <c r="P126" s="5"/>
      <c r="Q126" s="5"/>
      <c r="R126" s="5"/>
      <c r="S126" s="21">
        <f t="shared" si="136"/>
        <v>0</v>
      </c>
      <c r="T126" s="11"/>
      <c r="V126" s="10">
        <f t="shared" si="139"/>
        <v>0</v>
      </c>
      <c r="W126" s="10">
        <f t="shared" si="137"/>
        <v>0</v>
      </c>
      <c r="X126" s="10">
        <f t="shared" si="137"/>
        <v>0</v>
      </c>
      <c r="Y126" s="10">
        <f t="shared" si="137"/>
        <v>0</v>
      </c>
      <c r="Z126" s="5"/>
      <c r="AA126" s="5"/>
      <c r="AB126" s="5"/>
      <c r="AC126" s="21">
        <f t="shared" si="138"/>
        <v>0</v>
      </c>
    </row>
    <row r="127" spans="1:29" x14ac:dyDescent="0.35">
      <c r="A127" s="26" t="s">
        <v>47</v>
      </c>
      <c r="B127" s="10">
        <v>0</v>
      </c>
      <c r="C127" s="10"/>
      <c r="D127" s="10"/>
      <c r="E127" s="10"/>
      <c r="F127" s="5"/>
      <c r="G127" s="5"/>
      <c r="H127" s="5"/>
      <c r="I127" s="5">
        <f t="shared" si="135"/>
        <v>0</v>
      </c>
      <c r="J127" s="11"/>
      <c r="L127" s="10">
        <v>0</v>
      </c>
      <c r="M127" s="10"/>
      <c r="N127" s="10"/>
      <c r="O127" s="10"/>
      <c r="P127" s="5"/>
      <c r="Q127" s="5"/>
      <c r="R127" s="5"/>
      <c r="S127" s="5">
        <f t="shared" si="136"/>
        <v>0</v>
      </c>
      <c r="T127" s="11"/>
      <c r="V127" s="10">
        <f t="shared" si="139"/>
        <v>0</v>
      </c>
      <c r="W127" s="10">
        <f t="shared" si="137"/>
        <v>0</v>
      </c>
      <c r="X127" s="10">
        <f t="shared" si="137"/>
        <v>0</v>
      </c>
      <c r="Y127" s="10">
        <f t="shared" si="137"/>
        <v>0</v>
      </c>
      <c r="Z127" s="5"/>
      <c r="AA127" s="5"/>
      <c r="AB127" s="5"/>
      <c r="AC127" s="5">
        <f t="shared" si="138"/>
        <v>0</v>
      </c>
    </row>
    <row r="128" spans="1:29" x14ac:dyDescent="0.35">
      <c r="A128" s="26" t="s">
        <v>276</v>
      </c>
      <c r="B128" s="72">
        <v>0</v>
      </c>
      <c r="C128" s="10"/>
      <c r="D128" s="10"/>
      <c r="E128" s="10"/>
      <c r="F128" s="5"/>
      <c r="G128" s="5"/>
      <c r="H128" s="5"/>
      <c r="I128" s="5">
        <f t="shared" si="135"/>
        <v>0</v>
      </c>
      <c r="J128" s="11"/>
      <c r="L128" s="72">
        <v>0</v>
      </c>
      <c r="M128" s="10"/>
      <c r="N128" s="10"/>
      <c r="O128" s="10"/>
      <c r="P128" s="5"/>
      <c r="Q128" s="5"/>
      <c r="R128" s="5"/>
      <c r="S128" s="5">
        <f t="shared" si="136"/>
        <v>0</v>
      </c>
      <c r="T128" s="11"/>
      <c r="V128" s="10">
        <f t="shared" si="139"/>
        <v>0</v>
      </c>
      <c r="W128" s="10">
        <f t="shared" si="137"/>
        <v>0</v>
      </c>
      <c r="X128" s="10">
        <f t="shared" si="137"/>
        <v>0</v>
      </c>
      <c r="Y128" s="10">
        <f t="shared" si="137"/>
        <v>0</v>
      </c>
      <c r="Z128" s="5"/>
      <c r="AA128" s="5"/>
      <c r="AB128" s="5"/>
      <c r="AC128" s="5">
        <f t="shared" si="138"/>
        <v>0</v>
      </c>
    </row>
    <row r="129" spans="1:29" x14ac:dyDescent="0.35">
      <c r="A129" s="26" t="s">
        <v>306</v>
      </c>
      <c r="B129" s="10"/>
      <c r="C129" s="10">
        <f>(12.5*6*185)*C52</f>
        <v>0</v>
      </c>
      <c r="D129" s="72"/>
      <c r="E129" s="72"/>
      <c r="F129" s="5"/>
      <c r="G129" s="5"/>
      <c r="H129" s="5"/>
      <c r="I129" s="5">
        <f>SUM(B129:H129)</f>
        <v>0</v>
      </c>
      <c r="J129" s="11"/>
      <c r="L129" s="10"/>
      <c r="M129" s="10">
        <f>(12.5*6*185)*M52</f>
        <v>0</v>
      </c>
      <c r="N129" s="72"/>
      <c r="O129" s="72"/>
      <c r="P129" s="5"/>
      <c r="Q129" s="5"/>
      <c r="R129" s="5"/>
      <c r="S129" s="5">
        <f>SUM(L129:R129)</f>
        <v>0</v>
      </c>
      <c r="T129" s="11"/>
      <c r="V129" s="10">
        <f t="shared" si="139"/>
        <v>0</v>
      </c>
      <c r="W129" s="10">
        <f t="shared" si="137"/>
        <v>0</v>
      </c>
      <c r="X129" s="10">
        <f t="shared" si="137"/>
        <v>0</v>
      </c>
      <c r="Y129" s="10">
        <f t="shared" si="137"/>
        <v>0</v>
      </c>
      <c r="Z129" s="5"/>
      <c r="AA129" s="5"/>
      <c r="AB129" s="5"/>
      <c r="AC129" s="5">
        <f>SUM(V129:AB129)</f>
        <v>0</v>
      </c>
    </row>
    <row r="130" spans="1:29" x14ac:dyDescent="0.35">
      <c r="A130" s="26" t="s">
        <v>55</v>
      </c>
      <c r="B130" s="148">
        <f>150*180*B59</f>
        <v>0</v>
      </c>
      <c r="C130" s="148">
        <f t="shared" ref="C130:H130" si="140">150*180*C59</f>
        <v>0</v>
      </c>
      <c r="D130" s="148">
        <f t="shared" si="140"/>
        <v>0</v>
      </c>
      <c r="E130" s="148">
        <f t="shared" si="140"/>
        <v>0</v>
      </c>
      <c r="F130" s="148">
        <f t="shared" si="140"/>
        <v>0</v>
      </c>
      <c r="G130" s="148">
        <f t="shared" si="140"/>
        <v>0</v>
      </c>
      <c r="H130" s="148">
        <f t="shared" si="140"/>
        <v>0</v>
      </c>
      <c r="I130" s="5">
        <f>SUM(B130:H130)</f>
        <v>0</v>
      </c>
      <c r="J130" s="11"/>
      <c r="L130" s="148">
        <f>150*180*L59</f>
        <v>0</v>
      </c>
      <c r="M130" s="148">
        <f t="shared" ref="M130:R130" si="141">150*180*M59</f>
        <v>0</v>
      </c>
      <c r="N130" s="148">
        <f t="shared" si="141"/>
        <v>0</v>
      </c>
      <c r="O130" s="148">
        <f t="shared" si="141"/>
        <v>0</v>
      </c>
      <c r="P130" s="148">
        <f t="shared" si="141"/>
        <v>0</v>
      </c>
      <c r="Q130" s="148">
        <f t="shared" si="141"/>
        <v>0</v>
      </c>
      <c r="R130" s="148">
        <f t="shared" si="141"/>
        <v>0</v>
      </c>
      <c r="S130" s="5">
        <f>SUM(L130:R130)</f>
        <v>0</v>
      </c>
      <c r="T130" s="11"/>
      <c r="V130" s="10">
        <f t="shared" si="139"/>
        <v>0</v>
      </c>
      <c r="W130" s="10">
        <f t="shared" si="137"/>
        <v>0</v>
      </c>
      <c r="X130" s="10">
        <f t="shared" si="137"/>
        <v>0</v>
      </c>
      <c r="Y130" s="10">
        <f t="shared" si="137"/>
        <v>0</v>
      </c>
      <c r="Z130" s="148">
        <f t="shared" ref="Z130:AB130" si="142">150*180*Z59</f>
        <v>0</v>
      </c>
      <c r="AA130" s="148">
        <f t="shared" si="142"/>
        <v>0</v>
      </c>
      <c r="AB130" s="148">
        <f t="shared" si="142"/>
        <v>0</v>
      </c>
      <c r="AC130" s="5">
        <f>SUM(V130:AB130)</f>
        <v>0</v>
      </c>
    </row>
    <row r="131" spans="1:29" x14ac:dyDescent="0.35">
      <c r="A131" s="60" t="s">
        <v>101</v>
      </c>
      <c r="B131" s="61">
        <f>SUM(B123:B130)</f>
        <v>0</v>
      </c>
      <c r="C131" s="61">
        <f t="shared" ref="C131:I131" si="143">SUM(C123:C130)</f>
        <v>65480.319999999992</v>
      </c>
      <c r="D131" s="61">
        <f t="shared" si="143"/>
        <v>0</v>
      </c>
      <c r="E131" s="61"/>
      <c r="F131" s="61">
        <f t="shared" si="143"/>
        <v>0</v>
      </c>
      <c r="G131" s="61">
        <f t="shared" si="143"/>
        <v>0</v>
      </c>
      <c r="H131" s="61">
        <f t="shared" si="143"/>
        <v>0</v>
      </c>
      <c r="I131" s="61">
        <f t="shared" si="143"/>
        <v>65480.319999999992</v>
      </c>
      <c r="J131" s="7"/>
      <c r="L131" s="61">
        <f>SUM(L123:L130)</f>
        <v>0</v>
      </c>
      <c r="M131" s="61">
        <f t="shared" ref="M131:N131" si="144">SUM(M123:M130)</f>
        <v>0</v>
      </c>
      <c r="N131" s="61">
        <f t="shared" si="144"/>
        <v>0</v>
      </c>
      <c r="O131" s="61"/>
      <c r="P131" s="61">
        <f t="shared" ref="P131:S131" si="145">SUM(P123:P130)</f>
        <v>0</v>
      </c>
      <c r="Q131" s="61">
        <f t="shared" si="145"/>
        <v>0</v>
      </c>
      <c r="R131" s="61">
        <f t="shared" si="145"/>
        <v>0</v>
      </c>
      <c r="S131" s="61">
        <f t="shared" si="145"/>
        <v>0</v>
      </c>
      <c r="T131" s="7"/>
      <c r="V131" s="61">
        <f>SUM(V123:V130)</f>
        <v>0</v>
      </c>
      <c r="W131" s="61">
        <f t="shared" ref="W131:X131" si="146">SUM(W123:W130)</f>
        <v>65480.319999999992</v>
      </c>
      <c r="X131" s="61">
        <f t="shared" si="146"/>
        <v>0</v>
      </c>
      <c r="Y131" s="61"/>
      <c r="Z131" s="61">
        <f t="shared" ref="Z131:AC131" si="147">SUM(Z123:Z130)</f>
        <v>0</v>
      </c>
      <c r="AA131" s="61">
        <f t="shared" si="147"/>
        <v>0</v>
      </c>
      <c r="AB131" s="61">
        <f t="shared" si="147"/>
        <v>0</v>
      </c>
      <c r="AC131" s="61">
        <f t="shared" si="147"/>
        <v>65480.319999999992</v>
      </c>
    </row>
    <row r="132" spans="1:29" x14ac:dyDescent="0.35">
      <c r="A132" s="62" t="s">
        <v>102</v>
      </c>
      <c r="B132" s="63">
        <f t="shared" ref="B132:H132" si="148">B121+B131</f>
        <v>2157126.0923484308</v>
      </c>
      <c r="C132" s="63">
        <f t="shared" si="148"/>
        <v>371780.32</v>
      </c>
      <c r="D132" s="63">
        <f t="shared" si="148"/>
        <v>72000</v>
      </c>
      <c r="E132" s="63"/>
      <c r="F132" s="63">
        <f t="shared" si="148"/>
        <v>0</v>
      </c>
      <c r="G132" s="63">
        <f t="shared" si="148"/>
        <v>0</v>
      </c>
      <c r="H132" s="63">
        <f t="shared" si="148"/>
        <v>0</v>
      </c>
      <c r="I132" s="63">
        <f>I121+I131</f>
        <v>2600906.4123484306</v>
      </c>
      <c r="J132" s="7"/>
      <c r="L132" s="63">
        <f t="shared" ref="L132:N132" si="149">L121+L131</f>
        <v>6000822.6597346403</v>
      </c>
      <c r="M132" s="63">
        <f t="shared" si="149"/>
        <v>714700</v>
      </c>
      <c r="N132" s="63">
        <f t="shared" si="149"/>
        <v>200000</v>
      </c>
      <c r="O132" s="63"/>
      <c r="P132" s="63">
        <f t="shared" ref="P132:R132" si="150">P121+P131</f>
        <v>0</v>
      </c>
      <c r="Q132" s="63">
        <f t="shared" si="150"/>
        <v>0</v>
      </c>
      <c r="R132" s="63">
        <f t="shared" si="150"/>
        <v>0</v>
      </c>
      <c r="S132" s="63">
        <f>S121+S131</f>
        <v>6915522.6597346403</v>
      </c>
      <c r="T132" s="7"/>
      <c r="V132" s="63">
        <f t="shared" ref="V132:X132" si="151">V121+V131</f>
        <v>8157948.7520830706</v>
      </c>
      <c r="W132" s="63">
        <f t="shared" si="151"/>
        <v>1086480.32</v>
      </c>
      <c r="X132" s="63">
        <f t="shared" si="151"/>
        <v>272000</v>
      </c>
      <c r="Y132" s="63"/>
      <c r="Z132" s="63">
        <f t="shared" ref="Z132:AB132" si="152">Z121+Z131</f>
        <v>0</v>
      </c>
      <c r="AA132" s="63">
        <f t="shared" si="152"/>
        <v>0</v>
      </c>
      <c r="AB132" s="63">
        <f t="shared" si="152"/>
        <v>0</v>
      </c>
      <c r="AC132" s="63">
        <f>AC121+AC131</f>
        <v>9516429.0720830709</v>
      </c>
    </row>
    <row r="133" spans="1:29" x14ac:dyDescent="0.35">
      <c r="A133" s="26" t="s">
        <v>258</v>
      </c>
      <c r="B133" s="47">
        <f>B132*0.335</f>
        <v>722637.24093672435</v>
      </c>
      <c r="C133" s="47">
        <f t="shared" ref="C133:H133" si="153">C132*0.335</f>
        <v>124546.40720000002</v>
      </c>
      <c r="D133" s="47">
        <f t="shared" si="153"/>
        <v>24120</v>
      </c>
      <c r="E133" s="47"/>
      <c r="F133" s="47">
        <f t="shared" si="153"/>
        <v>0</v>
      </c>
      <c r="G133" s="47">
        <f t="shared" si="153"/>
        <v>0</v>
      </c>
      <c r="H133" s="47">
        <f t="shared" si="153"/>
        <v>0</v>
      </c>
      <c r="I133" s="10">
        <f>SUM(B133:H133)</f>
        <v>871303.64813672437</v>
      </c>
      <c r="J133" s="105">
        <f>I133/I132</f>
        <v>0.33500000000000002</v>
      </c>
      <c r="L133" s="47">
        <f>L132*0.335</f>
        <v>2010275.5910111046</v>
      </c>
      <c r="M133" s="47">
        <f t="shared" ref="M133:N133" si="154">M132*0.335</f>
        <v>239424.5</v>
      </c>
      <c r="N133" s="47">
        <f t="shared" si="154"/>
        <v>67000</v>
      </c>
      <c r="O133" s="47"/>
      <c r="P133" s="47">
        <f t="shared" ref="P133:R133" si="155">P132*0.335</f>
        <v>0</v>
      </c>
      <c r="Q133" s="47">
        <f t="shared" si="155"/>
        <v>0</v>
      </c>
      <c r="R133" s="47">
        <f t="shared" si="155"/>
        <v>0</v>
      </c>
      <c r="S133" s="10">
        <f>SUM(L133:R133)</f>
        <v>2316700.0910111046</v>
      </c>
      <c r="T133" s="105">
        <f>S133/S132</f>
        <v>0.33500000000000002</v>
      </c>
      <c r="V133" s="47">
        <f>B133+L133</f>
        <v>2732912.8319478291</v>
      </c>
      <c r="W133" s="47">
        <f t="shared" ref="W133:Y140" si="156">C133+M133</f>
        <v>363970.90720000002</v>
      </c>
      <c r="X133" s="47">
        <f t="shared" si="156"/>
        <v>91120</v>
      </c>
      <c r="Y133" s="47">
        <f t="shared" si="156"/>
        <v>0</v>
      </c>
      <c r="Z133" s="47">
        <f t="shared" ref="Z133:AB133" si="157">Z132*0.335</f>
        <v>0</v>
      </c>
      <c r="AA133" s="47">
        <f t="shared" si="157"/>
        <v>0</v>
      </c>
      <c r="AB133" s="47">
        <f t="shared" si="157"/>
        <v>0</v>
      </c>
      <c r="AC133" s="10">
        <f>SUM(V133:AB133)</f>
        <v>3188003.7391478289</v>
      </c>
    </row>
    <row r="134" spans="1:29" x14ac:dyDescent="0.35">
      <c r="A134" s="26" t="s">
        <v>103</v>
      </c>
      <c r="B134" s="10">
        <f>((8300*B65)*0.8)+((195*B65)*0.78)+((100*B65)*0.78)+(B132*0.015)+(B132*0.03)</f>
        <v>323783.97415567935</v>
      </c>
      <c r="C134" s="10">
        <f t="shared" ref="C134:E134" si="158">((8300*C65)*0.8)+((195*C65)*0.78)+((100*C65)*0.78)+(C132*0.015)+(C132*0.03)</f>
        <v>64820.814399999996</v>
      </c>
      <c r="D134" s="10">
        <f t="shared" si="158"/>
        <v>16980.2</v>
      </c>
      <c r="E134" s="10">
        <f t="shared" si="158"/>
        <v>0</v>
      </c>
      <c r="F134" s="10">
        <f t="shared" ref="F134:H134" si="159">((8300*F65)*0.8)+((195*F65)*0.78)+((100*F65)*0.78)+(F132*0.015)+(F132*0.03)-5000</f>
        <v>-5000</v>
      </c>
      <c r="G134" s="10">
        <f t="shared" si="159"/>
        <v>-5000</v>
      </c>
      <c r="H134" s="10">
        <f t="shared" si="159"/>
        <v>-5000</v>
      </c>
      <c r="I134" s="10">
        <f>SUM(B134:H134)</f>
        <v>390584.98855567933</v>
      </c>
      <c r="J134" s="105">
        <f>I134/I132</f>
        <v>0.15017264239162273</v>
      </c>
      <c r="L134" s="10">
        <f>((8300*L65)*0.8)+((195*L65)*0.78)+((100*L65)*0.78)+(L132*0.015)+(L132*0.03)</f>
        <v>908956.31968805881</v>
      </c>
      <c r="M134" s="10">
        <f t="shared" ref="M134:O134" si="160">((8300*M65)*0.8)+((195*M65)*0.78)+((100*M65)*0.78)+(M132*0.015)+(M132*0.03)</f>
        <v>128342.9</v>
      </c>
      <c r="N134" s="10">
        <f t="shared" si="160"/>
        <v>43350.5</v>
      </c>
      <c r="O134" s="10">
        <f t="shared" si="160"/>
        <v>0</v>
      </c>
      <c r="P134" s="10">
        <f t="shared" ref="P134:R134" si="161">((6450*P65)*0.78)+((160*P65)*0.78)+((65*P65)*0.78)+(P132*0.015)+(P132*0.03)</f>
        <v>0</v>
      </c>
      <c r="Q134" s="10">
        <f t="shared" si="161"/>
        <v>0</v>
      </c>
      <c r="R134" s="10">
        <f t="shared" si="161"/>
        <v>0</v>
      </c>
      <c r="S134" s="10">
        <f>SUM(L134:R134)</f>
        <v>1080649.7196880588</v>
      </c>
      <c r="T134" s="105">
        <f>S134/S132</f>
        <v>0.15626435959498758</v>
      </c>
      <c r="V134" s="47">
        <f t="shared" ref="V134:V140" si="162">B134+L134</f>
        <v>1232740.2938437383</v>
      </c>
      <c r="W134" s="47">
        <f t="shared" si="156"/>
        <v>193163.7144</v>
      </c>
      <c r="X134" s="47">
        <f t="shared" si="156"/>
        <v>60330.7</v>
      </c>
      <c r="Y134" s="47">
        <f t="shared" si="156"/>
        <v>0</v>
      </c>
      <c r="Z134" s="10">
        <f t="shared" ref="Z134:AB134" si="163">((6450*Z65)*0.78)+((160*Z65)*0.78)+((65*Z65)*0.78)+(Z132*0.015)+(Z132*0.03)</f>
        <v>0</v>
      </c>
      <c r="AA134" s="10">
        <f t="shared" si="163"/>
        <v>0</v>
      </c>
      <c r="AB134" s="10">
        <f t="shared" si="163"/>
        <v>0</v>
      </c>
      <c r="AC134" s="10">
        <f>SUM(V134:AB134)</f>
        <v>1486234.7082437382</v>
      </c>
    </row>
    <row r="135" spans="1:29" x14ac:dyDescent="0.35">
      <c r="A135" s="26" t="s">
        <v>104</v>
      </c>
      <c r="B135" s="10">
        <f>((2000*B39)+(1750*B40)+(1500*B41)+(1500*B42)+(1500*B43)+(1500*B44)+(1500*B45)+(1000*B46)+(1000*B47)+(500*B48)+(500*B49)+(500*B50)+(500*B51)+(500*B52)+(500*B53)+(1000*B54)+(1000*B55)+(1000*B56)+(1000*B57)+(1000*B58)+(500*B59)+(500*B60)+(1000*B36))*0.99</f>
        <v>32422.5</v>
      </c>
      <c r="C135" s="10">
        <f t="shared" ref="C135:H135" si="164">((2000*C39)+(1750*C40)+(1500*C41)+(1500*C42)+(1500*C43)+(1500*C44)+(1500*C45)+(1000*C46)+(1000*C47)+(500*C48)+(500*C49)+(500*C50)+(500*C51)+(500*C52)+(500*C53)+(1000*C54)+(1000*C55)+(1000*C56)+(1000*C57)+(1000*C58)+(500*C59)+(500*C60)+(1000*C36))*0.99</f>
        <v>5445</v>
      </c>
      <c r="D135" s="10">
        <f t="shared" si="164"/>
        <v>990</v>
      </c>
      <c r="E135" s="10">
        <f t="shared" si="164"/>
        <v>0</v>
      </c>
      <c r="F135" s="10">
        <f t="shared" si="164"/>
        <v>0</v>
      </c>
      <c r="G135" s="10">
        <f t="shared" si="164"/>
        <v>0</v>
      </c>
      <c r="H135" s="10">
        <f t="shared" si="164"/>
        <v>0</v>
      </c>
      <c r="I135" s="10">
        <f t="shared" ref="I135:I140" si="165">SUM(B135:H135)</f>
        <v>38857.5</v>
      </c>
      <c r="J135" s="11"/>
      <c r="L135" s="10">
        <f>((2000*L39)+(1750*L40)+(1500*L41)+(1500*L42)+(1500*L43)+(1500*L44)+(1500*L45)+(1000*L46)+(1000*L47)+(500*L48)+(500*L49)+(500*L50)+(500*L51)+(500*L52)+(500*L53)+(1000*L54)+(1000*L55)+(1000*L56)+(1000*L57)+(1000*L58)+(500*L59)+(500*L60)+(1000*L36))+20000</f>
        <v>111750</v>
      </c>
      <c r="M135" s="10">
        <f t="shared" ref="M135:R135" si="166">((2000*M39)+(1750*M40)+(1500*M41)+(1500*M42)+(1500*M43)+(1500*M44)+(1500*M45)+(1000*M46)+(1000*M47)+(500*M48)+(500*M49)+(500*M50)+(500*M51)+(500*M52)+(500*M53)+(1000*M54)+(1000*M55)+(1000*M56)+(1000*M57)+(1000*M58)+(500*M59)+(500*M60)+(1000*M36))*0.99</f>
        <v>10395</v>
      </c>
      <c r="N135" s="10">
        <f t="shared" si="166"/>
        <v>2475</v>
      </c>
      <c r="O135" s="10">
        <f t="shared" si="166"/>
        <v>0</v>
      </c>
      <c r="P135" s="10">
        <f t="shared" si="166"/>
        <v>0</v>
      </c>
      <c r="Q135" s="10">
        <f t="shared" si="166"/>
        <v>0</v>
      </c>
      <c r="R135" s="10">
        <f t="shared" si="166"/>
        <v>0</v>
      </c>
      <c r="S135" s="10">
        <f t="shared" ref="S135:S140" si="167">SUM(L135:R135)</f>
        <v>124620</v>
      </c>
      <c r="T135" s="11"/>
      <c r="V135" s="47">
        <f t="shared" si="162"/>
        <v>144172.5</v>
      </c>
      <c r="W135" s="47">
        <f t="shared" si="156"/>
        <v>15840</v>
      </c>
      <c r="X135" s="47">
        <f t="shared" si="156"/>
        <v>3465</v>
      </c>
      <c r="Y135" s="47">
        <f t="shared" si="156"/>
        <v>0</v>
      </c>
      <c r="Z135" s="10">
        <f t="shared" ref="Z135:AB135" si="168">((2000*Z39)+(1750*Z40)+(1500*Z41)+(1500*Z42)+(1500*Z43)+(1500*Z44)+(1500*Z45)+(1000*Z46)+(1000*Z47)+(500*Z48)+(500*Z49)+(500*Z50)+(500*Z51)+(500*Z52)+(500*Z53)+(1000*Z54)+(1000*Z55)+(1000*Z56)+(1000*Z57)+(1000*Z58)+(500*Z59)+(500*Z60)+(1000*Z36))*0.99</f>
        <v>0</v>
      </c>
      <c r="AA135" s="10">
        <f t="shared" si="168"/>
        <v>0</v>
      </c>
      <c r="AB135" s="10">
        <f t="shared" si="168"/>
        <v>0</v>
      </c>
      <c r="AC135" s="10">
        <f t="shared" ref="AC135:AC140" si="169">SUM(V135:AB135)</f>
        <v>163477.5</v>
      </c>
    </row>
    <row r="136" spans="1:29" x14ac:dyDescent="0.35">
      <c r="A136" s="26" t="s">
        <v>105</v>
      </c>
      <c r="B136" s="10">
        <f>125*B65+(125*15)</f>
        <v>6000</v>
      </c>
      <c r="C136" s="10">
        <f>125*C65</f>
        <v>875</v>
      </c>
      <c r="D136" s="10">
        <f>125*D65</f>
        <v>250</v>
      </c>
      <c r="E136" s="10"/>
      <c r="F136" s="10">
        <f>125*F65</f>
        <v>0</v>
      </c>
      <c r="G136" s="10">
        <f>125*G65</f>
        <v>0</v>
      </c>
      <c r="H136" s="10">
        <f>125*H65</f>
        <v>0</v>
      </c>
      <c r="I136" s="10">
        <f t="shared" si="165"/>
        <v>7125</v>
      </c>
      <c r="J136" s="11"/>
      <c r="L136" s="10">
        <f>125*L65+(125*15)</f>
        <v>13500</v>
      </c>
      <c r="M136" s="10">
        <f>125*M65</f>
        <v>1750</v>
      </c>
      <c r="N136" s="10">
        <f>125*N65</f>
        <v>625</v>
      </c>
      <c r="O136" s="10"/>
      <c r="P136" s="10">
        <f>125*P65</f>
        <v>0</v>
      </c>
      <c r="Q136" s="10">
        <f>125*Q65</f>
        <v>0</v>
      </c>
      <c r="R136" s="10">
        <f>125*R65</f>
        <v>0</v>
      </c>
      <c r="S136" s="10">
        <f t="shared" si="167"/>
        <v>15875</v>
      </c>
      <c r="T136" s="11"/>
      <c r="V136" s="47">
        <f t="shared" si="162"/>
        <v>19500</v>
      </c>
      <c r="W136" s="47">
        <f t="shared" si="156"/>
        <v>2625</v>
      </c>
      <c r="X136" s="47">
        <f t="shared" si="156"/>
        <v>875</v>
      </c>
      <c r="Y136" s="47">
        <f t="shared" si="156"/>
        <v>0</v>
      </c>
      <c r="Z136" s="10">
        <f>125*Z65</f>
        <v>0</v>
      </c>
      <c r="AA136" s="10">
        <f>125*AA65</f>
        <v>0</v>
      </c>
      <c r="AB136" s="10">
        <f>125*AB65</f>
        <v>0</v>
      </c>
      <c r="AC136" s="10">
        <f t="shared" si="169"/>
        <v>23000</v>
      </c>
    </row>
    <row r="137" spans="1:29" x14ac:dyDescent="0.35">
      <c r="A137" s="26" t="s">
        <v>106</v>
      </c>
      <c r="B137" s="10">
        <v>0</v>
      </c>
      <c r="C137" s="10">
        <f>50000*1.03*1.015*1.015*1.015</f>
        <v>53852.43631249998</v>
      </c>
      <c r="D137" s="10"/>
      <c r="E137" s="10"/>
      <c r="F137" s="10">
        <v>0</v>
      </c>
      <c r="G137" s="10"/>
      <c r="H137" s="10"/>
      <c r="I137" s="10">
        <f t="shared" si="165"/>
        <v>53852.43631249998</v>
      </c>
      <c r="J137" s="11"/>
      <c r="L137" s="10">
        <v>0</v>
      </c>
      <c r="M137" s="10">
        <v>0</v>
      </c>
      <c r="N137" s="10"/>
      <c r="O137" s="10"/>
      <c r="P137" s="10">
        <v>0</v>
      </c>
      <c r="Q137" s="10"/>
      <c r="R137" s="10"/>
      <c r="S137" s="10">
        <f t="shared" si="167"/>
        <v>0</v>
      </c>
      <c r="T137" s="11"/>
      <c r="V137" s="47">
        <f t="shared" si="162"/>
        <v>0</v>
      </c>
      <c r="W137" s="47">
        <f t="shared" si="156"/>
        <v>53852.43631249998</v>
      </c>
      <c r="X137" s="47">
        <f t="shared" si="156"/>
        <v>0</v>
      </c>
      <c r="Y137" s="47">
        <f t="shared" si="156"/>
        <v>0</v>
      </c>
      <c r="Z137" s="10">
        <v>0</v>
      </c>
      <c r="AA137" s="10"/>
      <c r="AB137" s="10"/>
      <c r="AC137" s="10">
        <f t="shared" si="169"/>
        <v>53852.43631249998</v>
      </c>
    </row>
    <row r="138" spans="1:29" x14ac:dyDescent="0.35">
      <c r="A138" s="26" t="s">
        <v>107</v>
      </c>
      <c r="B138" s="10">
        <v>0</v>
      </c>
      <c r="C138" s="10">
        <v>0</v>
      </c>
      <c r="D138" s="10">
        <v>0</v>
      </c>
      <c r="E138" s="10"/>
      <c r="F138" s="10"/>
      <c r="G138" s="10"/>
      <c r="H138" s="10"/>
      <c r="I138" s="10">
        <f t="shared" si="165"/>
        <v>0</v>
      </c>
      <c r="J138" s="11"/>
      <c r="L138" s="10">
        <v>0</v>
      </c>
      <c r="M138" s="10">
        <v>0</v>
      </c>
      <c r="N138" s="10">
        <v>0</v>
      </c>
      <c r="O138" s="10"/>
      <c r="P138" s="10"/>
      <c r="Q138" s="10"/>
      <c r="R138" s="10"/>
      <c r="S138" s="10">
        <f t="shared" si="167"/>
        <v>0</v>
      </c>
      <c r="T138" s="11"/>
      <c r="V138" s="47">
        <f t="shared" si="162"/>
        <v>0</v>
      </c>
      <c r="W138" s="47">
        <f t="shared" si="156"/>
        <v>0</v>
      </c>
      <c r="X138" s="47">
        <f t="shared" si="156"/>
        <v>0</v>
      </c>
      <c r="Y138" s="47">
        <f t="shared" si="156"/>
        <v>0</v>
      </c>
      <c r="Z138" s="10"/>
      <c r="AA138" s="10"/>
      <c r="AB138" s="10"/>
      <c r="AC138" s="10">
        <f t="shared" si="169"/>
        <v>0</v>
      </c>
    </row>
    <row r="139" spans="1:29" x14ac:dyDescent="0.35">
      <c r="A139" s="26" t="s">
        <v>108</v>
      </c>
      <c r="B139" s="10">
        <v>13000</v>
      </c>
      <c r="C139" s="10"/>
      <c r="D139" s="10"/>
      <c r="E139" s="10"/>
      <c r="F139" s="10"/>
      <c r="G139" s="10"/>
      <c r="H139" s="10"/>
      <c r="I139" s="5">
        <f t="shared" si="165"/>
        <v>13000</v>
      </c>
      <c r="J139" s="11"/>
      <c r="L139" s="10">
        <v>25000</v>
      </c>
      <c r="M139" s="10"/>
      <c r="N139" s="10"/>
      <c r="O139" s="10"/>
      <c r="P139" s="10"/>
      <c r="Q139" s="10"/>
      <c r="R139" s="10"/>
      <c r="S139" s="5">
        <f t="shared" si="167"/>
        <v>25000</v>
      </c>
      <c r="T139" s="11"/>
      <c r="V139" s="47">
        <f t="shared" si="162"/>
        <v>38000</v>
      </c>
      <c r="W139" s="47">
        <f t="shared" si="156"/>
        <v>0</v>
      </c>
      <c r="X139" s="47">
        <f t="shared" si="156"/>
        <v>0</v>
      </c>
      <c r="Y139" s="47">
        <f t="shared" si="156"/>
        <v>0</v>
      </c>
      <c r="Z139" s="10"/>
      <c r="AA139" s="10"/>
      <c r="AB139" s="10"/>
      <c r="AC139" s="5">
        <f t="shared" si="169"/>
        <v>38000</v>
      </c>
    </row>
    <row r="140" spans="1:29" x14ac:dyDescent="0.35">
      <c r="A140" s="26" t="s">
        <v>322</v>
      </c>
      <c r="B140" s="30">
        <f>(190*11*(B36-B35))-B130</f>
        <v>43890</v>
      </c>
      <c r="C140" s="30">
        <f t="shared" ref="C140:E140" si="170">(190*11*(C36-C35))-C130</f>
        <v>6270</v>
      </c>
      <c r="D140" s="30">
        <f t="shared" si="170"/>
        <v>0</v>
      </c>
      <c r="E140" s="30">
        <f t="shared" si="170"/>
        <v>0</v>
      </c>
      <c r="F140" s="30">
        <f>(175*10*F36)-F130</f>
        <v>0</v>
      </c>
      <c r="G140" s="30">
        <f>(175*10*G36)-G130</f>
        <v>0</v>
      </c>
      <c r="H140" s="30">
        <f>(175*10*H36)-H130</f>
        <v>0</v>
      </c>
      <c r="I140" s="5">
        <f t="shared" si="165"/>
        <v>50160</v>
      </c>
      <c r="J140" s="11" t="s">
        <v>327</v>
      </c>
      <c r="L140" s="30">
        <f>(190*11*(L36-L35))-L130</f>
        <v>129580</v>
      </c>
      <c r="M140" s="30">
        <f t="shared" ref="M140:O140" si="171">(190*11*(M36-M35))-M130</f>
        <v>14630</v>
      </c>
      <c r="N140" s="30">
        <f t="shared" si="171"/>
        <v>0</v>
      </c>
      <c r="O140" s="30">
        <f t="shared" si="171"/>
        <v>0</v>
      </c>
      <c r="P140" s="30">
        <f>(175*10*P36)-P130</f>
        <v>0</v>
      </c>
      <c r="Q140" s="30">
        <f>(175*10*Q36)-Q130</f>
        <v>0</v>
      </c>
      <c r="R140" s="30">
        <f>(175*10*R36)-R130</f>
        <v>0</v>
      </c>
      <c r="S140" s="5">
        <f t="shared" si="167"/>
        <v>144210</v>
      </c>
      <c r="T140" s="11" t="s">
        <v>327</v>
      </c>
      <c r="V140" s="47">
        <f t="shared" si="162"/>
        <v>173470</v>
      </c>
      <c r="W140" s="47">
        <f t="shared" si="156"/>
        <v>20900</v>
      </c>
      <c r="X140" s="47">
        <f t="shared" si="156"/>
        <v>0</v>
      </c>
      <c r="Y140" s="47">
        <f t="shared" si="156"/>
        <v>0</v>
      </c>
      <c r="Z140" s="30">
        <f>(175*10*Z36)-Z130</f>
        <v>0</v>
      </c>
      <c r="AA140" s="30">
        <f>(175*10*AA36)-AA130</f>
        <v>0</v>
      </c>
      <c r="AB140" s="30">
        <f>(175*10*AB36)-AB130</f>
        <v>0</v>
      </c>
      <c r="AC140" s="5">
        <f t="shared" si="169"/>
        <v>194370</v>
      </c>
    </row>
    <row r="141" spans="1:29" x14ac:dyDescent="0.35">
      <c r="A141" s="64" t="s">
        <v>109</v>
      </c>
      <c r="B141" s="65">
        <f>SUM(B133:B140)</f>
        <v>1141733.7150924038</v>
      </c>
      <c r="C141" s="65">
        <f t="shared" ref="C141:H141" si="172">SUM(C133:C140)</f>
        <v>255809.6579125</v>
      </c>
      <c r="D141" s="65">
        <f t="shared" si="172"/>
        <v>42340.2</v>
      </c>
      <c r="E141" s="65"/>
      <c r="F141" s="65">
        <f t="shared" si="172"/>
        <v>-5000</v>
      </c>
      <c r="G141" s="65">
        <f t="shared" si="172"/>
        <v>-5000</v>
      </c>
      <c r="H141" s="65">
        <f t="shared" si="172"/>
        <v>-5000</v>
      </c>
      <c r="I141" s="65">
        <f>SUM(I133:I140)</f>
        <v>1424883.5730049037</v>
      </c>
      <c r="J141" s="7"/>
      <c r="L141" s="65">
        <f>SUM(L133:L140)</f>
        <v>3199061.9106991636</v>
      </c>
      <c r="M141" s="65">
        <f t="shared" ref="M141:N141" si="173">SUM(M133:M140)</f>
        <v>394542.4</v>
      </c>
      <c r="N141" s="65">
        <f t="shared" si="173"/>
        <v>113450.5</v>
      </c>
      <c r="O141" s="65"/>
      <c r="P141" s="65">
        <f t="shared" ref="P141:R141" si="174">SUM(P133:P140)</f>
        <v>0</v>
      </c>
      <c r="Q141" s="65">
        <f t="shared" si="174"/>
        <v>0</v>
      </c>
      <c r="R141" s="65">
        <f t="shared" si="174"/>
        <v>0</v>
      </c>
      <c r="S141" s="65">
        <f>SUM(S133:S140)</f>
        <v>3707054.8106991635</v>
      </c>
      <c r="T141" s="7"/>
      <c r="V141" s="65">
        <f>SUM(V133:V140)</f>
        <v>4340795.6257915674</v>
      </c>
      <c r="W141" s="65">
        <f t="shared" ref="W141:X141" si="175">SUM(W133:W140)</f>
        <v>650352.05791249988</v>
      </c>
      <c r="X141" s="65">
        <f t="shared" si="175"/>
        <v>155790.70000000001</v>
      </c>
      <c r="Y141" s="65"/>
      <c r="Z141" s="65">
        <f t="shared" ref="Z141:AB141" si="176">SUM(Z133:Z140)</f>
        <v>0</v>
      </c>
      <c r="AA141" s="65">
        <f t="shared" si="176"/>
        <v>0</v>
      </c>
      <c r="AB141" s="65">
        <f t="shared" si="176"/>
        <v>0</v>
      </c>
      <c r="AC141" s="65">
        <f>SUM(AC133:AC140)</f>
        <v>5146938.3837040672</v>
      </c>
    </row>
    <row r="142" spans="1:29" x14ac:dyDescent="0.35">
      <c r="A142" s="62" t="s">
        <v>110</v>
      </c>
      <c r="B142" s="63">
        <f t="shared" ref="B142:I142" si="177">B132+B141</f>
        <v>3298859.8074408346</v>
      </c>
      <c r="C142" s="63">
        <f t="shared" si="177"/>
        <v>627589.97791250004</v>
      </c>
      <c r="D142" s="63">
        <f t="shared" si="177"/>
        <v>114340.2</v>
      </c>
      <c r="E142" s="63"/>
      <c r="F142" s="63">
        <f t="shared" si="177"/>
        <v>-5000</v>
      </c>
      <c r="G142" s="63">
        <f t="shared" si="177"/>
        <v>-5000</v>
      </c>
      <c r="H142" s="63">
        <f t="shared" si="177"/>
        <v>-5000</v>
      </c>
      <c r="I142" s="63">
        <f t="shared" si="177"/>
        <v>4025789.9853533343</v>
      </c>
      <c r="J142" s="7"/>
      <c r="L142" s="63">
        <f t="shared" ref="L142:N142" si="178">L132+L141</f>
        <v>9199884.5704338029</v>
      </c>
      <c r="M142" s="63">
        <f t="shared" si="178"/>
        <v>1109242.3999999999</v>
      </c>
      <c r="N142" s="63">
        <f t="shared" si="178"/>
        <v>313450.5</v>
      </c>
      <c r="O142" s="63"/>
      <c r="P142" s="63">
        <f t="shared" ref="P142:S142" si="179">P132+P141</f>
        <v>0</v>
      </c>
      <c r="Q142" s="63">
        <f t="shared" si="179"/>
        <v>0</v>
      </c>
      <c r="R142" s="63">
        <f t="shared" si="179"/>
        <v>0</v>
      </c>
      <c r="S142" s="63">
        <f t="shared" si="179"/>
        <v>10622577.470433803</v>
      </c>
      <c r="T142" s="7"/>
      <c r="V142" s="63">
        <f t="shared" ref="V142:X142" si="180">V132+V141</f>
        <v>12498744.377874639</v>
      </c>
      <c r="W142" s="63">
        <f t="shared" si="180"/>
        <v>1736832.3779124999</v>
      </c>
      <c r="X142" s="63">
        <f t="shared" si="180"/>
        <v>427790.7</v>
      </c>
      <c r="Y142" s="63"/>
      <c r="Z142" s="63">
        <f t="shared" ref="Z142:AC142" si="181">Z132+Z141</f>
        <v>0</v>
      </c>
      <c r="AA142" s="63">
        <f t="shared" si="181"/>
        <v>0</v>
      </c>
      <c r="AB142" s="63">
        <f t="shared" si="181"/>
        <v>0</v>
      </c>
      <c r="AC142" s="63">
        <f t="shared" si="181"/>
        <v>14663367.455787137</v>
      </c>
    </row>
    <row r="143" spans="1:29" x14ac:dyDescent="0.35">
      <c r="A143" s="66" t="s">
        <v>256</v>
      </c>
      <c r="B143" s="15" t="str">
        <f t="shared" ref="B143:I143" si="182">B1</f>
        <v>Operating</v>
      </c>
      <c r="C143" s="15" t="str">
        <f t="shared" si="182"/>
        <v>SPED</v>
      </c>
      <c r="D143" s="15" t="str">
        <f t="shared" si="182"/>
        <v>NSLP</v>
      </c>
      <c r="E143" s="15" t="str">
        <f t="shared" si="182"/>
        <v>Other</v>
      </c>
      <c r="F143" s="15" t="str">
        <f t="shared" si="182"/>
        <v>Title I</v>
      </c>
      <c r="G143" s="15" t="str">
        <f t="shared" si="182"/>
        <v>Title II</v>
      </c>
      <c r="H143" s="15" t="str">
        <f t="shared" si="182"/>
        <v>Title III</v>
      </c>
      <c r="I143" s="15" t="str">
        <f t="shared" si="182"/>
        <v>B&amp;G</v>
      </c>
      <c r="J143" s="7"/>
      <c r="L143" s="15" t="str">
        <f t="shared" ref="L143:S143" si="183">L1</f>
        <v>Operating</v>
      </c>
      <c r="M143" s="15" t="str">
        <f t="shared" si="183"/>
        <v>SPED</v>
      </c>
      <c r="N143" s="15" t="str">
        <f t="shared" si="183"/>
        <v>NSLP</v>
      </c>
      <c r="O143" s="15" t="str">
        <f t="shared" si="183"/>
        <v>Other</v>
      </c>
      <c r="P143" s="15" t="str">
        <f t="shared" si="183"/>
        <v>Title I</v>
      </c>
      <c r="Q143" s="15" t="str">
        <f t="shared" si="183"/>
        <v>Title II</v>
      </c>
      <c r="R143" s="15" t="str">
        <f t="shared" si="183"/>
        <v>Title III</v>
      </c>
      <c r="S143" s="15" t="str">
        <f t="shared" si="183"/>
        <v>New</v>
      </c>
      <c r="T143" s="7"/>
      <c r="V143" s="15" t="str">
        <f t="shared" ref="V143:AC143" si="184">V1</f>
        <v>Operating</v>
      </c>
      <c r="W143" s="15" t="str">
        <f t="shared" si="184"/>
        <v>SPED</v>
      </c>
      <c r="X143" s="15" t="str">
        <f t="shared" si="184"/>
        <v>NSLP</v>
      </c>
      <c r="Y143" s="15" t="str">
        <f t="shared" si="184"/>
        <v>Other</v>
      </c>
      <c r="Z143" s="15" t="str">
        <f t="shared" si="184"/>
        <v>Title I</v>
      </c>
      <c r="AA143" s="15" t="str">
        <f t="shared" si="184"/>
        <v>Title II</v>
      </c>
      <c r="AB143" s="15" t="str">
        <f t="shared" si="184"/>
        <v>Title III</v>
      </c>
      <c r="AC143" s="15" t="str">
        <f t="shared" si="184"/>
        <v>MANN</v>
      </c>
    </row>
    <row r="144" spans="1:29" x14ac:dyDescent="0.35">
      <c r="A144" s="67" t="s">
        <v>111</v>
      </c>
      <c r="B144" s="5">
        <f>(255*B17)</f>
        <v>118575</v>
      </c>
      <c r="C144" s="10"/>
      <c r="D144" s="10"/>
      <c r="E144" s="10"/>
      <c r="F144" s="10"/>
      <c r="G144" s="10"/>
      <c r="H144" s="10"/>
      <c r="I144" s="5">
        <f t="shared" ref="I144:I152" si="185">SUM(B144:H144)</f>
        <v>118575</v>
      </c>
      <c r="J144" s="11" t="s">
        <v>499</v>
      </c>
      <c r="L144" s="5">
        <f>(255*L17)</f>
        <v>372300</v>
      </c>
      <c r="M144" s="10"/>
      <c r="N144" s="10"/>
      <c r="O144" s="10"/>
      <c r="P144" s="10"/>
      <c r="Q144" s="10"/>
      <c r="R144" s="10"/>
      <c r="S144" s="5">
        <f t="shared" ref="S144:S152" si="186">SUM(L144:R144)</f>
        <v>372300</v>
      </c>
      <c r="T144" s="11" t="s">
        <v>499</v>
      </c>
      <c r="V144" s="5">
        <f>B144+L144</f>
        <v>490875</v>
      </c>
      <c r="W144" s="5">
        <f t="shared" ref="W144:Y153" si="187">C144+M144</f>
        <v>0</v>
      </c>
      <c r="X144" s="5">
        <f t="shared" si="187"/>
        <v>0</v>
      </c>
      <c r="Y144" s="5">
        <f t="shared" si="187"/>
        <v>0</v>
      </c>
      <c r="Z144" s="10"/>
      <c r="AA144" s="10"/>
      <c r="AB144" s="10"/>
      <c r="AC144" s="5">
        <f t="shared" ref="AC144:AC152" si="188">SUM(V144:AB144)</f>
        <v>490875</v>
      </c>
    </row>
    <row r="145" spans="1:29" x14ac:dyDescent="0.35">
      <c r="A145" s="68" t="s">
        <v>112</v>
      </c>
      <c r="B145" s="5">
        <v>0</v>
      </c>
      <c r="C145" s="10"/>
      <c r="D145" s="10"/>
      <c r="E145" s="10"/>
      <c r="F145" s="10"/>
      <c r="G145" s="10"/>
      <c r="H145" s="10"/>
      <c r="I145" s="5">
        <f t="shared" si="185"/>
        <v>0</v>
      </c>
      <c r="J145" s="11"/>
      <c r="L145" s="5">
        <v>0</v>
      </c>
      <c r="M145" s="10"/>
      <c r="N145" s="10"/>
      <c r="O145" s="10"/>
      <c r="P145" s="10"/>
      <c r="Q145" s="10"/>
      <c r="R145" s="10"/>
      <c r="S145" s="5">
        <f t="shared" si="186"/>
        <v>0</v>
      </c>
      <c r="T145" s="11"/>
      <c r="V145" s="5">
        <f t="shared" ref="V145:V153" si="189">B145+L145</f>
        <v>0</v>
      </c>
      <c r="W145" s="5">
        <f t="shared" si="187"/>
        <v>0</v>
      </c>
      <c r="X145" s="5">
        <f t="shared" si="187"/>
        <v>0</v>
      </c>
      <c r="Y145" s="5">
        <f t="shared" si="187"/>
        <v>0</v>
      </c>
      <c r="Z145" s="10"/>
      <c r="AA145" s="10"/>
      <c r="AB145" s="10"/>
      <c r="AC145" s="5">
        <f t="shared" si="188"/>
        <v>0</v>
      </c>
    </row>
    <row r="146" spans="1:29" x14ac:dyDescent="0.35">
      <c r="A146" s="26" t="s">
        <v>113</v>
      </c>
      <c r="B146" s="10">
        <v>0</v>
      </c>
      <c r="C146" s="10"/>
      <c r="D146" s="10"/>
      <c r="E146" s="10"/>
      <c r="F146" s="10"/>
      <c r="G146" s="10"/>
      <c r="H146" s="10"/>
      <c r="I146" s="5">
        <f t="shared" si="185"/>
        <v>0</v>
      </c>
      <c r="J146" s="11"/>
      <c r="L146" s="10">
        <v>0</v>
      </c>
      <c r="M146" s="10"/>
      <c r="N146" s="10"/>
      <c r="O146" s="10"/>
      <c r="P146" s="10"/>
      <c r="Q146" s="10"/>
      <c r="R146" s="10"/>
      <c r="S146" s="5">
        <f t="shared" si="186"/>
        <v>0</v>
      </c>
      <c r="T146" s="11"/>
      <c r="V146" s="5">
        <f t="shared" si="189"/>
        <v>0</v>
      </c>
      <c r="W146" s="5">
        <f t="shared" si="187"/>
        <v>0</v>
      </c>
      <c r="X146" s="5">
        <f t="shared" si="187"/>
        <v>0</v>
      </c>
      <c r="Y146" s="5">
        <f t="shared" si="187"/>
        <v>0</v>
      </c>
      <c r="Z146" s="10"/>
      <c r="AA146" s="10"/>
      <c r="AB146" s="10"/>
      <c r="AC146" s="5">
        <f t="shared" si="188"/>
        <v>0</v>
      </c>
    </row>
    <row r="147" spans="1:29" x14ac:dyDescent="0.35">
      <c r="A147" s="26" t="s">
        <v>114</v>
      </c>
      <c r="B147" s="5">
        <f>37*B17</f>
        <v>17205</v>
      </c>
      <c r="C147" s="10"/>
      <c r="D147" s="10">
        <v>3500</v>
      </c>
      <c r="E147" s="10"/>
      <c r="F147" s="10"/>
      <c r="G147" s="10"/>
      <c r="H147" s="10"/>
      <c r="I147" s="5">
        <f t="shared" si="185"/>
        <v>20705</v>
      </c>
      <c r="J147" s="11" t="s">
        <v>500</v>
      </c>
      <c r="L147" s="5">
        <f>37*L17</f>
        <v>54020</v>
      </c>
      <c r="M147" s="10"/>
      <c r="N147" s="10">
        <v>3500</v>
      </c>
      <c r="O147" s="10"/>
      <c r="P147" s="10"/>
      <c r="Q147" s="10"/>
      <c r="R147" s="10"/>
      <c r="S147" s="5">
        <f t="shared" si="186"/>
        <v>57520</v>
      </c>
      <c r="T147" s="11" t="s">
        <v>500</v>
      </c>
      <c r="V147" s="5">
        <f t="shared" si="189"/>
        <v>71225</v>
      </c>
      <c r="W147" s="5">
        <f t="shared" si="187"/>
        <v>0</v>
      </c>
      <c r="X147" s="5">
        <f t="shared" si="187"/>
        <v>7000</v>
      </c>
      <c r="Y147" s="5">
        <f t="shared" si="187"/>
        <v>0</v>
      </c>
      <c r="Z147" s="10"/>
      <c r="AA147" s="10"/>
      <c r="AB147" s="10"/>
      <c r="AC147" s="5">
        <f t="shared" si="188"/>
        <v>78225</v>
      </c>
    </row>
    <row r="148" spans="1:29" x14ac:dyDescent="0.35">
      <c r="A148" s="26" t="s">
        <v>115</v>
      </c>
      <c r="B148" s="5">
        <f>58*B17</f>
        <v>26970</v>
      </c>
      <c r="C148" s="10"/>
      <c r="D148" s="10"/>
      <c r="E148" s="10"/>
      <c r="F148" s="10"/>
      <c r="G148" s="10"/>
      <c r="H148" s="10"/>
      <c r="I148" s="5">
        <f t="shared" si="185"/>
        <v>26970</v>
      </c>
      <c r="J148" s="11" t="s">
        <v>501</v>
      </c>
      <c r="L148" s="5">
        <f>58*L17</f>
        <v>84680</v>
      </c>
      <c r="M148" s="10"/>
      <c r="N148" s="10"/>
      <c r="O148" s="10"/>
      <c r="P148" s="10"/>
      <c r="Q148" s="10"/>
      <c r="R148" s="10"/>
      <c r="S148" s="5">
        <f t="shared" si="186"/>
        <v>84680</v>
      </c>
      <c r="T148" s="11" t="s">
        <v>501</v>
      </c>
      <c r="V148" s="5">
        <f t="shared" si="189"/>
        <v>111650</v>
      </c>
      <c r="W148" s="5">
        <f t="shared" si="187"/>
        <v>0</v>
      </c>
      <c r="X148" s="5">
        <f t="shared" si="187"/>
        <v>0</v>
      </c>
      <c r="Y148" s="5">
        <f t="shared" si="187"/>
        <v>0</v>
      </c>
      <c r="Z148" s="10"/>
      <c r="AA148" s="10"/>
      <c r="AB148" s="10"/>
      <c r="AC148" s="5">
        <f t="shared" si="188"/>
        <v>111650</v>
      </c>
    </row>
    <row r="149" spans="1:29" x14ac:dyDescent="0.35">
      <c r="A149" s="26" t="s">
        <v>116</v>
      </c>
      <c r="B149" s="5">
        <f>29*B17</f>
        <v>13485</v>
      </c>
      <c r="C149" s="10"/>
      <c r="D149" s="10"/>
      <c r="E149" s="10"/>
      <c r="F149" s="10"/>
      <c r="G149" s="10"/>
      <c r="H149" s="10"/>
      <c r="I149" s="5">
        <f t="shared" si="185"/>
        <v>13485</v>
      </c>
      <c r="J149" s="11" t="s">
        <v>502</v>
      </c>
      <c r="L149" s="5">
        <f>29*L17</f>
        <v>42340</v>
      </c>
      <c r="M149" s="10"/>
      <c r="N149" s="10"/>
      <c r="O149" s="10"/>
      <c r="P149" s="10"/>
      <c r="Q149" s="10"/>
      <c r="R149" s="10"/>
      <c r="S149" s="5">
        <f t="shared" si="186"/>
        <v>42340</v>
      </c>
      <c r="T149" s="11" t="s">
        <v>502</v>
      </c>
      <c r="V149" s="5">
        <f t="shared" si="189"/>
        <v>55825</v>
      </c>
      <c r="W149" s="5">
        <f t="shared" si="187"/>
        <v>0</v>
      </c>
      <c r="X149" s="5">
        <f t="shared" si="187"/>
        <v>0</v>
      </c>
      <c r="Y149" s="5">
        <f t="shared" si="187"/>
        <v>0</v>
      </c>
      <c r="Z149" s="10"/>
      <c r="AA149" s="10"/>
      <c r="AB149" s="10"/>
      <c r="AC149" s="5">
        <f t="shared" si="188"/>
        <v>55825</v>
      </c>
    </row>
    <row r="150" spans="1:29" x14ac:dyDescent="0.35">
      <c r="A150" s="26" t="s">
        <v>117</v>
      </c>
      <c r="B150" s="5">
        <f>12*B17</f>
        <v>5580</v>
      </c>
      <c r="C150" s="10"/>
      <c r="D150" s="10"/>
      <c r="E150" s="10"/>
      <c r="F150" s="10"/>
      <c r="G150" s="10"/>
      <c r="H150" s="10"/>
      <c r="I150" s="5">
        <f t="shared" si="185"/>
        <v>5580</v>
      </c>
      <c r="J150" s="11" t="s">
        <v>503</v>
      </c>
      <c r="L150" s="5">
        <f>12*L17</f>
        <v>17520</v>
      </c>
      <c r="M150" s="10"/>
      <c r="N150" s="10"/>
      <c r="O150" s="10"/>
      <c r="P150" s="10"/>
      <c r="Q150" s="10"/>
      <c r="R150" s="10"/>
      <c r="S150" s="5">
        <f t="shared" si="186"/>
        <v>17520</v>
      </c>
      <c r="T150" s="11" t="s">
        <v>503</v>
      </c>
      <c r="V150" s="5">
        <f t="shared" si="189"/>
        <v>23100</v>
      </c>
      <c r="W150" s="5">
        <f t="shared" si="187"/>
        <v>0</v>
      </c>
      <c r="X150" s="5">
        <f t="shared" si="187"/>
        <v>0</v>
      </c>
      <c r="Y150" s="5">
        <f t="shared" si="187"/>
        <v>0</v>
      </c>
      <c r="Z150" s="10"/>
      <c r="AA150" s="10"/>
      <c r="AB150" s="10"/>
      <c r="AC150" s="5">
        <f t="shared" si="188"/>
        <v>23100</v>
      </c>
    </row>
    <row r="151" spans="1:29" x14ac:dyDescent="0.35">
      <c r="A151" s="26" t="s">
        <v>118</v>
      </c>
      <c r="B151" s="5">
        <f>129*B20</f>
        <v>0</v>
      </c>
      <c r="C151" s="10">
        <f>165*(C20)</f>
        <v>9240</v>
      </c>
      <c r="D151" s="10"/>
      <c r="E151" s="10"/>
      <c r="F151" s="10"/>
      <c r="G151" s="10"/>
      <c r="H151" s="10"/>
      <c r="I151" s="5">
        <f t="shared" si="185"/>
        <v>9240</v>
      </c>
      <c r="J151" s="11" t="s">
        <v>476</v>
      </c>
      <c r="L151" s="5">
        <f>129*L20</f>
        <v>0</v>
      </c>
      <c r="M151" s="10">
        <f>165*(M20)</f>
        <v>25905</v>
      </c>
      <c r="N151" s="10"/>
      <c r="O151" s="10"/>
      <c r="P151" s="10"/>
      <c r="Q151" s="10"/>
      <c r="R151" s="10"/>
      <c r="S151" s="5">
        <f t="shared" si="186"/>
        <v>25905</v>
      </c>
      <c r="T151" s="11" t="s">
        <v>476</v>
      </c>
      <c r="V151" s="5">
        <f t="shared" si="189"/>
        <v>0</v>
      </c>
      <c r="W151" s="5">
        <f t="shared" si="187"/>
        <v>35145</v>
      </c>
      <c r="X151" s="5">
        <f t="shared" si="187"/>
        <v>0</v>
      </c>
      <c r="Y151" s="5">
        <f t="shared" si="187"/>
        <v>0</v>
      </c>
      <c r="Z151" s="10"/>
      <c r="AA151" s="10"/>
      <c r="AB151" s="10"/>
      <c r="AC151" s="5">
        <f t="shared" si="188"/>
        <v>35145</v>
      </c>
    </row>
    <row r="152" spans="1:29" x14ac:dyDescent="0.35">
      <c r="A152" s="26" t="s">
        <v>119</v>
      </c>
      <c r="B152" s="5">
        <v>0</v>
      </c>
      <c r="C152" s="5"/>
      <c r="D152" s="5"/>
      <c r="E152" s="5"/>
      <c r="F152" s="5"/>
      <c r="G152" s="5"/>
      <c r="H152" s="5"/>
      <c r="I152" s="5">
        <f t="shared" si="185"/>
        <v>0</v>
      </c>
      <c r="J152" s="11"/>
      <c r="L152" s="5">
        <v>0</v>
      </c>
      <c r="M152" s="5"/>
      <c r="N152" s="5"/>
      <c r="O152" s="5"/>
      <c r="P152" s="5"/>
      <c r="Q152" s="5"/>
      <c r="R152" s="5"/>
      <c r="S152" s="5">
        <f t="shared" si="186"/>
        <v>0</v>
      </c>
      <c r="T152" s="11"/>
      <c r="V152" s="5">
        <f t="shared" si="189"/>
        <v>0</v>
      </c>
      <c r="W152" s="5">
        <f t="shared" si="187"/>
        <v>0</v>
      </c>
      <c r="X152" s="5">
        <f t="shared" si="187"/>
        <v>0</v>
      </c>
      <c r="Y152" s="5">
        <f t="shared" si="187"/>
        <v>0</v>
      </c>
      <c r="Z152" s="5"/>
      <c r="AA152" s="5"/>
      <c r="AB152" s="5"/>
      <c r="AC152" s="5">
        <f t="shared" si="188"/>
        <v>0</v>
      </c>
    </row>
    <row r="153" spans="1:29" x14ac:dyDescent="0.35">
      <c r="A153" s="69" t="s">
        <v>161</v>
      </c>
      <c r="B153" s="73">
        <f>48*B17</f>
        <v>22320</v>
      </c>
      <c r="C153" s="5"/>
      <c r="D153" s="5"/>
      <c r="E153" s="5"/>
      <c r="F153" s="5"/>
      <c r="G153" s="5"/>
      <c r="H153" s="5"/>
      <c r="I153" s="5">
        <f>SUM(B153:H153)</f>
        <v>22320</v>
      </c>
      <c r="J153" s="11" t="s">
        <v>504</v>
      </c>
      <c r="L153" s="73">
        <f>48*L17</f>
        <v>70080</v>
      </c>
      <c r="M153" s="5"/>
      <c r="N153" s="5"/>
      <c r="O153" s="5"/>
      <c r="P153" s="5"/>
      <c r="Q153" s="5"/>
      <c r="R153" s="5"/>
      <c r="S153" s="5">
        <f>SUM(L153:R153)</f>
        <v>70080</v>
      </c>
      <c r="T153" s="11" t="s">
        <v>504</v>
      </c>
      <c r="V153" s="5">
        <f t="shared" si="189"/>
        <v>92400</v>
      </c>
      <c r="W153" s="5">
        <f t="shared" si="187"/>
        <v>0</v>
      </c>
      <c r="X153" s="5">
        <f t="shared" si="187"/>
        <v>0</v>
      </c>
      <c r="Y153" s="5">
        <f t="shared" si="187"/>
        <v>0</v>
      </c>
      <c r="Z153" s="5"/>
      <c r="AA153" s="5"/>
      <c r="AB153" s="5"/>
      <c r="AC153" s="5">
        <f>SUM(V153:AB153)</f>
        <v>92400</v>
      </c>
    </row>
    <row r="154" spans="1:29" x14ac:dyDescent="0.35">
      <c r="A154" s="62" t="s">
        <v>257</v>
      </c>
      <c r="B154" s="63">
        <f>SUM(B144:B153)</f>
        <v>204135</v>
      </c>
      <c r="C154" s="63">
        <f t="shared" ref="C154:I154" si="190">SUM(C144:C153)</f>
        <v>9240</v>
      </c>
      <c r="D154" s="63">
        <f t="shared" si="190"/>
        <v>3500</v>
      </c>
      <c r="E154" s="63">
        <f t="shared" si="190"/>
        <v>0</v>
      </c>
      <c r="F154" s="63">
        <f t="shared" si="190"/>
        <v>0</v>
      </c>
      <c r="G154" s="63">
        <f t="shared" si="190"/>
        <v>0</v>
      </c>
      <c r="H154" s="63">
        <f t="shared" si="190"/>
        <v>0</v>
      </c>
      <c r="I154" s="63">
        <f t="shared" si="190"/>
        <v>216875</v>
      </c>
      <c r="J154" s="7"/>
      <c r="L154" s="63">
        <f>SUM(L144:L153)</f>
        <v>640940</v>
      </c>
      <c r="M154" s="63">
        <f t="shared" ref="M154:S154" si="191">SUM(M144:M153)</f>
        <v>25905</v>
      </c>
      <c r="N154" s="63">
        <f t="shared" si="191"/>
        <v>3500</v>
      </c>
      <c r="O154" s="63">
        <f t="shared" si="191"/>
        <v>0</v>
      </c>
      <c r="P154" s="63">
        <f t="shared" si="191"/>
        <v>0</v>
      </c>
      <c r="Q154" s="63">
        <f t="shared" si="191"/>
        <v>0</v>
      </c>
      <c r="R154" s="63">
        <f t="shared" si="191"/>
        <v>0</v>
      </c>
      <c r="S154" s="63">
        <f t="shared" si="191"/>
        <v>670345</v>
      </c>
      <c r="T154" s="7"/>
      <c r="V154" s="63">
        <f>SUM(V144:V153)</f>
        <v>845075</v>
      </c>
      <c r="W154" s="63">
        <f t="shared" ref="W154:AC154" si="192">SUM(W144:W153)</f>
        <v>35145</v>
      </c>
      <c r="X154" s="63">
        <f t="shared" si="192"/>
        <v>7000</v>
      </c>
      <c r="Y154" s="63">
        <f t="shared" si="192"/>
        <v>0</v>
      </c>
      <c r="Z154" s="63">
        <f t="shared" si="192"/>
        <v>0</v>
      </c>
      <c r="AA154" s="63">
        <f t="shared" si="192"/>
        <v>0</v>
      </c>
      <c r="AB154" s="63">
        <f t="shared" si="192"/>
        <v>0</v>
      </c>
      <c r="AC154" s="63">
        <f t="shared" si="192"/>
        <v>887220</v>
      </c>
    </row>
    <row r="155" spans="1:29" x14ac:dyDescent="0.35">
      <c r="A155" s="66" t="s">
        <v>120</v>
      </c>
      <c r="B155" s="15" t="str">
        <f t="shared" ref="B155:I155" si="193">B1</f>
        <v>Operating</v>
      </c>
      <c r="C155" s="15" t="str">
        <f t="shared" si="193"/>
        <v>SPED</v>
      </c>
      <c r="D155" s="15" t="str">
        <f t="shared" si="193"/>
        <v>NSLP</v>
      </c>
      <c r="E155" s="15" t="str">
        <f t="shared" si="193"/>
        <v>Other</v>
      </c>
      <c r="F155" s="15" t="str">
        <f t="shared" si="193"/>
        <v>Title I</v>
      </c>
      <c r="G155" s="15" t="str">
        <f t="shared" si="193"/>
        <v>Title II</v>
      </c>
      <c r="H155" s="15" t="str">
        <f t="shared" si="193"/>
        <v>Title III</v>
      </c>
      <c r="I155" s="15" t="str">
        <f t="shared" si="193"/>
        <v>B&amp;G</v>
      </c>
      <c r="J155" s="7"/>
      <c r="L155" s="15" t="str">
        <f t="shared" ref="L155:S155" si="194">L1</f>
        <v>Operating</v>
      </c>
      <c r="M155" s="15" t="str">
        <f t="shared" si="194"/>
        <v>SPED</v>
      </c>
      <c r="N155" s="15" t="str">
        <f t="shared" si="194"/>
        <v>NSLP</v>
      </c>
      <c r="O155" s="15" t="str">
        <f t="shared" si="194"/>
        <v>Other</v>
      </c>
      <c r="P155" s="15" t="str">
        <f t="shared" si="194"/>
        <v>Title I</v>
      </c>
      <c r="Q155" s="15" t="str">
        <f t="shared" si="194"/>
        <v>Title II</v>
      </c>
      <c r="R155" s="15" t="str">
        <f t="shared" si="194"/>
        <v>Title III</v>
      </c>
      <c r="S155" s="15" t="str">
        <f t="shared" si="194"/>
        <v>New</v>
      </c>
      <c r="T155" s="7"/>
      <c r="V155" s="15" t="str">
        <f t="shared" ref="V155:AC155" si="195">V1</f>
        <v>Operating</v>
      </c>
      <c r="W155" s="15" t="str">
        <f t="shared" si="195"/>
        <v>SPED</v>
      </c>
      <c r="X155" s="15" t="str">
        <f t="shared" si="195"/>
        <v>NSLP</v>
      </c>
      <c r="Y155" s="15" t="str">
        <f t="shared" si="195"/>
        <v>Other</v>
      </c>
      <c r="Z155" s="15" t="str">
        <f t="shared" si="195"/>
        <v>Title I</v>
      </c>
      <c r="AA155" s="15" t="str">
        <f t="shared" si="195"/>
        <v>Title II</v>
      </c>
      <c r="AB155" s="15" t="str">
        <f t="shared" si="195"/>
        <v>Title III</v>
      </c>
      <c r="AC155" s="15" t="str">
        <f t="shared" si="195"/>
        <v>MANN</v>
      </c>
    </row>
    <row r="156" spans="1:29" x14ac:dyDescent="0.35">
      <c r="A156" s="26" t="s">
        <v>457</v>
      </c>
      <c r="B156" s="10">
        <f>(12600+3000)*1.03*1.03*1.05</f>
        <v>17377.542000000001</v>
      </c>
      <c r="C156" s="10"/>
      <c r="D156" s="10"/>
      <c r="E156" s="10"/>
      <c r="F156" s="10"/>
      <c r="G156" s="10"/>
      <c r="H156" s="10"/>
      <c r="I156" s="5">
        <f t="shared" ref="I156:I169" si="196">SUM(B156:H156)</f>
        <v>17377.542000000001</v>
      </c>
      <c r="J156" s="11"/>
      <c r="L156" s="10">
        <f>(18600+3000)*1.03*1.02*1.05</f>
        <v>23827.608</v>
      </c>
      <c r="M156" s="10"/>
      <c r="N156" s="10"/>
      <c r="O156" s="10"/>
      <c r="P156" s="10"/>
      <c r="Q156" s="10"/>
      <c r="R156" s="10"/>
      <c r="S156" s="5">
        <f t="shared" ref="S156:S169" si="197">SUM(L156:R156)</f>
        <v>23827.608</v>
      </c>
      <c r="T156" s="11"/>
      <c r="V156" s="10">
        <f>B156+L156</f>
        <v>41205.15</v>
      </c>
      <c r="W156" s="10">
        <f t="shared" ref="W156:Y169" si="198">C156+M156</f>
        <v>0</v>
      </c>
      <c r="X156" s="10">
        <f t="shared" si="198"/>
        <v>0</v>
      </c>
      <c r="Y156" s="10">
        <f t="shared" si="198"/>
        <v>0</v>
      </c>
      <c r="Z156" s="10"/>
      <c r="AA156" s="10"/>
      <c r="AB156" s="10"/>
      <c r="AC156" s="5">
        <f t="shared" ref="AC156:AC169" si="199">SUM(V156:AB156)</f>
        <v>41205.15</v>
      </c>
    </row>
    <row r="157" spans="1:29" x14ac:dyDescent="0.35">
      <c r="A157" s="26" t="s">
        <v>121</v>
      </c>
      <c r="B157" s="10">
        <v>0</v>
      </c>
      <c r="C157" s="5">
        <f>125*B17</f>
        <v>58125</v>
      </c>
      <c r="D157" s="5"/>
      <c r="E157" s="5"/>
      <c r="F157" s="5"/>
      <c r="G157" s="5"/>
      <c r="H157" s="5"/>
      <c r="I157" s="5">
        <f t="shared" si="196"/>
        <v>58125</v>
      </c>
      <c r="J157" s="11" t="s">
        <v>496</v>
      </c>
      <c r="L157" s="10">
        <v>0</v>
      </c>
      <c r="M157" s="5">
        <f>435*L17</f>
        <v>635100</v>
      </c>
      <c r="N157" s="5"/>
      <c r="O157" s="5"/>
      <c r="P157" s="5"/>
      <c r="Q157" s="5"/>
      <c r="R157" s="5"/>
      <c r="S157" s="5">
        <f t="shared" si="197"/>
        <v>635100</v>
      </c>
      <c r="T157" s="11" t="s">
        <v>480</v>
      </c>
      <c r="V157" s="10">
        <f t="shared" ref="V157:V169" si="200">B157+L157</f>
        <v>0</v>
      </c>
      <c r="W157" s="10">
        <f t="shared" si="198"/>
        <v>693225</v>
      </c>
      <c r="X157" s="10">
        <f t="shared" si="198"/>
        <v>0</v>
      </c>
      <c r="Y157" s="10">
        <f t="shared" si="198"/>
        <v>0</v>
      </c>
      <c r="Z157" s="5"/>
      <c r="AA157" s="5"/>
      <c r="AB157" s="5"/>
      <c r="AC157" s="5">
        <f t="shared" si="199"/>
        <v>693225</v>
      </c>
    </row>
    <row r="158" spans="1:29" x14ac:dyDescent="0.35">
      <c r="A158" s="26" t="s">
        <v>285</v>
      </c>
      <c r="B158" s="10">
        <v>0</v>
      </c>
      <c r="C158" s="5"/>
      <c r="D158" s="5"/>
      <c r="E158" s="5"/>
      <c r="F158" s="5"/>
      <c r="G158" s="5"/>
      <c r="H158" s="5"/>
      <c r="I158" s="5">
        <f t="shared" si="196"/>
        <v>0</v>
      </c>
      <c r="J158" s="11"/>
      <c r="L158" s="10">
        <v>0</v>
      </c>
      <c r="M158" s="5"/>
      <c r="N158" s="5"/>
      <c r="O158" s="5"/>
      <c r="P158" s="5"/>
      <c r="Q158" s="5"/>
      <c r="R158" s="5"/>
      <c r="S158" s="5">
        <f t="shared" si="197"/>
        <v>0</v>
      </c>
      <c r="T158" s="11"/>
      <c r="V158" s="10">
        <f t="shared" si="200"/>
        <v>0</v>
      </c>
      <c r="W158" s="10">
        <f t="shared" si="198"/>
        <v>0</v>
      </c>
      <c r="X158" s="10">
        <f t="shared" si="198"/>
        <v>0</v>
      </c>
      <c r="Y158" s="10">
        <f t="shared" si="198"/>
        <v>0</v>
      </c>
      <c r="Z158" s="5"/>
      <c r="AA158" s="5"/>
      <c r="AB158" s="5"/>
      <c r="AC158" s="5">
        <f t="shared" si="199"/>
        <v>0</v>
      </c>
    </row>
    <row r="159" spans="1:29" x14ac:dyDescent="0.35">
      <c r="A159" s="26" t="s">
        <v>285</v>
      </c>
      <c r="B159" s="10">
        <v>0</v>
      </c>
      <c r="C159" s="5"/>
      <c r="D159" s="5"/>
      <c r="E159" s="5"/>
      <c r="F159" s="5"/>
      <c r="G159" s="5"/>
      <c r="H159" s="5"/>
      <c r="I159" s="5">
        <f t="shared" si="196"/>
        <v>0</v>
      </c>
      <c r="J159" s="11"/>
      <c r="L159" s="10">
        <v>0</v>
      </c>
      <c r="M159" s="5"/>
      <c r="N159" s="5"/>
      <c r="O159" s="5"/>
      <c r="P159" s="5"/>
      <c r="Q159" s="5"/>
      <c r="R159" s="5"/>
      <c r="S159" s="5">
        <f t="shared" si="197"/>
        <v>0</v>
      </c>
      <c r="T159" s="11"/>
      <c r="V159" s="10">
        <f t="shared" si="200"/>
        <v>0</v>
      </c>
      <c r="W159" s="10">
        <f t="shared" si="198"/>
        <v>0</v>
      </c>
      <c r="X159" s="10">
        <f t="shared" si="198"/>
        <v>0</v>
      </c>
      <c r="Y159" s="10">
        <f t="shared" si="198"/>
        <v>0</v>
      </c>
      <c r="Z159" s="5"/>
      <c r="AA159" s="5"/>
      <c r="AB159" s="5"/>
      <c r="AC159" s="5">
        <f t="shared" si="199"/>
        <v>0</v>
      </c>
    </row>
    <row r="160" spans="1:29" x14ac:dyDescent="0.35">
      <c r="A160" s="26" t="s">
        <v>122</v>
      </c>
      <c r="B160" s="10">
        <f>495*B17</f>
        <v>230175</v>
      </c>
      <c r="C160" s="5"/>
      <c r="D160" s="5"/>
      <c r="E160" s="5"/>
      <c r="F160" s="5"/>
      <c r="G160" s="5"/>
      <c r="H160" s="5"/>
      <c r="I160" s="5">
        <f t="shared" si="196"/>
        <v>230175</v>
      </c>
      <c r="J160" s="11" t="s">
        <v>460</v>
      </c>
      <c r="L160" s="10">
        <f>495*L17</f>
        <v>722700</v>
      </c>
      <c r="M160" s="5"/>
      <c r="N160" s="5"/>
      <c r="O160" s="5"/>
      <c r="P160" s="5"/>
      <c r="Q160" s="5"/>
      <c r="R160" s="5"/>
      <c r="S160" s="5">
        <f t="shared" si="197"/>
        <v>722700</v>
      </c>
      <c r="T160" s="11" t="s">
        <v>460</v>
      </c>
      <c r="V160" s="10">
        <f t="shared" si="200"/>
        <v>952875</v>
      </c>
      <c r="W160" s="10">
        <f t="shared" si="198"/>
        <v>0</v>
      </c>
      <c r="X160" s="10">
        <f t="shared" si="198"/>
        <v>0</v>
      </c>
      <c r="Y160" s="10">
        <f t="shared" si="198"/>
        <v>0</v>
      </c>
      <c r="Z160" s="5"/>
      <c r="AA160" s="5"/>
      <c r="AB160" s="5"/>
      <c r="AC160" s="5">
        <f t="shared" si="199"/>
        <v>952875</v>
      </c>
    </row>
    <row r="161" spans="1:29" x14ac:dyDescent="0.35">
      <c r="A161" s="26" t="s">
        <v>123</v>
      </c>
      <c r="B161" s="10">
        <f>(255*B65)+7000</f>
        <v>15415</v>
      </c>
      <c r="C161" s="10">
        <f>(255*C65)+1000</f>
        <v>2785</v>
      </c>
      <c r="D161" s="10">
        <f>(255*D65)+200</f>
        <v>710</v>
      </c>
      <c r="E161" s="10"/>
      <c r="F161" s="10">
        <f>(240*F65)</f>
        <v>0</v>
      </c>
      <c r="G161" s="10">
        <f>(240*G65)</f>
        <v>0</v>
      </c>
      <c r="H161" s="10">
        <f>(240*H65)</f>
        <v>0</v>
      </c>
      <c r="I161" s="5">
        <f t="shared" si="196"/>
        <v>18910</v>
      </c>
      <c r="J161" s="11" t="s">
        <v>478</v>
      </c>
      <c r="L161" s="10">
        <f>(255*L65)+15000</f>
        <v>38715</v>
      </c>
      <c r="M161" s="10">
        <f>(245*M65)+1000</f>
        <v>4430</v>
      </c>
      <c r="N161" s="10">
        <f>(245*N65)+200</f>
        <v>1425</v>
      </c>
      <c r="O161" s="10"/>
      <c r="P161" s="10">
        <f>(240*P65)</f>
        <v>0</v>
      </c>
      <c r="Q161" s="10">
        <f>(240*Q65)</f>
        <v>0</v>
      </c>
      <c r="R161" s="10">
        <f>(240*R65)</f>
        <v>0</v>
      </c>
      <c r="S161" s="5">
        <f t="shared" si="197"/>
        <v>44570</v>
      </c>
      <c r="T161" s="11" t="s">
        <v>478</v>
      </c>
      <c r="V161" s="10">
        <f t="shared" si="200"/>
        <v>54130</v>
      </c>
      <c r="W161" s="10">
        <f t="shared" si="198"/>
        <v>7215</v>
      </c>
      <c r="X161" s="10">
        <f t="shared" si="198"/>
        <v>2135</v>
      </c>
      <c r="Y161" s="10">
        <f t="shared" si="198"/>
        <v>0</v>
      </c>
      <c r="Z161" s="10">
        <f>(240*Z65)</f>
        <v>0</v>
      </c>
      <c r="AA161" s="10">
        <f>(240*AA65)</f>
        <v>0</v>
      </c>
      <c r="AB161" s="10">
        <f>(240*AB65)</f>
        <v>0</v>
      </c>
      <c r="AC161" s="5">
        <f t="shared" si="199"/>
        <v>63480</v>
      </c>
    </row>
    <row r="162" spans="1:29" x14ac:dyDescent="0.35">
      <c r="A162" s="26" t="s">
        <v>124</v>
      </c>
      <c r="B162" s="10">
        <v>33500</v>
      </c>
      <c r="C162" s="5"/>
      <c r="D162" s="5"/>
      <c r="E162" s="5"/>
      <c r="F162" s="5"/>
      <c r="G162" s="5"/>
      <c r="H162" s="5"/>
      <c r="I162" s="5">
        <f t="shared" si="196"/>
        <v>33500</v>
      </c>
      <c r="J162" s="11"/>
      <c r="L162" s="10">
        <v>48000</v>
      </c>
      <c r="M162" s="5"/>
      <c r="N162" s="5"/>
      <c r="O162" s="5"/>
      <c r="P162" s="5"/>
      <c r="Q162" s="5"/>
      <c r="R162" s="5"/>
      <c r="S162" s="5">
        <f t="shared" si="197"/>
        <v>48000</v>
      </c>
      <c r="T162" s="11"/>
      <c r="V162" s="10">
        <f t="shared" si="200"/>
        <v>81500</v>
      </c>
      <c r="W162" s="10">
        <f t="shared" si="198"/>
        <v>0</v>
      </c>
      <c r="X162" s="10">
        <f t="shared" si="198"/>
        <v>0</v>
      </c>
      <c r="Y162" s="10">
        <f t="shared" si="198"/>
        <v>0</v>
      </c>
      <c r="Z162" s="5"/>
      <c r="AA162" s="5"/>
      <c r="AB162" s="5"/>
      <c r="AC162" s="5">
        <f t="shared" si="199"/>
        <v>81500</v>
      </c>
    </row>
    <row r="163" spans="1:29" x14ac:dyDescent="0.35">
      <c r="A163" s="26" t="s">
        <v>125</v>
      </c>
      <c r="B163" s="10">
        <v>7500</v>
      </c>
      <c r="C163" s="5"/>
      <c r="D163" s="5"/>
      <c r="E163" s="5"/>
      <c r="F163" s="5"/>
      <c r="G163" s="5"/>
      <c r="H163" s="5"/>
      <c r="I163" s="5">
        <f t="shared" si="196"/>
        <v>7500</v>
      </c>
      <c r="J163" s="11"/>
      <c r="L163" s="10">
        <v>7000</v>
      </c>
      <c r="M163" s="5"/>
      <c r="N163" s="5"/>
      <c r="O163" s="5"/>
      <c r="P163" s="5"/>
      <c r="Q163" s="5"/>
      <c r="R163" s="5"/>
      <c r="S163" s="5">
        <f t="shared" si="197"/>
        <v>7000</v>
      </c>
      <c r="T163" s="11"/>
      <c r="V163" s="10">
        <f t="shared" si="200"/>
        <v>14500</v>
      </c>
      <c r="W163" s="10">
        <f t="shared" si="198"/>
        <v>0</v>
      </c>
      <c r="X163" s="10">
        <f t="shared" si="198"/>
        <v>0</v>
      </c>
      <c r="Y163" s="10">
        <f t="shared" si="198"/>
        <v>0</v>
      </c>
      <c r="Z163" s="5"/>
      <c r="AA163" s="5"/>
      <c r="AB163" s="5"/>
      <c r="AC163" s="5">
        <f t="shared" si="199"/>
        <v>14500</v>
      </c>
    </row>
    <row r="164" spans="1:29" x14ac:dyDescent="0.35">
      <c r="A164" s="26" t="s">
        <v>126</v>
      </c>
      <c r="B164" s="10">
        <f>50*B17+(60*12)</f>
        <v>23970</v>
      </c>
      <c r="C164" s="5"/>
      <c r="D164" s="5"/>
      <c r="E164" s="5"/>
      <c r="F164" s="5"/>
      <c r="G164" s="5"/>
      <c r="H164" s="5"/>
      <c r="I164" s="5">
        <f t="shared" si="196"/>
        <v>23970</v>
      </c>
      <c r="J164" s="11" t="s">
        <v>462</v>
      </c>
      <c r="L164" s="10">
        <f>50*L17+(60*12)</f>
        <v>73720</v>
      </c>
      <c r="M164" s="5"/>
      <c r="N164" s="5"/>
      <c r="O164" s="5"/>
      <c r="P164" s="5"/>
      <c r="Q164" s="5"/>
      <c r="R164" s="5"/>
      <c r="S164" s="5">
        <f t="shared" si="197"/>
        <v>73720</v>
      </c>
      <c r="T164" s="11" t="s">
        <v>462</v>
      </c>
      <c r="V164" s="10">
        <f t="shared" si="200"/>
        <v>97690</v>
      </c>
      <c r="W164" s="10">
        <f t="shared" si="198"/>
        <v>0</v>
      </c>
      <c r="X164" s="10">
        <f t="shared" si="198"/>
        <v>0</v>
      </c>
      <c r="Y164" s="10">
        <f t="shared" si="198"/>
        <v>0</v>
      </c>
      <c r="Z164" s="5"/>
      <c r="AA164" s="5"/>
      <c r="AB164" s="5"/>
      <c r="AC164" s="5">
        <f t="shared" si="199"/>
        <v>97690</v>
      </c>
    </row>
    <row r="165" spans="1:29" x14ac:dyDescent="0.35">
      <c r="A165" s="26" t="s">
        <v>127</v>
      </c>
      <c r="B165" s="10">
        <v>18000</v>
      </c>
      <c r="C165" s="5"/>
      <c r="D165" s="5"/>
      <c r="E165" s="5"/>
      <c r="F165" s="5"/>
      <c r="G165" s="5"/>
      <c r="H165" s="5"/>
      <c r="I165" s="5">
        <f t="shared" si="196"/>
        <v>18000</v>
      </c>
      <c r="J165" s="11"/>
      <c r="L165" s="10">
        <v>24500</v>
      </c>
      <c r="M165" s="5"/>
      <c r="N165" s="5"/>
      <c r="O165" s="5"/>
      <c r="P165" s="5"/>
      <c r="Q165" s="5"/>
      <c r="R165" s="5"/>
      <c r="S165" s="5">
        <f t="shared" si="197"/>
        <v>24500</v>
      </c>
      <c r="T165" s="11"/>
      <c r="V165" s="10">
        <f t="shared" si="200"/>
        <v>42500</v>
      </c>
      <c r="W165" s="10">
        <f t="shared" si="198"/>
        <v>0</v>
      </c>
      <c r="X165" s="10">
        <f t="shared" si="198"/>
        <v>0</v>
      </c>
      <c r="Y165" s="10">
        <f t="shared" si="198"/>
        <v>0</v>
      </c>
      <c r="Z165" s="5"/>
      <c r="AA165" s="5"/>
      <c r="AB165" s="5"/>
      <c r="AC165" s="5">
        <f t="shared" si="199"/>
        <v>42500</v>
      </c>
    </row>
    <row r="166" spans="1:29" x14ac:dyDescent="0.35">
      <c r="A166" s="26" t="s">
        <v>128</v>
      </c>
      <c r="B166" s="10">
        <f>B74*0.0125</f>
        <v>58915.5</v>
      </c>
      <c r="C166" s="5"/>
      <c r="D166" s="5"/>
      <c r="E166" s="5"/>
      <c r="F166" s="5"/>
      <c r="G166" s="5"/>
      <c r="H166" s="5"/>
      <c r="I166" s="5">
        <f t="shared" si="196"/>
        <v>58915.5</v>
      </c>
      <c r="J166" s="70">
        <v>1.2500000000000001E-2</v>
      </c>
      <c r="L166" s="10">
        <f>L74*0.0125</f>
        <v>184982</v>
      </c>
      <c r="M166" s="5"/>
      <c r="N166" s="5"/>
      <c r="O166" s="5"/>
      <c r="P166" s="5"/>
      <c r="Q166" s="5"/>
      <c r="R166" s="5"/>
      <c r="S166" s="5">
        <f t="shared" si="197"/>
        <v>184982</v>
      </c>
      <c r="T166" s="70">
        <v>1.2500000000000001E-2</v>
      </c>
      <c r="V166" s="10">
        <f t="shared" si="200"/>
        <v>243897.5</v>
      </c>
      <c r="W166" s="10">
        <f t="shared" si="198"/>
        <v>0</v>
      </c>
      <c r="X166" s="10">
        <f t="shared" si="198"/>
        <v>0</v>
      </c>
      <c r="Y166" s="10">
        <f t="shared" si="198"/>
        <v>0</v>
      </c>
      <c r="Z166" s="5"/>
      <c r="AA166" s="5"/>
      <c r="AB166" s="5"/>
      <c r="AC166" s="5">
        <f t="shared" si="199"/>
        <v>243897.5</v>
      </c>
    </row>
    <row r="167" spans="1:29" x14ac:dyDescent="0.35">
      <c r="A167" s="26" t="s">
        <v>129</v>
      </c>
      <c r="B167" s="10">
        <f>B74*0.005</f>
        <v>23566.2</v>
      </c>
      <c r="C167" s="5"/>
      <c r="D167" s="5"/>
      <c r="E167" s="5"/>
      <c r="F167" s="5"/>
      <c r="G167" s="5"/>
      <c r="H167" s="5"/>
      <c r="I167" s="5">
        <f t="shared" si="196"/>
        <v>23566.2</v>
      </c>
      <c r="J167" s="70" t="s">
        <v>130</v>
      </c>
      <c r="L167" s="10">
        <f>L74*0.005</f>
        <v>73992.800000000003</v>
      </c>
      <c r="M167" s="5"/>
      <c r="N167" s="5"/>
      <c r="O167" s="5"/>
      <c r="P167" s="5"/>
      <c r="Q167" s="5"/>
      <c r="R167" s="5"/>
      <c r="S167" s="5">
        <f t="shared" si="197"/>
        <v>73992.800000000003</v>
      </c>
      <c r="T167" s="70" t="s">
        <v>130</v>
      </c>
      <c r="V167" s="10">
        <f t="shared" si="200"/>
        <v>97559</v>
      </c>
      <c r="W167" s="10">
        <f t="shared" si="198"/>
        <v>0</v>
      </c>
      <c r="X167" s="10">
        <f t="shared" si="198"/>
        <v>0</v>
      </c>
      <c r="Y167" s="10">
        <f t="shared" si="198"/>
        <v>0</v>
      </c>
      <c r="Z167" s="5"/>
      <c r="AA167" s="5"/>
      <c r="AB167" s="5"/>
      <c r="AC167" s="5">
        <f t="shared" si="199"/>
        <v>97559</v>
      </c>
    </row>
    <row r="168" spans="1:29" x14ac:dyDescent="0.35">
      <c r="A168" s="26" t="s">
        <v>131</v>
      </c>
      <c r="B168" s="10">
        <f>B74*0.005</f>
        <v>23566.2</v>
      </c>
      <c r="C168" s="5"/>
      <c r="D168" s="5"/>
      <c r="E168" s="5"/>
      <c r="F168" s="5"/>
      <c r="G168" s="5"/>
      <c r="H168" s="5"/>
      <c r="I168" s="5">
        <f t="shared" si="196"/>
        <v>23566.2</v>
      </c>
      <c r="J168" s="70" t="s">
        <v>130</v>
      </c>
      <c r="L168" s="10">
        <f>L74*0.005</f>
        <v>73992.800000000003</v>
      </c>
      <c r="M168" s="5"/>
      <c r="N168" s="5"/>
      <c r="O168" s="5"/>
      <c r="P168" s="5"/>
      <c r="Q168" s="5"/>
      <c r="R168" s="5"/>
      <c r="S168" s="5">
        <f t="shared" si="197"/>
        <v>73992.800000000003</v>
      </c>
      <c r="T168" s="70" t="s">
        <v>130</v>
      </c>
      <c r="V168" s="10">
        <f t="shared" si="200"/>
        <v>97559</v>
      </c>
      <c r="W168" s="10">
        <f t="shared" si="198"/>
        <v>0</v>
      </c>
      <c r="X168" s="10">
        <f t="shared" si="198"/>
        <v>0</v>
      </c>
      <c r="Y168" s="10">
        <f t="shared" si="198"/>
        <v>0</v>
      </c>
      <c r="Z168" s="5"/>
      <c r="AA168" s="5"/>
      <c r="AB168" s="5"/>
      <c r="AC168" s="5">
        <f t="shared" si="199"/>
        <v>97559</v>
      </c>
    </row>
    <row r="169" spans="1:29" x14ac:dyDescent="0.35">
      <c r="A169" s="69" t="s">
        <v>132</v>
      </c>
      <c r="B169" s="10">
        <v>0</v>
      </c>
      <c r="C169" s="5"/>
      <c r="D169" s="5"/>
      <c r="E169" s="5"/>
      <c r="F169" s="5"/>
      <c r="G169" s="5"/>
      <c r="H169" s="5"/>
      <c r="I169" s="5">
        <f t="shared" si="196"/>
        <v>0</v>
      </c>
      <c r="J169" s="70"/>
      <c r="L169" s="10">
        <v>0</v>
      </c>
      <c r="M169" s="5"/>
      <c r="N169" s="5"/>
      <c r="O169" s="5"/>
      <c r="P169" s="5"/>
      <c r="Q169" s="5"/>
      <c r="R169" s="5"/>
      <c r="S169" s="5">
        <f t="shared" si="197"/>
        <v>0</v>
      </c>
      <c r="T169" s="70"/>
      <c r="V169" s="10">
        <f t="shared" si="200"/>
        <v>0</v>
      </c>
      <c r="W169" s="10">
        <f t="shared" si="198"/>
        <v>0</v>
      </c>
      <c r="X169" s="10">
        <f t="shared" si="198"/>
        <v>0</v>
      </c>
      <c r="Y169" s="10">
        <f t="shared" si="198"/>
        <v>0</v>
      </c>
      <c r="Z169" s="5"/>
      <c r="AA169" s="5"/>
      <c r="AB169" s="5"/>
      <c r="AC169" s="5">
        <f t="shared" si="199"/>
        <v>0</v>
      </c>
    </row>
    <row r="170" spans="1:29" x14ac:dyDescent="0.35">
      <c r="A170" s="62" t="s">
        <v>133</v>
      </c>
      <c r="B170" s="63">
        <f>SUM(B156:B169)</f>
        <v>451985.44200000004</v>
      </c>
      <c r="C170" s="63">
        <f t="shared" ref="C170:H170" si="201">SUM(C156:C169)</f>
        <v>60910</v>
      </c>
      <c r="D170" s="63">
        <f t="shared" si="201"/>
        <v>710</v>
      </c>
      <c r="E170" s="63">
        <f t="shared" si="201"/>
        <v>0</v>
      </c>
      <c r="F170" s="63">
        <f t="shared" si="201"/>
        <v>0</v>
      </c>
      <c r="G170" s="63">
        <f t="shared" si="201"/>
        <v>0</v>
      </c>
      <c r="H170" s="63">
        <f t="shared" si="201"/>
        <v>0</v>
      </c>
      <c r="I170" s="63">
        <f>SUM(I156:I169)</f>
        <v>513605.44200000004</v>
      </c>
      <c r="J170" s="7"/>
      <c r="L170" s="63">
        <f>SUM(L156:L169)</f>
        <v>1271430.2080000001</v>
      </c>
      <c r="M170" s="63">
        <f t="shared" ref="M170:R170" si="202">SUM(M156:M169)</f>
        <v>639530</v>
      </c>
      <c r="N170" s="63">
        <f t="shared" si="202"/>
        <v>1425</v>
      </c>
      <c r="O170" s="63">
        <f t="shared" si="202"/>
        <v>0</v>
      </c>
      <c r="P170" s="63">
        <f t="shared" si="202"/>
        <v>0</v>
      </c>
      <c r="Q170" s="63">
        <f t="shared" si="202"/>
        <v>0</v>
      </c>
      <c r="R170" s="63">
        <f t="shared" si="202"/>
        <v>0</v>
      </c>
      <c r="S170" s="63">
        <f>SUM(S156:S169)</f>
        <v>1912385.2080000001</v>
      </c>
      <c r="T170" s="7"/>
      <c r="V170" s="63">
        <f>SUM(V156:V169)</f>
        <v>1723415.65</v>
      </c>
      <c r="W170" s="63">
        <f t="shared" ref="W170:AB170" si="203">SUM(W156:W169)</f>
        <v>700440</v>
      </c>
      <c r="X170" s="63">
        <f t="shared" si="203"/>
        <v>2135</v>
      </c>
      <c r="Y170" s="63">
        <f t="shared" si="203"/>
        <v>0</v>
      </c>
      <c r="Z170" s="63">
        <f t="shared" si="203"/>
        <v>0</v>
      </c>
      <c r="AA170" s="63">
        <f t="shared" si="203"/>
        <v>0</v>
      </c>
      <c r="AB170" s="63">
        <f t="shared" si="203"/>
        <v>0</v>
      </c>
      <c r="AC170" s="63">
        <f>SUM(AC156:AC169)</f>
        <v>2425990.65</v>
      </c>
    </row>
    <row r="171" spans="1:29" x14ac:dyDescent="0.35">
      <c r="A171" s="66" t="s">
        <v>134</v>
      </c>
      <c r="B171" s="15" t="str">
        <f t="shared" ref="B171:I171" si="204">B1</f>
        <v>Operating</v>
      </c>
      <c r="C171" s="15" t="str">
        <f t="shared" si="204"/>
        <v>SPED</v>
      </c>
      <c r="D171" s="15" t="str">
        <f t="shared" si="204"/>
        <v>NSLP</v>
      </c>
      <c r="E171" s="15" t="str">
        <f t="shared" si="204"/>
        <v>Other</v>
      </c>
      <c r="F171" s="15" t="str">
        <f t="shared" si="204"/>
        <v>Title I</v>
      </c>
      <c r="G171" s="15" t="str">
        <f t="shared" si="204"/>
        <v>Title II</v>
      </c>
      <c r="H171" s="15" t="str">
        <f t="shared" si="204"/>
        <v>Title III</v>
      </c>
      <c r="I171" s="15" t="str">
        <f t="shared" si="204"/>
        <v>B&amp;G</v>
      </c>
      <c r="J171" s="7"/>
      <c r="L171" s="15" t="str">
        <f t="shared" ref="L171:S171" si="205">L1</f>
        <v>Operating</v>
      </c>
      <c r="M171" s="15" t="str">
        <f t="shared" si="205"/>
        <v>SPED</v>
      </c>
      <c r="N171" s="15" t="str">
        <f t="shared" si="205"/>
        <v>NSLP</v>
      </c>
      <c r="O171" s="15" t="str">
        <f t="shared" si="205"/>
        <v>Other</v>
      </c>
      <c r="P171" s="15" t="str">
        <f t="shared" si="205"/>
        <v>Title I</v>
      </c>
      <c r="Q171" s="15" t="str">
        <f t="shared" si="205"/>
        <v>Title II</v>
      </c>
      <c r="R171" s="15" t="str">
        <f t="shared" si="205"/>
        <v>Title III</v>
      </c>
      <c r="S171" s="15" t="str">
        <f t="shared" si="205"/>
        <v>New</v>
      </c>
      <c r="T171" s="7"/>
      <c r="V171" s="15" t="str">
        <f t="shared" ref="V171:AC171" si="206">V1</f>
        <v>Operating</v>
      </c>
      <c r="W171" s="15" t="str">
        <f t="shared" si="206"/>
        <v>SPED</v>
      </c>
      <c r="X171" s="15" t="str">
        <f t="shared" si="206"/>
        <v>NSLP</v>
      </c>
      <c r="Y171" s="15" t="str">
        <f t="shared" si="206"/>
        <v>Other</v>
      </c>
      <c r="Z171" s="15" t="str">
        <f t="shared" si="206"/>
        <v>Title I</v>
      </c>
      <c r="AA171" s="15" t="str">
        <f t="shared" si="206"/>
        <v>Title II</v>
      </c>
      <c r="AB171" s="15" t="str">
        <f t="shared" si="206"/>
        <v>Title III</v>
      </c>
      <c r="AC171" s="15" t="str">
        <f t="shared" si="206"/>
        <v>MANN</v>
      </c>
    </row>
    <row r="172" spans="1:29" x14ac:dyDescent="0.35">
      <c r="A172" s="71" t="s">
        <v>135</v>
      </c>
      <c r="B172" s="72">
        <f>(200*12)*1.03*1.06</f>
        <v>2620.3200000000002</v>
      </c>
      <c r="C172" s="5"/>
      <c r="D172" s="5"/>
      <c r="E172" s="5"/>
      <c r="F172" s="5"/>
      <c r="G172" s="5"/>
      <c r="H172" s="5"/>
      <c r="I172" s="5">
        <f t="shared" ref="I172:I178" si="207">SUM(B172:H172)</f>
        <v>2620.3200000000002</v>
      </c>
      <c r="J172" s="11" t="s">
        <v>286</v>
      </c>
      <c r="L172" s="72">
        <f>(700*12)*1.03*1.03*1.03*1.05*1.04*1.03</f>
        <v>10324.067212368</v>
      </c>
      <c r="M172" s="5"/>
      <c r="N172" s="5"/>
      <c r="O172" s="5"/>
      <c r="P172" s="5"/>
      <c r="Q172" s="5"/>
      <c r="R172" s="5"/>
      <c r="S172" s="5">
        <f t="shared" ref="S172:S178" si="208">SUM(L172:R172)</f>
        <v>10324.067212368</v>
      </c>
      <c r="T172" s="11"/>
      <c r="V172" s="72">
        <f>B172+L172</f>
        <v>12944.387212367999</v>
      </c>
      <c r="W172" s="72">
        <f t="shared" ref="W172:Y187" si="209">C172+M172</f>
        <v>0</v>
      </c>
      <c r="X172" s="72">
        <f t="shared" si="209"/>
        <v>0</v>
      </c>
      <c r="Y172" s="72">
        <f t="shared" si="209"/>
        <v>0</v>
      </c>
      <c r="Z172" s="5"/>
      <c r="AA172" s="5"/>
      <c r="AB172" s="5"/>
      <c r="AC172" s="5">
        <f t="shared" ref="AC172:AC178" si="210">SUM(V172:AB172)</f>
        <v>12944.387212367999</v>
      </c>
    </row>
    <row r="173" spans="1:29" x14ac:dyDescent="0.35">
      <c r="A173" s="26" t="s">
        <v>136</v>
      </c>
      <c r="B173" s="72">
        <f>(1400*12)*1.03*1.06</f>
        <v>18342.240000000002</v>
      </c>
      <c r="C173" s="5"/>
      <c r="D173" s="5"/>
      <c r="E173" s="5"/>
      <c r="F173" s="5"/>
      <c r="G173" s="5"/>
      <c r="H173" s="5"/>
      <c r="I173" s="5">
        <f t="shared" si="207"/>
        <v>18342.240000000002</v>
      </c>
      <c r="J173" s="11" t="s">
        <v>287</v>
      </c>
      <c r="L173" s="72">
        <f>(2400*12)*1.03*1.03*1.03*1.05*1.04*1.03</f>
        <v>35396.801870976014</v>
      </c>
      <c r="M173" s="5"/>
      <c r="N173" s="5"/>
      <c r="O173" s="5"/>
      <c r="P173" s="5"/>
      <c r="Q173" s="5"/>
      <c r="R173" s="5"/>
      <c r="S173" s="5">
        <f t="shared" si="208"/>
        <v>35396.801870976014</v>
      </c>
      <c r="T173" s="11"/>
      <c r="V173" s="72">
        <f t="shared" ref="V173:Y195" si="211">B173+L173</f>
        <v>53739.041870976012</v>
      </c>
      <c r="W173" s="72">
        <f t="shared" si="209"/>
        <v>0</v>
      </c>
      <c r="X173" s="72">
        <f t="shared" si="209"/>
        <v>0</v>
      </c>
      <c r="Y173" s="72">
        <f t="shared" si="209"/>
        <v>0</v>
      </c>
      <c r="Z173" s="5"/>
      <c r="AA173" s="5"/>
      <c r="AB173" s="5"/>
      <c r="AC173" s="5">
        <f t="shared" si="210"/>
        <v>53739.041870976012</v>
      </c>
    </row>
    <row r="174" spans="1:29" x14ac:dyDescent="0.35">
      <c r="A174" s="26" t="s">
        <v>137</v>
      </c>
      <c r="B174" s="73"/>
      <c r="C174" s="5"/>
      <c r="D174" s="5"/>
      <c r="E174" s="5"/>
      <c r="F174" s="5"/>
      <c r="G174" s="5"/>
      <c r="H174" s="5"/>
      <c r="I174" s="5">
        <f t="shared" si="207"/>
        <v>0</v>
      </c>
      <c r="J174" s="11"/>
      <c r="L174" s="73"/>
      <c r="M174" s="5"/>
      <c r="N174" s="5"/>
      <c r="O174" s="5"/>
      <c r="P174" s="5"/>
      <c r="Q174" s="5"/>
      <c r="R174" s="5"/>
      <c r="S174" s="5">
        <f t="shared" si="208"/>
        <v>0</v>
      </c>
      <c r="T174" s="11"/>
      <c r="V174" s="72">
        <f t="shared" si="211"/>
        <v>0</v>
      </c>
      <c r="W174" s="72">
        <f t="shared" si="209"/>
        <v>0</v>
      </c>
      <c r="X174" s="72">
        <f t="shared" si="209"/>
        <v>0</v>
      </c>
      <c r="Y174" s="72">
        <f t="shared" si="209"/>
        <v>0</v>
      </c>
      <c r="Z174" s="5"/>
      <c r="AA174" s="5"/>
      <c r="AB174" s="5"/>
      <c r="AC174" s="5">
        <f t="shared" si="210"/>
        <v>0</v>
      </c>
    </row>
    <row r="175" spans="1:29" x14ac:dyDescent="0.35">
      <c r="A175" s="26" t="s">
        <v>138</v>
      </c>
      <c r="B175" s="73">
        <v>1600</v>
      </c>
      <c r="C175" s="5"/>
      <c r="D175" s="5"/>
      <c r="E175" s="5"/>
      <c r="F175" s="5"/>
      <c r="G175" s="5"/>
      <c r="H175" s="5"/>
      <c r="I175" s="5">
        <f t="shared" si="207"/>
        <v>1600</v>
      </c>
      <c r="J175" s="11"/>
      <c r="L175" s="73">
        <v>2300</v>
      </c>
      <c r="M175" s="5"/>
      <c r="N175" s="5"/>
      <c r="O175" s="5"/>
      <c r="P175" s="5"/>
      <c r="Q175" s="5"/>
      <c r="R175" s="5"/>
      <c r="S175" s="5">
        <f t="shared" si="208"/>
        <v>2300</v>
      </c>
      <c r="T175" s="11"/>
      <c r="V175" s="72">
        <f t="shared" si="211"/>
        <v>3900</v>
      </c>
      <c r="W175" s="72">
        <f t="shared" si="209"/>
        <v>0</v>
      </c>
      <c r="X175" s="72">
        <f t="shared" si="209"/>
        <v>0</v>
      </c>
      <c r="Y175" s="72">
        <f t="shared" si="209"/>
        <v>0</v>
      </c>
      <c r="Z175" s="5"/>
      <c r="AA175" s="5"/>
      <c r="AB175" s="5"/>
      <c r="AC175" s="5">
        <f t="shared" si="210"/>
        <v>3900</v>
      </c>
    </row>
    <row r="176" spans="1:29" x14ac:dyDescent="0.35">
      <c r="A176" s="26" t="s">
        <v>139</v>
      </c>
      <c r="B176" s="73">
        <f>5500*1.03*1.06</f>
        <v>6004.9000000000005</v>
      </c>
      <c r="C176" s="5"/>
      <c r="D176" s="5"/>
      <c r="E176" s="5"/>
      <c r="F176" s="5"/>
      <c r="G176" s="5"/>
      <c r="H176" s="5"/>
      <c r="I176" s="5">
        <f t="shared" si="207"/>
        <v>6004.9000000000005</v>
      </c>
      <c r="J176" s="11"/>
      <c r="L176" s="73">
        <v>6500</v>
      </c>
      <c r="M176" s="5"/>
      <c r="N176" s="5"/>
      <c r="O176" s="5"/>
      <c r="P176" s="5"/>
      <c r="Q176" s="5"/>
      <c r="R176" s="5"/>
      <c r="S176" s="5">
        <f t="shared" si="208"/>
        <v>6500</v>
      </c>
      <c r="T176" s="11"/>
      <c r="V176" s="72">
        <f t="shared" si="211"/>
        <v>12504.900000000001</v>
      </c>
      <c r="W176" s="72">
        <f t="shared" si="209"/>
        <v>0</v>
      </c>
      <c r="X176" s="72">
        <f t="shared" si="209"/>
        <v>0</v>
      </c>
      <c r="Y176" s="72">
        <f t="shared" si="209"/>
        <v>0</v>
      </c>
      <c r="Z176" s="5"/>
      <c r="AA176" s="5"/>
      <c r="AB176" s="5"/>
      <c r="AC176" s="5">
        <f t="shared" si="210"/>
        <v>12504.900000000001</v>
      </c>
    </row>
    <row r="177" spans="1:29" x14ac:dyDescent="0.35">
      <c r="A177" s="26" t="s">
        <v>140</v>
      </c>
      <c r="B177" s="72">
        <f>30000*1.03*1.06</f>
        <v>32754</v>
      </c>
      <c r="C177" s="5"/>
      <c r="D177" s="5"/>
      <c r="E177" s="5"/>
      <c r="F177" s="5"/>
      <c r="G177" s="5"/>
      <c r="H177" s="5"/>
      <c r="I177" s="5">
        <f t="shared" si="207"/>
        <v>32754</v>
      </c>
      <c r="J177" s="11"/>
      <c r="L177" s="72">
        <v>77000</v>
      </c>
      <c r="M177" s="5"/>
      <c r="N177" s="5"/>
      <c r="O177" s="5"/>
      <c r="P177" s="5"/>
      <c r="Q177" s="5"/>
      <c r="R177" s="5"/>
      <c r="S177" s="5">
        <f t="shared" si="208"/>
        <v>77000</v>
      </c>
      <c r="T177" s="11"/>
      <c r="V177" s="72">
        <f t="shared" si="211"/>
        <v>109754</v>
      </c>
      <c r="W177" s="72">
        <f t="shared" si="209"/>
        <v>0</v>
      </c>
      <c r="X177" s="72">
        <f t="shared" si="209"/>
        <v>0</v>
      </c>
      <c r="Y177" s="72">
        <f t="shared" si="209"/>
        <v>0</v>
      </c>
      <c r="Z177" s="5"/>
      <c r="AA177" s="5"/>
      <c r="AB177" s="5"/>
      <c r="AC177" s="5">
        <f t="shared" si="210"/>
        <v>109754</v>
      </c>
    </row>
    <row r="178" spans="1:29" x14ac:dyDescent="0.35">
      <c r="A178" s="26" t="s">
        <v>141</v>
      </c>
      <c r="B178" s="30">
        <f>((2.5*B17)+4250)*1.02*1.06</f>
        <v>5851.9949999999999</v>
      </c>
      <c r="C178" s="5"/>
      <c r="D178" s="5"/>
      <c r="E178" s="5"/>
      <c r="F178" s="5"/>
      <c r="G178" s="5"/>
      <c r="H178" s="5"/>
      <c r="I178" s="5">
        <f t="shared" si="207"/>
        <v>5851.9949999999999</v>
      </c>
      <c r="J178" s="11"/>
      <c r="L178" s="30">
        <f>((2.5*L17)+4250)*1.02*1.03*1.03*1.03*1.03</f>
        <v>9069.3499909800012</v>
      </c>
      <c r="M178" s="5"/>
      <c r="N178" s="5"/>
      <c r="O178" s="5"/>
      <c r="P178" s="5"/>
      <c r="Q178" s="5"/>
      <c r="R178" s="5"/>
      <c r="S178" s="5">
        <f t="shared" si="208"/>
        <v>9069.3499909800012</v>
      </c>
      <c r="T178" s="11"/>
      <c r="V178" s="72">
        <f t="shared" si="211"/>
        <v>14921.34499098</v>
      </c>
      <c r="W178" s="72">
        <f t="shared" si="209"/>
        <v>0</v>
      </c>
      <c r="X178" s="72">
        <f t="shared" si="209"/>
        <v>0</v>
      </c>
      <c r="Y178" s="72">
        <f t="shared" si="209"/>
        <v>0</v>
      </c>
      <c r="Z178" s="5"/>
      <c r="AA178" s="5"/>
      <c r="AB178" s="5"/>
      <c r="AC178" s="5">
        <f t="shared" si="210"/>
        <v>14921.34499098</v>
      </c>
    </row>
    <row r="179" spans="1:29" x14ac:dyDescent="0.35">
      <c r="A179" s="26" t="s">
        <v>142</v>
      </c>
      <c r="B179" s="72"/>
      <c r="C179" s="5"/>
      <c r="D179" s="5"/>
      <c r="E179" s="5"/>
      <c r="F179" s="5"/>
      <c r="G179" s="5"/>
      <c r="H179" s="5"/>
      <c r="I179" s="5">
        <f>SUM(B179:H179)</f>
        <v>0</v>
      </c>
      <c r="J179" s="11" t="s">
        <v>143</v>
      </c>
      <c r="L179" s="72">
        <f>4700*12</f>
        <v>56400</v>
      </c>
      <c r="M179" s="5"/>
      <c r="N179" s="5"/>
      <c r="O179" s="5"/>
      <c r="P179" s="5"/>
      <c r="Q179" s="5"/>
      <c r="R179" s="5"/>
      <c r="S179" s="5">
        <f>SUM(L179:R179)</f>
        <v>56400</v>
      </c>
      <c r="T179" s="11"/>
      <c r="V179" s="72">
        <f t="shared" si="211"/>
        <v>56400</v>
      </c>
      <c r="W179" s="72">
        <f t="shared" si="209"/>
        <v>0</v>
      </c>
      <c r="X179" s="72">
        <f t="shared" si="209"/>
        <v>0</v>
      </c>
      <c r="Y179" s="72">
        <f t="shared" si="209"/>
        <v>0</v>
      </c>
      <c r="Z179" s="5"/>
      <c r="AA179" s="5"/>
      <c r="AB179" s="5"/>
      <c r="AC179" s="5">
        <f>SUM(V179:AB179)</f>
        <v>56400</v>
      </c>
    </row>
    <row r="180" spans="1:29" x14ac:dyDescent="0.35">
      <c r="A180" s="26" t="s">
        <v>144</v>
      </c>
      <c r="B180" s="73"/>
      <c r="C180" s="5"/>
      <c r="D180" s="5"/>
      <c r="E180" s="5"/>
      <c r="F180" s="5"/>
      <c r="G180" s="5"/>
      <c r="H180" s="5"/>
      <c r="I180" s="5">
        <f>SUM(B180:H180)</f>
        <v>0</v>
      </c>
      <c r="J180" s="11"/>
      <c r="L180" s="72">
        <v>0</v>
      </c>
      <c r="M180" s="5"/>
      <c r="N180" s="5"/>
      <c r="O180" s="5"/>
      <c r="P180" s="5"/>
      <c r="Q180" s="5"/>
      <c r="R180" s="5"/>
      <c r="S180" s="5">
        <f>SUM(L180:R180)</f>
        <v>0</v>
      </c>
      <c r="T180" s="11"/>
      <c r="V180" s="72">
        <f t="shared" si="211"/>
        <v>0</v>
      </c>
      <c r="W180" s="72">
        <f t="shared" si="209"/>
        <v>0</v>
      </c>
      <c r="X180" s="72">
        <f>D180+N180</f>
        <v>0</v>
      </c>
      <c r="Y180" s="72">
        <f t="shared" si="209"/>
        <v>0</v>
      </c>
      <c r="Z180" s="5"/>
      <c r="AA180" s="5"/>
      <c r="AB180" s="5"/>
      <c r="AC180" s="5">
        <f>SUM(V180:AB180)</f>
        <v>0</v>
      </c>
    </row>
    <row r="181" spans="1:29" x14ac:dyDescent="0.35">
      <c r="A181" s="26" t="s">
        <v>145</v>
      </c>
      <c r="B181" s="73">
        <f>26750*1.1*1.1*1.1*1.1*1.1*1.1</f>
        <v>47389.256750000022</v>
      </c>
      <c r="C181" s="5"/>
      <c r="D181" s="5"/>
      <c r="E181" s="5"/>
      <c r="F181" s="5"/>
      <c r="G181" s="5"/>
      <c r="H181" s="5"/>
      <c r="I181" s="5">
        <f>SUM(B181:H181)</f>
        <v>47389.256750000022</v>
      </c>
      <c r="J181" s="11"/>
      <c r="L181" s="72">
        <v>60500</v>
      </c>
      <c r="M181" s="5"/>
      <c r="N181" s="5"/>
      <c r="O181" s="5"/>
      <c r="P181" s="5"/>
      <c r="Q181" s="5"/>
      <c r="R181" s="5"/>
      <c r="S181" s="5">
        <f>SUM(L181:R181)</f>
        <v>60500</v>
      </c>
      <c r="T181" s="11"/>
      <c r="V181" s="72">
        <f t="shared" si="211"/>
        <v>107889.25675000003</v>
      </c>
      <c r="W181" s="72">
        <f t="shared" si="209"/>
        <v>0</v>
      </c>
      <c r="X181" s="72">
        <f>D181+N181</f>
        <v>0</v>
      </c>
      <c r="Y181" s="72">
        <f t="shared" si="209"/>
        <v>0</v>
      </c>
      <c r="Z181" s="5"/>
      <c r="AA181" s="5"/>
      <c r="AB181" s="5"/>
      <c r="AC181" s="5">
        <f>SUM(V181:AB181)</f>
        <v>107889.25675000003</v>
      </c>
    </row>
    <row r="182" spans="1:29" x14ac:dyDescent="0.35">
      <c r="A182" s="26" t="s">
        <v>146</v>
      </c>
      <c r="B182" s="5"/>
      <c r="C182" s="5"/>
      <c r="D182" s="5">
        <f>((B17*0.95)*2.4*180)</f>
        <v>190836</v>
      </c>
      <c r="E182" s="5"/>
      <c r="F182" s="5"/>
      <c r="G182" s="5"/>
      <c r="H182" s="5"/>
      <c r="I182" s="5">
        <f t="shared" ref="I182:I190" si="212">SUM(B182:H182)</f>
        <v>190836</v>
      </c>
      <c r="J182" s="52">
        <v>2.4</v>
      </c>
      <c r="L182" s="5"/>
      <c r="M182" s="5"/>
      <c r="N182" s="5">
        <f>((L17*0.95)*2.4*180)</f>
        <v>599184</v>
      </c>
      <c r="O182" s="5"/>
      <c r="P182" s="5"/>
      <c r="Q182" s="5"/>
      <c r="R182" s="5"/>
      <c r="S182" s="5">
        <f t="shared" ref="S182:S190" si="213">SUM(L182:R182)</f>
        <v>599184</v>
      </c>
      <c r="T182" s="52">
        <v>2.4</v>
      </c>
      <c r="V182" s="72">
        <f t="shared" si="211"/>
        <v>0</v>
      </c>
      <c r="W182" s="72">
        <f t="shared" si="209"/>
        <v>0</v>
      </c>
      <c r="X182" s="72">
        <f>D182+N182</f>
        <v>790020</v>
      </c>
      <c r="Y182" s="72">
        <f t="shared" si="209"/>
        <v>0</v>
      </c>
      <c r="Z182" s="5"/>
      <c r="AA182" s="5"/>
      <c r="AB182" s="5"/>
      <c r="AC182" s="5">
        <f t="shared" ref="AC182:AC190" si="214">SUM(V182:AB182)</f>
        <v>790020</v>
      </c>
    </row>
    <row r="183" spans="1:29" x14ac:dyDescent="0.35">
      <c r="A183" s="26" t="s">
        <v>147</v>
      </c>
      <c r="B183" s="5"/>
      <c r="C183" s="5"/>
      <c r="D183" s="5">
        <f>((B17*0.95)*3.6*180)</f>
        <v>286254</v>
      </c>
      <c r="E183" s="5"/>
      <c r="F183" s="5"/>
      <c r="G183" s="5"/>
      <c r="H183" s="5"/>
      <c r="I183" s="5">
        <f t="shared" si="212"/>
        <v>286254</v>
      </c>
      <c r="J183" s="52">
        <v>3.6</v>
      </c>
      <c r="L183" s="5"/>
      <c r="M183" s="5"/>
      <c r="N183" s="5">
        <f>((L17*0.95)*3.6*180)</f>
        <v>898776</v>
      </c>
      <c r="O183" s="5"/>
      <c r="P183" s="5"/>
      <c r="Q183" s="5"/>
      <c r="R183" s="5"/>
      <c r="S183" s="5">
        <f t="shared" si="213"/>
        <v>898776</v>
      </c>
      <c r="T183" s="52">
        <v>3.6</v>
      </c>
      <c r="V183" s="72">
        <f t="shared" si="211"/>
        <v>0</v>
      </c>
      <c r="W183" s="72">
        <f t="shared" si="209"/>
        <v>0</v>
      </c>
      <c r="X183" s="72">
        <f>D183+N183</f>
        <v>1185030</v>
      </c>
      <c r="Y183" s="72">
        <f t="shared" si="209"/>
        <v>0</v>
      </c>
      <c r="Z183" s="5"/>
      <c r="AA183" s="5"/>
      <c r="AB183" s="5"/>
      <c r="AC183" s="5">
        <f t="shared" si="214"/>
        <v>1185030</v>
      </c>
    </row>
    <row r="184" spans="1:29" x14ac:dyDescent="0.35">
      <c r="A184" s="26" t="s">
        <v>148</v>
      </c>
      <c r="B184" s="5">
        <v>6200</v>
      </c>
      <c r="C184" s="5"/>
      <c r="D184" s="5"/>
      <c r="E184" s="5"/>
      <c r="F184" s="5"/>
      <c r="G184" s="5"/>
      <c r="H184" s="5"/>
      <c r="I184" s="5">
        <f t="shared" si="212"/>
        <v>6200</v>
      </c>
      <c r="J184" s="11"/>
      <c r="L184" s="5">
        <v>8500</v>
      </c>
      <c r="M184" s="5"/>
      <c r="N184" s="5"/>
      <c r="O184" s="5"/>
      <c r="P184" s="5"/>
      <c r="Q184" s="5"/>
      <c r="R184" s="5"/>
      <c r="S184" s="5">
        <f t="shared" si="213"/>
        <v>8500</v>
      </c>
      <c r="T184" s="11"/>
      <c r="V184" s="72">
        <f t="shared" si="211"/>
        <v>14700</v>
      </c>
      <c r="W184" s="72">
        <f t="shared" si="209"/>
        <v>0</v>
      </c>
      <c r="X184" s="72">
        <f>D184+N184</f>
        <v>0</v>
      </c>
      <c r="Y184" s="72">
        <f t="shared" si="209"/>
        <v>0</v>
      </c>
      <c r="Z184" s="5"/>
      <c r="AA184" s="5"/>
      <c r="AB184" s="5"/>
      <c r="AC184" s="5">
        <f t="shared" si="214"/>
        <v>14700</v>
      </c>
    </row>
    <row r="185" spans="1:29" x14ac:dyDescent="0.35">
      <c r="A185" s="26" t="s">
        <v>149</v>
      </c>
      <c r="B185" s="5">
        <v>1900</v>
      </c>
      <c r="C185" s="5"/>
      <c r="D185" s="5"/>
      <c r="E185" s="5"/>
      <c r="F185" s="5"/>
      <c r="G185" s="5"/>
      <c r="H185" s="5"/>
      <c r="I185" s="5">
        <f t="shared" si="212"/>
        <v>1900</v>
      </c>
      <c r="J185" s="11"/>
      <c r="L185" s="5">
        <v>2300</v>
      </c>
      <c r="M185" s="5"/>
      <c r="N185" s="5"/>
      <c r="O185" s="5"/>
      <c r="P185" s="5"/>
      <c r="Q185" s="5"/>
      <c r="R185" s="5"/>
      <c r="S185" s="5">
        <f t="shared" si="213"/>
        <v>2300</v>
      </c>
      <c r="T185" s="11"/>
      <c r="V185" s="72">
        <f t="shared" si="211"/>
        <v>4200</v>
      </c>
      <c r="W185" s="72">
        <f t="shared" si="209"/>
        <v>0</v>
      </c>
      <c r="X185" s="72">
        <f t="shared" si="209"/>
        <v>0</v>
      </c>
      <c r="Y185" s="72">
        <f t="shared" si="209"/>
        <v>0</v>
      </c>
      <c r="Z185" s="5"/>
      <c r="AA185" s="5"/>
      <c r="AB185" s="5"/>
      <c r="AC185" s="5">
        <f t="shared" si="214"/>
        <v>4200</v>
      </c>
    </row>
    <row r="186" spans="1:29" x14ac:dyDescent="0.35">
      <c r="A186" s="26" t="s">
        <v>150</v>
      </c>
      <c r="B186" s="5">
        <v>1900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212"/>
        <v>1900</v>
      </c>
      <c r="J186" s="11"/>
      <c r="L186" s="5">
        <v>2300</v>
      </c>
      <c r="M186" s="5">
        <v>0</v>
      </c>
      <c r="N186" s="5">
        <v>0</v>
      </c>
      <c r="O186" s="5"/>
      <c r="P186" s="5">
        <v>0</v>
      </c>
      <c r="Q186" s="5">
        <v>0</v>
      </c>
      <c r="R186" s="5">
        <v>0</v>
      </c>
      <c r="S186" s="5">
        <f t="shared" si="213"/>
        <v>2300</v>
      </c>
      <c r="T186" s="11"/>
      <c r="V186" s="72">
        <f t="shared" si="211"/>
        <v>4200</v>
      </c>
      <c r="W186" s="72">
        <f t="shared" si="209"/>
        <v>0</v>
      </c>
      <c r="X186" s="72">
        <f t="shared" si="209"/>
        <v>0</v>
      </c>
      <c r="Y186" s="72">
        <f t="shared" si="209"/>
        <v>0</v>
      </c>
      <c r="Z186" s="5">
        <v>0</v>
      </c>
      <c r="AA186" s="5">
        <v>0</v>
      </c>
      <c r="AB186" s="5">
        <v>0</v>
      </c>
      <c r="AC186" s="5">
        <f t="shared" si="214"/>
        <v>4200</v>
      </c>
    </row>
    <row r="187" spans="1:29" x14ac:dyDescent="0.35">
      <c r="A187" s="26" t="s">
        <v>151</v>
      </c>
      <c r="B187" s="10">
        <f>((5*B17)+1200+1350+1050)*1.06</f>
        <v>6280.5</v>
      </c>
      <c r="C187" s="5"/>
      <c r="D187" s="5"/>
      <c r="E187" s="5"/>
      <c r="F187" s="5"/>
      <c r="G187" s="5"/>
      <c r="H187" s="5"/>
      <c r="I187" s="5">
        <f t="shared" si="212"/>
        <v>6280.5</v>
      </c>
      <c r="J187" s="11" t="s">
        <v>288</v>
      </c>
      <c r="L187" s="10">
        <f>(5*L17)+1200+1350+2400+1500+1750+500</f>
        <v>16000</v>
      </c>
      <c r="M187" s="5"/>
      <c r="N187" s="5"/>
      <c r="O187" s="5"/>
      <c r="P187" s="5"/>
      <c r="Q187" s="5"/>
      <c r="R187" s="5"/>
      <c r="S187" s="5">
        <f t="shared" si="213"/>
        <v>16000</v>
      </c>
      <c r="T187" s="11" t="s">
        <v>288</v>
      </c>
      <c r="V187" s="72">
        <f t="shared" si="211"/>
        <v>22280.5</v>
      </c>
      <c r="W187" s="72">
        <f t="shared" si="209"/>
        <v>0</v>
      </c>
      <c r="X187" s="72">
        <f t="shared" si="209"/>
        <v>0</v>
      </c>
      <c r="Y187" s="72">
        <f t="shared" si="209"/>
        <v>0</v>
      </c>
      <c r="Z187" s="5"/>
      <c r="AA187" s="5"/>
      <c r="AB187" s="5"/>
      <c r="AC187" s="5">
        <f t="shared" si="214"/>
        <v>22280.5</v>
      </c>
    </row>
    <row r="188" spans="1:29" hidden="1" x14ac:dyDescent="0.35">
      <c r="A188" s="26" t="s">
        <v>152</v>
      </c>
      <c r="B188" s="10"/>
      <c r="C188" s="5"/>
      <c r="D188" s="5"/>
      <c r="E188" s="5"/>
      <c r="F188" s="5"/>
      <c r="G188" s="5"/>
      <c r="H188" s="5"/>
      <c r="I188" s="5">
        <f t="shared" si="212"/>
        <v>0</v>
      </c>
      <c r="J188" s="11"/>
      <c r="L188" s="10"/>
      <c r="M188" s="5"/>
      <c r="N188" s="5"/>
      <c r="O188" s="5"/>
      <c r="P188" s="5"/>
      <c r="Q188" s="5"/>
      <c r="R188" s="5"/>
      <c r="S188" s="5">
        <f t="shared" si="213"/>
        <v>0</v>
      </c>
      <c r="T188" s="11"/>
      <c r="V188" s="72">
        <f t="shared" si="211"/>
        <v>0</v>
      </c>
      <c r="W188" s="72">
        <f t="shared" si="211"/>
        <v>0</v>
      </c>
      <c r="X188" s="72">
        <f t="shared" si="211"/>
        <v>0</v>
      </c>
      <c r="Y188" s="72">
        <f t="shared" si="211"/>
        <v>0</v>
      </c>
      <c r="Z188" s="5"/>
      <c r="AA188" s="5"/>
      <c r="AB188" s="5"/>
      <c r="AC188" s="5">
        <f t="shared" si="214"/>
        <v>0</v>
      </c>
    </row>
    <row r="189" spans="1:29" x14ac:dyDescent="0.35">
      <c r="A189" s="26" t="s">
        <v>181</v>
      </c>
      <c r="B189" s="5"/>
      <c r="C189" s="5"/>
      <c r="D189" s="5"/>
      <c r="E189" s="5"/>
      <c r="F189" s="5"/>
      <c r="G189" s="5"/>
      <c r="H189" s="5"/>
      <c r="I189" s="5">
        <f t="shared" si="212"/>
        <v>0</v>
      </c>
      <c r="J189" s="11"/>
      <c r="L189" s="5"/>
      <c r="M189" s="5"/>
      <c r="N189" s="5"/>
      <c r="O189" s="5"/>
      <c r="P189" s="5"/>
      <c r="Q189" s="5"/>
      <c r="R189" s="5"/>
      <c r="S189" s="5">
        <f t="shared" si="213"/>
        <v>0</v>
      </c>
      <c r="T189" s="11"/>
      <c r="V189" s="72">
        <f t="shared" si="211"/>
        <v>0</v>
      </c>
      <c r="W189" s="72">
        <f t="shared" si="211"/>
        <v>0</v>
      </c>
      <c r="X189" s="72">
        <f t="shared" si="211"/>
        <v>0</v>
      </c>
      <c r="Y189" s="72">
        <f t="shared" si="211"/>
        <v>0</v>
      </c>
      <c r="Z189" s="5"/>
      <c r="AA189" s="5"/>
      <c r="AB189" s="5"/>
      <c r="AC189" s="5">
        <f t="shared" si="214"/>
        <v>0</v>
      </c>
    </row>
    <row r="190" spans="1:29" x14ac:dyDescent="0.35">
      <c r="A190" s="26" t="s">
        <v>153</v>
      </c>
      <c r="B190" s="10">
        <v>0</v>
      </c>
      <c r="C190" s="5"/>
      <c r="D190" s="5"/>
      <c r="E190" s="5"/>
      <c r="F190" s="5"/>
      <c r="G190" s="5"/>
      <c r="H190" s="5"/>
      <c r="I190" s="5">
        <f t="shared" si="212"/>
        <v>0</v>
      </c>
      <c r="J190" s="11"/>
      <c r="L190" s="10">
        <v>0</v>
      </c>
      <c r="M190" s="5"/>
      <c r="N190" s="5"/>
      <c r="O190" s="5"/>
      <c r="P190" s="5"/>
      <c r="Q190" s="5"/>
      <c r="R190" s="5"/>
      <c r="S190" s="5">
        <f t="shared" si="213"/>
        <v>0</v>
      </c>
      <c r="T190" s="11"/>
      <c r="V190" s="72">
        <f t="shared" si="211"/>
        <v>0</v>
      </c>
      <c r="W190" s="72">
        <f t="shared" si="211"/>
        <v>0</v>
      </c>
      <c r="X190" s="72">
        <f t="shared" si="211"/>
        <v>0</v>
      </c>
      <c r="Y190" s="72">
        <f t="shared" si="211"/>
        <v>0</v>
      </c>
      <c r="Z190" s="5"/>
      <c r="AA190" s="5"/>
      <c r="AB190" s="5"/>
      <c r="AC190" s="5">
        <f t="shared" si="214"/>
        <v>0</v>
      </c>
    </row>
    <row r="191" spans="1:29" x14ac:dyDescent="0.35">
      <c r="A191" s="26" t="s">
        <v>253</v>
      </c>
      <c r="B191" s="10">
        <v>0</v>
      </c>
      <c r="C191" s="10"/>
      <c r="D191" s="10"/>
      <c r="E191" s="10"/>
      <c r="F191" s="10"/>
      <c r="G191" s="10"/>
      <c r="H191" s="10"/>
      <c r="I191" s="5">
        <f>SUM(B191:H191)</f>
        <v>0</v>
      </c>
      <c r="J191" s="11"/>
      <c r="L191" s="10">
        <v>54700</v>
      </c>
      <c r="M191" s="10"/>
      <c r="N191" s="10"/>
      <c r="O191" s="10"/>
      <c r="P191" s="10"/>
      <c r="Q191" s="10"/>
      <c r="R191" s="10"/>
      <c r="S191" s="5">
        <f>SUM(L191:R191)</f>
        <v>54700</v>
      </c>
      <c r="T191" s="11"/>
      <c r="V191" s="72">
        <f t="shared" si="211"/>
        <v>54700</v>
      </c>
      <c r="W191" s="72">
        <f t="shared" si="211"/>
        <v>0</v>
      </c>
      <c r="X191" s="72">
        <f t="shared" si="211"/>
        <v>0</v>
      </c>
      <c r="Y191" s="72">
        <f t="shared" si="211"/>
        <v>0</v>
      </c>
      <c r="Z191" s="10"/>
      <c r="AA191" s="10"/>
      <c r="AB191" s="10"/>
      <c r="AC191" s="5">
        <f>SUM(V191:AB191)</f>
        <v>54700</v>
      </c>
    </row>
    <row r="192" spans="1:29" x14ac:dyDescent="0.35">
      <c r="A192" s="26" t="s">
        <v>254</v>
      </c>
      <c r="B192" s="10"/>
      <c r="C192" s="5"/>
      <c r="D192" s="5"/>
      <c r="E192" s="5"/>
      <c r="F192" s="5"/>
      <c r="G192" s="5"/>
      <c r="H192" s="5"/>
      <c r="I192" s="5">
        <f t="shared" ref="I192:I195" si="215">SUM(B192:H192)</f>
        <v>0</v>
      </c>
      <c r="J192" s="11"/>
      <c r="L192" s="10">
        <v>388925</v>
      </c>
      <c r="M192" s="5"/>
      <c r="N192" s="5"/>
      <c r="O192" s="5"/>
      <c r="P192" s="5"/>
      <c r="Q192" s="5"/>
      <c r="R192" s="5"/>
      <c r="S192" s="5">
        <f t="shared" ref="S192:S195" si="216">SUM(L192:R192)</f>
        <v>388925</v>
      </c>
      <c r="T192" s="11"/>
      <c r="V192" s="72">
        <f t="shared" si="211"/>
        <v>388925</v>
      </c>
      <c r="W192" s="72">
        <f t="shared" si="211"/>
        <v>0</v>
      </c>
      <c r="X192" s="72">
        <f t="shared" si="211"/>
        <v>0</v>
      </c>
      <c r="Y192" s="72">
        <f t="shared" si="211"/>
        <v>0</v>
      </c>
      <c r="Z192" s="5"/>
      <c r="AA192" s="5"/>
      <c r="AB192" s="5"/>
      <c r="AC192" s="5">
        <f t="shared" ref="AC192:AC195" si="217">SUM(V192:AB192)</f>
        <v>388925</v>
      </c>
    </row>
    <row r="193" spans="1:30" x14ac:dyDescent="0.35">
      <c r="A193" s="26" t="s">
        <v>255</v>
      </c>
      <c r="B193" s="10"/>
      <c r="C193" s="5"/>
      <c r="D193" s="5"/>
      <c r="E193" s="5"/>
      <c r="F193" s="5"/>
      <c r="G193" s="5"/>
      <c r="H193" s="5"/>
      <c r="I193" s="5">
        <f t="shared" si="215"/>
        <v>0</v>
      </c>
      <c r="J193" s="11"/>
      <c r="L193" s="10">
        <v>0</v>
      </c>
      <c r="M193" s="5"/>
      <c r="N193" s="5"/>
      <c r="O193" s="5"/>
      <c r="P193" s="5"/>
      <c r="Q193" s="5"/>
      <c r="R193" s="5"/>
      <c r="S193" s="5">
        <f t="shared" si="216"/>
        <v>0</v>
      </c>
      <c r="T193" s="11"/>
      <c r="V193" s="72">
        <f t="shared" si="211"/>
        <v>0</v>
      </c>
      <c r="W193" s="72">
        <f t="shared" si="211"/>
        <v>0</v>
      </c>
      <c r="X193" s="72">
        <f t="shared" si="211"/>
        <v>0</v>
      </c>
      <c r="Y193" s="72">
        <f t="shared" si="211"/>
        <v>0</v>
      </c>
      <c r="Z193" s="5"/>
      <c r="AA193" s="5"/>
      <c r="AB193" s="5"/>
      <c r="AC193" s="5">
        <f t="shared" si="217"/>
        <v>0</v>
      </c>
    </row>
    <row r="194" spans="1:30" x14ac:dyDescent="0.35">
      <c r="A194" s="26" t="s">
        <v>275</v>
      </c>
      <c r="B194" s="10">
        <v>10500</v>
      </c>
      <c r="C194" s="5"/>
      <c r="D194" s="5"/>
      <c r="E194" s="5"/>
      <c r="F194" s="5"/>
      <c r="G194" s="5"/>
      <c r="H194" s="5"/>
      <c r="I194" s="5">
        <f t="shared" si="215"/>
        <v>10500</v>
      </c>
      <c r="J194" s="11"/>
      <c r="L194" s="10">
        <v>30000</v>
      </c>
      <c r="M194" s="5"/>
      <c r="N194" s="5"/>
      <c r="O194" s="5"/>
      <c r="P194" s="5"/>
      <c r="Q194" s="5"/>
      <c r="R194" s="5"/>
      <c r="S194" s="5">
        <f t="shared" si="216"/>
        <v>30000</v>
      </c>
      <c r="T194" s="11"/>
      <c r="V194" s="72">
        <f t="shared" si="211"/>
        <v>40500</v>
      </c>
      <c r="W194" s="72">
        <f t="shared" si="211"/>
        <v>0</v>
      </c>
      <c r="X194" s="72">
        <f t="shared" si="211"/>
        <v>0</v>
      </c>
      <c r="Y194" s="72">
        <f t="shared" si="211"/>
        <v>0</v>
      </c>
      <c r="Z194" s="5"/>
      <c r="AA194" s="5"/>
      <c r="AB194" s="5"/>
      <c r="AC194" s="5">
        <f t="shared" si="217"/>
        <v>40500</v>
      </c>
    </row>
    <row r="195" spans="1:30" x14ac:dyDescent="0.35">
      <c r="A195" s="69" t="s">
        <v>458</v>
      </c>
      <c r="B195" s="5">
        <f>((B74)*0.02)</f>
        <v>94264.8</v>
      </c>
      <c r="C195" s="5"/>
      <c r="D195" s="5"/>
      <c r="E195" s="5"/>
      <c r="F195" s="5"/>
      <c r="G195" s="5"/>
      <c r="H195" s="5"/>
      <c r="I195" s="5">
        <f t="shared" si="215"/>
        <v>94264.8</v>
      </c>
      <c r="J195" s="48" t="s">
        <v>497</v>
      </c>
      <c r="L195" s="5">
        <f>((L74)*0.025)</f>
        <v>369964</v>
      </c>
      <c r="M195" s="5"/>
      <c r="N195" s="5"/>
      <c r="O195" s="5"/>
      <c r="P195" s="5"/>
      <c r="Q195" s="5"/>
      <c r="R195" s="5"/>
      <c r="S195" s="5">
        <f t="shared" si="216"/>
        <v>369964</v>
      </c>
      <c r="T195" s="48" t="s">
        <v>498</v>
      </c>
      <c r="V195" s="72">
        <f t="shared" si="211"/>
        <v>464228.8</v>
      </c>
      <c r="W195" s="72">
        <f t="shared" si="211"/>
        <v>0</v>
      </c>
      <c r="X195" s="72">
        <f t="shared" si="211"/>
        <v>0</v>
      </c>
      <c r="Y195" s="72">
        <f t="shared" si="211"/>
        <v>0</v>
      </c>
      <c r="Z195" s="5"/>
      <c r="AA195" s="5"/>
      <c r="AB195" s="5"/>
      <c r="AC195" s="5">
        <f t="shared" si="217"/>
        <v>464228.8</v>
      </c>
      <c r="AD195" s="105">
        <f>V195/AC74</f>
        <v>2.3792207792207792E-2</v>
      </c>
    </row>
    <row r="196" spans="1:30" x14ac:dyDescent="0.35">
      <c r="A196" s="62" t="s">
        <v>182</v>
      </c>
      <c r="B196" s="63">
        <f>SUM(B172:B195)</f>
        <v>235608.01175000001</v>
      </c>
      <c r="C196" s="63">
        <f t="shared" ref="C196:I196" si="218">SUM(C172:C195)</f>
        <v>0</v>
      </c>
      <c r="D196" s="63">
        <f t="shared" si="218"/>
        <v>477090</v>
      </c>
      <c r="E196" s="63">
        <f t="shared" si="218"/>
        <v>0</v>
      </c>
      <c r="F196" s="63">
        <f t="shared" si="218"/>
        <v>0</v>
      </c>
      <c r="G196" s="63">
        <f t="shared" si="218"/>
        <v>0</v>
      </c>
      <c r="H196" s="63">
        <f t="shared" si="218"/>
        <v>0</v>
      </c>
      <c r="I196" s="63">
        <f t="shared" si="218"/>
        <v>712698.01175000006</v>
      </c>
      <c r="J196" s="7"/>
      <c r="L196" s="63">
        <f>SUM(L172:L195)</f>
        <v>1130179.219074324</v>
      </c>
      <c r="M196" s="63">
        <f t="shared" ref="M196:S196" si="219">SUM(M172:M195)</f>
        <v>0</v>
      </c>
      <c r="N196" s="63">
        <f t="shared" si="219"/>
        <v>1497960</v>
      </c>
      <c r="O196" s="63">
        <f t="shared" si="219"/>
        <v>0</v>
      </c>
      <c r="P196" s="63">
        <f t="shared" si="219"/>
        <v>0</v>
      </c>
      <c r="Q196" s="63">
        <f t="shared" si="219"/>
        <v>0</v>
      </c>
      <c r="R196" s="63">
        <f t="shared" si="219"/>
        <v>0</v>
      </c>
      <c r="S196" s="63">
        <f t="shared" si="219"/>
        <v>2628139.2190743238</v>
      </c>
      <c r="T196" s="7"/>
      <c r="V196" s="63">
        <f>SUM(V172:V195)</f>
        <v>1365787.2308243241</v>
      </c>
      <c r="W196" s="63">
        <f t="shared" ref="W196:AC196" si="220">SUM(W172:W195)</f>
        <v>0</v>
      </c>
      <c r="X196" s="63">
        <f t="shared" si="220"/>
        <v>1975050</v>
      </c>
      <c r="Y196" s="63">
        <f t="shared" si="220"/>
        <v>0</v>
      </c>
      <c r="Z196" s="63">
        <f t="shared" si="220"/>
        <v>0</v>
      </c>
      <c r="AA196" s="63">
        <f t="shared" si="220"/>
        <v>0</v>
      </c>
      <c r="AB196" s="63">
        <f t="shared" si="220"/>
        <v>0</v>
      </c>
      <c r="AC196" s="63">
        <f t="shared" si="220"/>
        <v>3340837.2308243238</v>
      </c>
    </row>
    <row r="197" spans="1:30" x14ac:dyDescent="0.35">
      <c r="A197" s="66" t="s">
        <v>154</v>
      </c>
      <c r="B197" s="15" t="str">
        <f t="shared" ref="B197:I197" si="221">B1</f>
        <v>Operating</v>
      </c>
      <c r="C197" s="15" t="str">
        <f t="shared" si="221"/>
        <v>SPED</v>
      </c>
      <c r="D197" s="15" t="str">
        <f t="shared" si="221"/>
        <v>NSLP</v>
      </c>
      <c r="E197" s="15" t="str">
        <f t="shared" si="221"/>
        <v>Other</v>
      </c>
      <c r="F197" s="15" t="str">
        <f t="shared" si="221"/>
        <v>Title I</v>
      </c>
      <c r="G197" s="15" t="str">
        <f t="shared" si="221"/>
        <v>Title II</v>
      </c>
      <c r="H197" s="15" t="str">
        <f t="shared" si="221"/>
        <v>Title III</v>
      </c>
      <c r="I197" s="15" t="str">
        <f t="shared" si="221"/>
        <v>B&amp;G</v>
      </c>
      <c r="J197" s="7"/>
      <c r="L197" s="15" t="str">
        <f t="shared" ref="L197:S197" si="222">L1</f>
        <v>Operating</v>
      </c>
      <c r="M197" s="15" t="str">
        <f t="shared" si="222"/>
        <v>SPED</v>
      </c>
      <c r="N197" s="15" t="str">
        <f t="shared" si="222"/>
        <v>NSLP</v>
      </c>
      <c r="O197" s="15" t="str">
        <f t="shared" si="222"/>
        <v>Other</v>
      </c>
      <c r="P197" s="15" t="str">
        <f t="shared" si="222"/>
        <v>Title I</v>
      </c>
      <c r="Q197" s="15" t="str">
        <f t="shared" si="222"/>
        <v>Title II</v>
      </c>
      <c r="R197" s="15" t="str">
        <f t="shared" si="222"/>
        <v>Title III</v>
      </c>
      <c r="S197" s="15" t="str">
        <f t="shared" si="222"/>
        <v>New</v>
      </c>
      <c r="T197" s="7"/>
      <c r="V197" s="15" t="str">
        <f t="shared" ref="V197:AC197" si="223">V1</f>
        <v>Operating</v>
      </c>
      <c r="W197" s="15" t="str">
        <f t="shared" si="223"/>
        <v>SPED</v>
      </c>
      <c r="X197" s="15" t="str">
        <f t="shared" si="223"/>
        <v>NSLP</v>
      </c>
      <c r="Y197" s="15" t="str">
        <f t="shared" si="223"/>
        <v>Other</v>
      </c>
      <c r="Z197" s="15" t="str">
        <f t="shared" si="223"/>
        <v>Title I</v>
      </c>
      <c r="AA197" s="15" t="str">
        <f t="shared" si="223"/>
        <v>Title II</v>
      </c>
      <c r="AB197" s="15" t="str">
        <f t="shared" si="223"/>
        <v>Title III</v>
      </c>
      <c r="AC197" s="15" t="str">
        <f t="shared" si="223"/>
        <v>MANN</v>
      </c>
    </row>
    <row r="198" spans="1:30" x14ac:dyDescent="0.35">
      <c r="A198" s="71" t="s">
        <v>155</v>
      </c>
      <c r="B198" s="120">
        <f>30000*1.05*1.02*1.02*1.02*1.02*1.02</f>
        <v>34778.545300799997</v>
      </c>
      <c r="C198" s="5"/>
      <c r="D198" s="5"/>
      <c r="E198" s="5"/>
      <c r="F198" s="5"/>
      <c r="G198" s="5"/>
      <c r="H198" s="5"/>
      <c r="I198" s="5">
        <f t="shared" ref="I198:I207" si="224">SUM(B198:H198)</f>
        <v>34778.545300799997</v>
      </c>
      <c r="J198" s="6"/>
      <c r="L198" s="120">
        <f>115500*1.03</f>
        <v>118965</v>
      </c>
      <c r="M198" s="5"/>
      <c r="N198" s="5"/>
      <c r="O198" s="5"/>
      <c r="P198" s="5"/>
      <c r="Q198" s="5"/>
      <c r="R198" s="5"/>
      <c r="S198" s="5">
        <f t="shared" ref="S198:S207" si="225">SUM(L198:R198)</f>
        <v>118965</v>
      </c>
      <c r="T198" s="6"/>
      <c r="V198" s="120">
        <f>B198+L198</f>
        <v>153743.5453008</v>
      </c>
      <c r="W198" s="120">
        <f t="shared" ref="W198:Y207" si="226">C198+M198</f>
        <v>0</v>
      </c>
      <c r="X198" s="120">
        <f t="shared" si="226"/>
        <v>0</v>
      </c>
      <c r="Y198" s="120">
        <f t="shared" si="226"/>
        <v>0</v>
      </c>
      <c r="Z198" s="5"/>
      <c r="AA198" s="5"/>
      <c r="AB198" s="5"/>
      <c r="AC198" s="5">
        <f t="shared" ref="AC198:AC207" si="227">SUM(V198:AB198)</f>
        <v>153743.5453008</v>
      </c>
    </row>
    <row r="199" spans="1:30" x14ac:dyDescent="0.35">
      <c r="A199" s="26" t="s">
        <v>156</v>
      </c>
      <c r="B199" s="72">
        <v>0</v>
      </c>
      <c r="C199" s="5"/>
      <c r="D199" s="5"/>
      <c r="E199" s="5"/>
      <c r="F199" s="5"/>
      <c r="G199" s="5"/>
      <c r="H199" s="5"/>
      <c r="I199" s="5">
        <f t="shared" si="224"/>
        <v>0</v>
      </c>
      <c r="J199" s="11"/>
      <c r="L199" s="72">
        <f>30000*1.03</f>
        <v>30900</v>
      </c>
      <c r="M199" s="5"/>
      <c r="N199" s="5"/>
      <c r="O199" s="5"/>
      <c r="P199" s="5"/>
      <c r="Q199" s="5"/>
      <c r="R199" s="5"/>
      <c r="S199" s="5">
        <f t="shared" si="225"/>
        <v>30900</v>
      </c>
      <c r="T199" s="11"/>
      <c r="V199" s="120">
        <f t="shared" ref="V199:V207" si="228">B199+L199</f>
        <v>30900</v>
      </c>
      <c r="W199" s="120">
        <f t="shared" si="226"/>
        <v>0</v>
      </c>
      <c r="X199" s="120">
        <f t="shared" si="226"/>
        <v>0</v>
      </c>
      <c r="Y199" s="120">
        <f t="shared" si="226"/>
        <v>0</v>
      </c>
      <c r="Z199" s="5"/>
      <c r="AA199" s="5"/>
      <c r="AB199" s="5"/>
      <c r="AC199" s="5">
        <f t="shared" si="227"/>
        <v>30900</v>
      </c>
    </row>
    <row r="200" spans="1:30" x14ac:dyDescent="0.35">
      <c r="A200" s="26" t="s">
        <v>157</v>
      </c>
      <c r="B200" s="73">
        <v>0</v>
      </c>
      <c r="C200" s="5"/>
      <c r="D200" s="5"/>
      <c r="E200" s="5"/>
      <c r="F200" s="5"/>
      <c r="G200" s="5"/>
      <c r="H200" s="5"/>
      <c r="I200" s="5">
        <f t="shared" si="224"/>
        <v>0</v>
      </c>
      <c r="J200" s="11"/>
      <c r="L200" s="73">
        <f>40000*1.03</f>
        <v>41200</v>
      </c>
      <c r="M200" s="5"/>
      <c r="N200" s="5"/>
      <c r="O200" s="5"/>
      <c r="P200" s="5"/>
      <c r="Q200" s="5"/>
      <c r="R200" s="5"/>
      <c r="S200" s="5">
        <f t="shared" si="225"/>
        <v>41200</v>
      </c>
      <c r="T200" s="11"/>
      <c r="V200" s="120">
        <f t="shared" si="228"/>
        <v>41200</v>
      </c>
      <c r="W200" s="120">
        <f t="shared" si="226"/>
        <v>0</v>
      </c>
      <c r="X200" s="120">
        <f t="shared" si="226"/>
        <v>0</v>
      </c>
      <c r="Y200" s="120">
        <f t="shared" si="226"/>
        <v>0</v>
      </c>
      <c r="Z200" s="5"/>
      <c r="AA200" s="5"/>
      <c r="AB200" s="5"/>
      <c r="AC200" s="5">
        <f t="shared" si="227"/>
        <v>41200</v>
      </c>
    </row>
    <row r="201" spans="1:30" x14ac:dyDescent="0.35">
      <c r="A201" s="26" t="s">
        <v>158</v>
      </c>
      <c r="B201" s="73">
        <v>0</v>
      </c>
      <c r="C201" s="5"/>
      <c r="D201" s="5"/>
      <c r="E201" s="5"/>
      <c r="F201" s="5"/>
      <c r="G201" s="5"/>
      <c r="H201" s="5"/>
      <c r="I201" s="5">
        <f t="shared" si="224"/>
        <v>0</v>
      </c>
      <c r="J201" s="11"/>
      <c r="L201" s="73">
        <f>45000*1.03</f>
        <v>46350</v>
      </c>
      <c r="M201" s="5"/>
      <c r="N201" s="5"/>
      <c r="O201" s="5"/>
      <c r="P201" s="5"/>
      <c r="Q201" s="5"/>
      <c r="R201" s="5"/>
      <c r="S201" s="5">
        <f t="shared" si="225"/>
        <v>46350</v>
      </c>
      <c r="T201" s="11"/>
      <c r="V201" s="120">
        <f t="shared" si="228"/>
        <v>46350</v>
      </c>
      <c r="W201" s="120">
        <f t="shared" si="226"/>
        <v>0</v>
      </c>
      <c r="X201" s="120">
        <f t="shared" si="226"/>
        <v>0</v>
      </c>
      <c r="Y201" s="120">
        <f t="shared" si="226"/>
        <v>0</v>
      </c>
      <c r="Z201" s="5"/>
      <c r="AA201" s="5"/>
      <c r="AB201" s="5"/>
      <c r="AC201" s="5">
        <f t="shared" si="227"/>
        <v>46350</v>
      </c>
    </row>
    <row r="202" spans="1:30" x14ac:dyDescent="0.35">
      <c r="A202" s="26" t="s">
        <v>159</v>
      </c>
      <c r="B202" s="73">
        <v>6300</v>
      </c>
      <c r="C202" s="5"/>
      <c r="D202" s="5"/>
      <c r="E202" s="5"/>
      <c r="F202" s="5"/>
      <c r="G202" s="5"/>
      <c r="H202" s="5"/>
      <c r="I202" s="5">
        <f t="shared" si="224"/>
        <v>6300</v>
      </c>
      <c r="J202" s="11"/>
      <c r="L202" s="73">
        <f>15500*1.05</f>
        <v>16275</v>
      </c>
      <c r="M202" s="5"/>
      <c r="N202" s="5"/>
      <c r="O202" s="5"/>
      <c r="P202" s="5"/>
      <c r="Q202" s="5"/>
      <c r="R202" s="5"/>
      <c r="S202" s="5">
        <f t="shared" si="225"/>
        <v>16275</v>
      </c>
      <c r="T202" s="11"/>
      <c r="V202" s="120">
        <f t="shared" si="228"/>
        <v>22575</v>
      </c>
      <c r="W202" s="120">
        <f t="shared" si="226"/>
        <v>0</v>
      </c>
      <c r="X202" s="120">
        <f t="shared" si="226"/>
        <v>0</v>
      </c>
      <c r="Y202" s="120">
        <f t="shared" si="226"/>
        <v>0</v>
      </c>
      <c r="Z202" s="5"/>
      <c r="AA202" s="5"/>
      <c r="AB202" s="5"/>
      <c r="AC202" s="5">
        <f t="shared" si="227"/>
        <v>22575</v>
      </c>
    </row>
    <row r="203" spans="1:30" x14ac:dyDescent="0.35">
      <c r="A203" s="26" t="s">
        <v>160</v>
      </c>
      <c r="B203" s="72">
        <f>(2915*13)*1.05*1.03*1.04*1.03*1.03*1.03</f>
        <v>46575.062739605411</v>
      </c>
      <c r="C203" s="5"/>
      <c r="D203" s="5"/>
      <c r="E203" s="5"/>
      <c r="F203" s="5"/>
      <c r="G203" s="5"/>
      <c r="H203" s="5"/>
      <c r="I203" s="5">
        <f t="shared" si="224"/>
        <v>46575.062739605411</v>
      </c>
      <c r="J203" s="11"/>
      <c r="L203" s="72">
        <f>10050*13</f>
        <v>130650</v>
      </c>
      <c r="M203" s="5"/>
      <c r="N203" s="5"/>
      <c r="O203" s="5"/>
      <c r="P203" s="5"/>
      <c r="Q203" s="5"/>
      <c r="R203" s="5"/>
      <c r="S203" s="5">
        <f t="shared" si="225"/>
        <v>130650</v>
      </c>
      <c r="T203" s="11"/>
      <c r="V203" s="120">
        <f t="shared" si="228"/>
        <v>177225.0627396054</v>
      </c>
      <c r="W203" s="120">
        <f t="shared" si="226"/>
        <v>0</v>
      </c>
      <c r="X203" s="120">
        <f t="shared" si="226"/>
        <v>0</v>
      </c>
      <c r="Y203" s="120">
        <f t="shared" si="226"/>
        <v>0</v>
      </c>
      <c r="Z203" s="5"/>
      <c r="AA203" s="5"/>
      <c r="AB203" s="5"/>
      <c r="AC203" s="5">
        <f t="shared" si="227"/>
        <v>177225.0627396054</v>
      </c>
    </row>
    <row r="204" spans="1:30" x14ac:dyDescent="0.35">
      <c r="A204" s="26" t="s">
        <v>162</v>
      </c>
      <c r="B204" s="10">
        <v>56000</v>
      </c>
      <c r="C204" s="5"/>
      <c r="D204" s="5"/>
      <c r="E204" s="5"/>
      <c r="F204" s="5"/>
      <c r="G204" s="5"/>
      <c r="H204" s="5"/>
      <c r="I204" s="5">
        <f t="shared" si="224"/>
        <v>56000</v>
      </c>
      <c r="J204" s="11"/>
      <c r="L204" s="10">
        <v>100000</v>
      </c>
      <c r="M204" s="5"/>
      <c r="N204" s="5"/>
      <c r="O204" s="5"/>
      <c r="P204" s="5"/>
      <c r="Q204" s="5"/>
      <c r="R204" s="5"/>
      <c r="S204" s="5">
        <f t="shared" si="225"/>
        <v>100000</v>
      </c>
      <c r="T204" s="11"/>
      <c r="V204" s="120">
        <f t="shared" si="228"/>
        <v>156000</v>
      </c>
      <c r="W204" s="120">
        <f t="shared" si="226"/>
        <v>0</v>
      </c>
      <c r="X204" s="120">
        <f t="shared" si="226"/>
        <v>0</v>
      </c>
      <c r="Y204" s="120">
        <f t="shared" si="226"/>
        <v>0</v>
      </c>
      <c r="Z204" s="5"/>
      <c r="AA204" s="5"/>
      <c r="AB204" s="5"/>
      <c r="AC204" s="5">
        <f t="shared" si="227"/>
        <v>156000</v>
      </c>
    </row>
    <row r="205" spans="1:30" x14ac:dyDescent="0.35">
      <c r="A205" s="26" t="s">
        <v>163</v>
      </c>
      <c r="B205" s="10">
        <v>0</v>
      </c>
      <c r="C205" s="5"/>
      <c r="D205" s="5"/>
      <c r="E205" s="5"/>
      <c r="F205" s="5"/>
      <c r="G205" s="5"/>
      <c r="H205" s="5"/>
      <c r="I205" s="5">
        <f t="shared" si="224"/>
        <v>0</v>
      </c>
      <c r="J205" s="11"/>
      <c r="L205" s="10">
        <v>25000</v>
      </c>
      <c r="M205" s="5"/>
      <c r="N205" s="5"/>
      <c r="O205" s="5"/>
      <c r="P205" s="5"/>
      <c r="Q205" s="5"/>
      <c r="R205" s="5"/>
      <c r="S205" s="5">
        <f t="shared" si="225"/>
        <v>25000</v>
      </c>
      <c r="T205" s="11"/>
      <c r="V205" s="120">
        <f t="shared" si="228"/>
        <v>25000</v>
      </c>
      <c r="W205" s="120">
        <f t="shared" si="226"/>
        <v>0</v>
      </c>
      <c r="X205" s="120">
        <f t="shared" si="226"/>
        <v>0</v>
      </c>
      <c r="Y205" s="120">
        <f t="shared" si="226"/>
        <v>0</v>
      </c>
      <c r="Z205" s="5"/>
      <c r="AA205" s="5"/>
      <c r="AB205" s="5"/>
      <c r="AC205" s="5">
        <f t="shared" si="227"/>
        <v>25000</v>
      </c>
    </row>
    <row r="206" spans="1:30" x14ac:dyDescent="0.35">
      <c r="A206" s="26" t="s">
        <v>164</v>
      </c>
      <c r="B206" s="10">
        <v>0</v>
      </c>
      <c r="C206" s="5"/>
      <c r="D206" s="5"/>
      <c r="E206" s="5"/>
      <c r="F206" s="5"/>
      <c r="G206" s="5"/>
      <c r="H206" s="5"/>
      <c r="I206" s="5">
        <f t="shared" si="224"/>
        <v>0</v>
      </c>
      <c r="J206" s="11"/>
      <c r="L206" s="10">
        <f>25000*1.05*1.05*1.05</f>
        <v>28940.625</v>
      </c>
      <c r="M206" s="5"/>
      <c r="N206" s="5"/>
      <c r="O206" s="5"/>
      <c r="P206" s="5"/>
      <c r="Q206" s="5"/>
      <c r="R206" s="5"/>
      <c r="S206" s="5">
        <f t="shared" si="225"/>
        <v>28940.625</v>
      </c>
      <c r="T206" s="11"/>
      <c r="V206" s="120">
        <f t="shared" si="228"/>
        <v>28940.625</v>
      </c>
      <c r="W206" s="120">
        <f t="shared" si="226"/>
        <v>0</v>
      </c>
      <c r="X206" s="120">
        <f t="shared" si="226"/>
        <v>0</v>
      </c>
      <c r="Y206" s="120">
        <f t="shared" si="226"/>
        <v>0</v>
      </c>
      <c r="Z206" s="5"/>
      <c r="AA206" s="5"/>
      <c r="AB206" s="5"/>
      <c r="AC206" s="5">
        <f t="shared" si="227"/>
        <v>28940.625</v>
      </c>
    </row>
    <row r="207" spans="1:30" x14ac:dyDescent="0.35">
      <c r="A207" s="69" t="s">
        <v>165</v>
      </c>
      <c r="B207" s="10"/>
      <c r="C207" s="5"/>
      <c r="D207" s="5"/>
      <c r="E207" s="5"/>
      <c r="F207" s="5"/>
      <c r="G207" s="5"/>
      <c r="H207" s="5"/>
      <c r="I207" s="5">
        <f t="shared" si="224"/>
        <v>0</v>
      </c>
      <c r="J207" s="11"/>
      <c r="L207" s="10">
        <f>30000*1.02*1.05*1.05</f>
        <v>33736.5</v>
      </c>
      <c r="M207" s="5"/>
      <c r="N207" s="5"/>
      <c r="O207" s="5"/>
      <c r="P207" s="5"/>
      <c r="Q207" s="5"/>
      <c r="R207" s="5"/>
      <c r="S207" s="5">
        <f t="shared" si="225"/>
        <v>33736.5</v>
      </c>
      <c r="T207" s="11"/>
      <c r="V207" s="120">
        <f t="shared" si="228"/>
        <v>33736.5</v>
      </c>
      <c r="W207" s="120">
        <f t="shared" si="226"/>
        <v>0</v>
      </c>
      <c r="X207" s="120">
        <f t="shared" si="226"/>
        <v>0</v>
      </c>
      <c r="Y207" s="120">
        <f t="shared" si="226"/>
        <v>0</v>
      </c>
      <c r="Z207" s="5"/>
      <c r="AA207" s="5"/>
      <c r="AB207" s="5"/>
      <c r="AC207" s="5">
        <f t="shared" si="227"/>
        <v>33736.5</v>
      </c>
    </row>
    <row r="208" spans="1:30" x14ac:dyDescent="0.35">
      <c r="A208" s="62" t="s">
        <v>183</v>
      </c>
      <c r="B208" s="63">
        <f t="shared" ref="B208:I208" si="229">SUM(B198:B207)</f>
        <v>143653.60804040541</v>
      </c>
      <c r="C208" s="63">
        <f t="shared" si="229"/>
        <v>0</v>
      </c>
      <c r="D208" s="63">
        <f t="shared" si="229"/>
        <v>0</v>
      </c>
      <c r="E208" s="63">
        <f t="shared" si="229"/>
        <v>0</v>
      </c>
      <c r="F208" s="63">
        <f t="shared" si="229"/>
        <v>0</v>
      </c>
      <c r="G208" s="63">
        <f t="shared" si="229"/>
        <v>0</v>
      </c>
      <c r="H208" s="63">
        <f t="shared" si="229"/>
        <v>0</v>
      </c>
      <c r="I208" s="63">
        <f t="shared" si="229"/>
        <v>143653.60804040541</v>
      </c>
      <c r="J208" s="7"/>
      <c r="L208" s="63">
        <f t="shared" ref="L208:S208" si="230">SUM(L198:L207)</f>
        <v>572017.125</v>
      </c>
      <c r="M208" s="63">
        <f t="shared" si="230"/>
        <v>0</v>
      </c>
      <c r="N208" s="63">
        <f t="shared" si="230"/>
        <v>0</v>
      </c>
      <c r="O208" s="63">
        <f t="shared" si="230"/>
        <v>0</v>
      </c>
      <c r="P208" s="63">
        <f t="shared" si="230"/>
        <v>0</v>
      </c>
      <c r="Q208" s="63">
        <f t="shared" si="230"/>
        <v>0</v>
      </c>
      <c r="R208" s="63">
        <f t="shared" si="230"/>
        <v>0</v>
      </c>
      <c r="S208" s="63">
        <f t="shared" si="230"/>
        <v>572017.125</v>
      </c>
      <c r="T208" s="7"/>
      <c r="V208" s="63">
        <f t="shared" ref="V208:AC208" si="231">SUM(V198:V207)</f>
        <v>715670.73304040544</v>
      </c>
      <c r="W208" s="63">
        <f t="shared" si="231"/>
        <v>0</v>
      </c>
      <c r="X208" s="63">
        <f t="shared" si="231"/>
        <v>0</v>
      </c>
      <c r="Y208" s="63">
        <f t="shared" si="231"/>
        <v>0</v>
      </c>
      <c r="Z208" s="63">
        <f t="shared" si="231"/>
        <v>0</v>
      </c>
      <c r="AA208" s="63">
        <f t="shared" si="231"/>
        <v>0</v>
      </c>
      <c r="AB208" s="63">
        <f t="shared" si="231"/>
        <v>0</v>
      </c>
      <c r="AC208" s="63">
        <f t="shared" si="231"/>
        <v>715670.73304040544</v>
      </c>
    </row>
    <row r="209" spans="1:29" x14ac:dyDescent="0.35">
      <c r="A209" s="74"/>
      <c r="B209" s="5"/>
      <c r="C209" s="5"/>
      <c r="D209" s="5"/>
      <c r="E209" s="5"/>
      <c r="F209" s="5"/>
      <c r="G209" s="5"/>
      <c r="H209" s="5"/>
      <c r="I209" s="5"/>
      <c r="J209" s="7"/>
      <c r="L209" s="5"/>
      <c r="M209" s="5"/>
      <c r="N209" s="5"/>
      <c r="O209" s="5"/>
      <c r="P209" s="5"/>
      <c r="Q209" s="5"/>
      <c r="R209" s="5"/>
      <c r="S209" s="5"/>
      <c r="T209" s="7"/>
      <c r="V209" s="5"/>
      <c r="W209" s="5"/>
      <c r="X209" s="5"/>
      <c r="Y209" s="5"/>
      <c r="Z209" s="5"/>
      <c r="AA209" s="5"/>
      <c r="AB209" s="5"/>
      <c r="AC209" s="5"/>
    </row>
    <row r="210" spans="1:29" x14ac:dyDescent="0.35">
      <c r="A210" s="62" t="s">
        <v>166</v>
      </c>
      <c r="B210" s="63">
        <f>B142+B154+B170+B196+B208</f>
        <v>4334241.8692312399</v>
      </c>
      <c r="C210" s="63">
        <f t="shared" ref="C210:H210" si="232">C142+C154+C170+C196+C208</f>
        <v>697739.97791250004</v>
      </c>
      <c r="D210" s="63">
        <f t="shared" si="232"/>
        <v>595640.19999999995</v>
      </c>
      <c r="E210" s="63">
        <f t="shared" si="232"/>
        <v>0</v>
      </c>
      <c r="F210" s="63">
        <f t="shared" si="232"/>
        <v>-5000</v>
      </c>
      <c r="G210" s="63">
        <f t="shared" si="232"/>
        <v>-5000</v>
      </c>
      <c r="H210" s="63">
        <f t="shared" si="232"/>
        <v>-5000</v>
      </c>
      <c r="I210" s="63">
        <f>I142+I154+I170+I196+I208</f>
        <v>5612622.0471437387</v>
      </c>
      <c r="J210" s="7"/>
      <c r="L210" s="63">
        <f>L142+L154+L170+L196+L208</f>
        <v>12814451.122508127</v>
      </c>
      <c r="M210" s="63">
        <f t="shared" ref="M210:R210" si="233">M142+M154+M170+M196+M208</f>
        <v>1774677.4</v>
      </c>
      <c r="N210" s="63">
        <f t="shared" si="233"/>
        <v>1816335.5</v>
      </c>
      <c r="O210" s="63">
        <f t="shared" si="233"/>
        <v>0</v>
      </c>
      <c r="P210" s="63">
        <f t="shared" si="233"/>
        <v>0</v>
      </c>
      <c r="Q210" s="63">
        <f t="shared" si="233"/>
        <v>0</v>
      </c>
      <c r="R210" s="63">
        <f t="shared" si="233"/>
        <v>0</v>
      </c>
      <c r="S210" s="63">
        <f>S142+S154+S170+S196+S208</f>
        <v>16405464.022508128</v>
      </c>
      <c r="T210" s="7"/>
      <c r="V210" s="63">
        <f>V142+V154+V170+V196+V208</f>
        <v>17148692.99173937</v>
      </c>
      <c r="W210" s="63">
        <f t="shared" ref="W210:AB210" si="234">W142+W154+W170+W196+W208</f>
        <v>2472417.3779124999</v>
      </c>
      <c r="X210" s="63">
        <f t="shared" si="234"/>
        <v>2411975.7000000002</v>
      </c>
      <c r="Y210" s="63">
        <f t="shared" si="234"/>
        <v>0</v>
      </c>
      <c r="Z210" s="63">
        <f t="shared" si="234"/>
        <v>0</v>
      </c>
      <c r="AA210" s="63">
        <f t="shared" si="234"/>
        <v>0</v>
      </c>
      <c r="AB210" s="63">
        <f t="shared" si="234"/>
        <v>0</v>
      </c>
      <c r="AC210" s="63">
        <f>AC142+AC154+AC170+AC196+AC208</f>
        <v>22033086.069651864</v>
      </c>
    </row>
    <row r="211" spans="1:29" x14ac:dyDescent="0.35">
      <c r="A211" s="75"/>
      <c r="B211" s="47"/>
      <c r="C211" s="47"/>
      <c r="D211" s="47"/>
      <c r="E211" s="47"/>
      <c r="F211" s="47"/>
      <c r="G211" s="47"/>
      <c r="H211" s="47"/>
      <c r="I211" s="47"/>
      <c r="J211" s="7"/>
      <c r="L211" s="47"/>
      <c r="M211" s="47"/>
      <c r="N211" s="47"/>
      <c r="O211" s="47"/>
      <c r="P211" s="47"/>
      <c r="Q211" s="47"/>
      <c r="R211" s="47"/>
      <c r="S211" s="47"/>
      <c r="T211" s="7"/>
      <c r="V211" s="47"/>
      <c r="W211" s="47"/>
      <c r="X211" s="47"/>
      <c r="Y211" s="47"/>
      <c r="Z211" s="47"/>
      <c r="AA211" s="47"/>
      <c r="AB211" s="47"/>
      <c r="AC211" s="47"/>
    </row>
    <row r="212" spans="1:29" x14ac:dyDescent="0.35">
      <c r="A212" s="38" t="s">
        <v>167</v>
      </c>
      <c r="B212" s="9">
        <f>1344*B17</f>
        <v>624960</v>
      </c>
      <c r="C212" s="9"/>
      <c r="D212" s="9"/>
      <c r="E212" s="9"/>
      <c r="F212" s="9"/>
      <c r="G212" s="9"/>
      <c r="H212" s="9"/>
      <c r="I212" s="9">
        <f t="shared" ref="I212:I216" si="235">SUM(B212:H212)</f>
        <v>624960</v>
      </c>
      <c r="J212" s="11"/>
      <c r="L212" s="9">
        <f>2000*L17</f>
        <v>2920000</v>
      </c>
      <c r="M212" s="9"/>
      <c r="N212" s="9"/>
      <c r="O212" s="9"/>
      <c r="P212" s="9"/>
      <c r="Q212" s="9"/>
      <c r="R212" s="9"/>
      <c r="S212" s="9">
        <f t="shared" ref="S212:S216" si="236">SUM(L212:R212)</f>
        <v>2920000</v>
      </c>
      <c r="T212" s="52">
        <v>2000</v>
      </c>
      <c r="V212" s="9">
        <f>B212+L212</f>
        <v>3544960</v>
      </c>
      <c r="W212" s="9">
        <f t="shared" ref="W212:Y217" si="237">C212+M212</f>
        <v>0</v>
      </c>
      <c r="X212" s="9">
        <f t="shared" si="237"/>
        <v>0</v>
      </c>
      <c r="Y212" s="9">
        <f t="shared" si="237"/>
        <v>0</v>
      </c>
      <c r="Z212" s="9"/>
      <c r="AA212" s="9"/>
      <c r="AB212" s="9"/>
      <c r="AC212" s="9">
        <f t="shared" ref="AC212:AC217" si="238">SUM(V212:AB212)</f>
        <v>3544960</v>
      </c>
    </row>
    <row r="213" spans="1:29" x14ac:dyDescent="0.35">
      <c r="A213" s="38" t="s">
        <v>184</v>
      </c>
      <c r="B213" s="9">
        <v>0</v>
      </c>
      <c r="C213" s="9"/>
      <c r="D213" s="9"/>
      <c r="E213" s="9"/>
      <c r="F213" s="9"/>
      <c r="G213" s="9"/>
      <c r="H213" s="9"/>
      <c r="I213" s="9">
        <f t="shared" si="235"/>
        <v>0</v>
      </c>
      <c r="J213" s="11"/>
      <c r="L213" s="9">
        <v>0</v>
      </c>
      <c r="M213" s="9"/>
      <c r="N213" s="9"/>
      <c r="O213" s="9"/>
      <c r="P213" s="9"/>
      <c r="Q213" s="9"/>
      <c r="R213" s="9"/>
      <c r="S213" s="9">
        <f t="shared" si="236"/>
        <v>0</v>
      </c>
      <c r="T213" s="11"/>
      <c r="V213" s="9">
        <f t="shared" ref="V213:V217" si="239">B213+L213</f>
        <v>0</v>
      </c>
      <c r="W213" s="9">
        <f t="shared" si="237"/>
        <v>0</v>
      </c>
      <c r="X213" s="9">
        <f t="shared" si="237"/>
        <v>0</v>
      </c>
      <c r="Y213" s="9">
        <f t="shared" si="237"/>
        <v>0</v>
      </c>
      <c r="Z213" s="9"/>
      <c r="AA213" s="9"/>
      <c r="AB213" s="9"/>
      <c r="AC213" s="9">
        <f t="shared" si="238"/>
        <v>0</v>
      </c>
    </row>
    <row r="214" spans="1:29" x14ac:dyDescent="0.35">
      <c r="A214" s="38" t="s">
        <v>185</v>
      </c>
      <c r="B214" s="9">
        <v>0</v>
      </c>
      <c r="C214" s="9"/>
      <c r="D214" s="9"/>
      <c r="E214" s="9"/>
      <c r="F214" s="9"/>
      <c r="G214" s="9"/>
      <c r="H214" s="9"/>
      <c r="I214" s="9">
        <f t="shared" si="235"/>
        <v>0</v>
      </c>
      <c r="J214" s="119"/>
      <c r="L214" s="9">
        <v>0</v>
      </c>
      <c r="M214" s="9"/>
      <c r="N214" s="9"/>
      <c r="O214" s="9"/>
      <c r="P214" s="9"/>
      <c r="Q214" s="9"/>
      <c r="R214" s="9"/>
      <c r="S214" s="9">
        <f t="shared" si="236"/>
        <v>0</v>
      </c>
      <c r="T214" s="119"/>
      <c r="V214" s="9">
        <f t="shared" si="239"/>
        <v>0</v>
      </c>
      <c r="W214" s="9">
        <f t="shared" si="237"/>
        <v>0</v>
      </c>
      <c r="X214" s="9">
        <f t="shared" si="237"/>
        <v>0</v>
      </c>
      <c r="Y214" s="9">
        <f t="shared" si="237"/>
        <v>0</v>
      </c>
      <c r="Z214" s="9"/>
      <c r="AA214" s="9"/>
      <c r="AB214" s="9"/>
      <c r="AC214" s="9">
        <f t="shared" si="238"/>
        <v>0</v>
      </c>
    </row>
    <row r="215" spans="1:29" x14ac:dyDescent="0.35">
      <c r="A215" s="38" t="s">
        <v>186</v>
      </c>
      <c r="B215" s="9">
        <v>0</v>
      </c>
      <c r="C215" s="9"/>
      <c r="D215" s="9"/>
      <c r="E215" s="9"/>
      <c r="F215" s="9"/>
      <c r="G215" s="9"/>
      <c r="H215" s="9"/>
      <c r="I215" s="9">
        <f t="shared" si="235"/>
        <v>0</v>
      </c>
      <c r="J215" s="11"/>
      <c r="L215" s="9">
        <v>0</v>
      </c>
      <c r="M215" s="9"/>
      <c r="N215" s="9"/>
      <c r="O215" s="9"/>
      <c r="P215" s="9"/>
      <c r="Q215" s="9"/>
      <c r="R215" s="9"/>
      <c r="S215" s="9">
        <f t="shared" si="236"/>
        <v>0</v>
      </c>
      <c r="T215" s="11"/>
      <c r="V215" s="9">
        <f t="shared" si="239"/>
        <v>0</v>
      </c>
      <c r="W215" s="9">
        <f t="shared" si="237"/>
        <v>0</v>
      </c>
      <c r="X215" s="9">
        <f t="shared" si="237"/>
        <v>0</v>
      </c>
      <c r="Y215" s="9">
        <f t="shared" si="237"/>
        <v>0</v>
      </c>
      <c r="Z215" s="9"/>
      <c r="AA215" s="9"/>
      <c r="AB215" s="9"/>
      <c r="AC215" s="9">
        <f t="shared" si="238"/>
        <v>0</v>
      </c>
    </row>
    <row r="216" spans="1:29" x14ac:dyDescent="0.35">
      <c r="B216" s="9">
        <v>0</v>
      </c>
      <c r="C216" s="9">
        <v>0</v>
      </c>
      <c r="D216" s="9">
        <v>0</v>
      </c>
      <c r="E216" s="9"/>
      <c r="F216" s="9">
        <v>0</v>
      </c>
      <c r="G216" s="9">
        <v>0</v>
      </c>
      <c r="H216" s="9">
        <v>0</v>
      </c>
      <c r="I216" s="9">
        <f t="shared" si="235"/>
        <v>0</v>
      </c>
      <c r="J216" s="11"/>
      <c r="L216" s="9">
        <v>0</v>
      </c>
      <c r="M216" s="9">
        <v>0</v>
      </c>
      <c r="N216" s="9">
        <v>0</v>
      </c>
      <c r="O216" s="9"/>
      <c r="P216" s="9">
        <v>0</v>
      </c>
      <c r="Q216" s="9">
        <v>0</v>
      </c>
      <c r="R216" s="9">
        <v>0</v>
      </c>
      <c r="S216" s="9">
        <f t="shared" si="236"/>
        <v>0</v>
      </c>
      <c r="T216" s="11"/>
      <c r="V216" s="9">
        <f t="shared" si="239"/>
        <v>0</v>
      </c>
      <c r="W216" s="9">
        <f t="shared" si="237"/>
        <v>0</v>
      </c>
      <c r="X216" s="9">
        <f t="shared" si="237"/>
        <v>0</v>
      </c>
      <c r="Y216" s="9">
        <f t="shared" si="237"/>
        <v>0</v>
      </c>
      <c r="Z216" s="9">
        <v>0</v>
      </c>
      <c r="AA216" s="9">
        <v>0</v>
      </c>
      <c r="AB216" s="9">
        <v>0</v>
      </c>
      <c r="AC216" s="9">
        <f t="shared" si="238"/>
        <v>0</v>
      </c>
    </row>
    <row r="217" spans="1:29" ht="15" thickBot="1" x14ac:dyDescent="0.4">
      <c r="A217" s="38"/>
      <c r="B217" s="30"/>
      <c r="C217" s="30"/>
      <c r="D217" s="30"/>
      <c r="E217" s="30"/>
      <c r="F217" s="30"/>
      <c r="G217" s="30"/>
      <c r="H217" s="30"/>
      <c r="I217" s="5">
        <f t="shared" ref="I217" si="240">SUM(B217:H217)</f>
        <v>0</v>
      </c>
      <c r="J217" s="11"/>
      <c r="L217" s="30"/>
      <c r="M217" s="30"/>
      <c r="N217" s="30"/>
      <c r="O217" s="30"/>
      <c r="P217" s="30"/>
      <c r="Q217" s="30"/>
      <c r="R217" s="30"/>
      <c r="S217" s="5">
        <f t="shared" ref="S217" si="241">SUM(L217:R217)</f>
        <v>0</v>
      </c>
      <c r="T217" s="11"/>
      <c r="V217" s="9">
        <f t="shared" si="239"/>
        <v>0</v>
      </c>
      <c r="W217" s="9">
        <f t="shared" si="237"/>
        <v>0</v>
      </c>
      <c r="X217" s="9">
        <f t="shared" si="237"/>
        <v>0</v>
      </c>
      <c r="Y217" s="9">
        <f t="shared" si="237"/>
        <v>0</v>
      </c>
      <c r="Z217" s="30"/>
      <c r="AA217" s="30"/>
      <c r="AB217" s="30"/>
      <c r="AC217" s="5">
        <f t="shared" si="238"/>
        <v>0</v>
      </c>
    </row>
    <row r="218" spans="1:29" ht="15" thickBot="1" x14ac:dyDescent="0.4">
      <c r="A218" s="76" t="s">
        <v>168</v>
      </c>
      <c r="B218" s="77">
        <f>B97-B210-B212-B213-B215-B214</f>
        <v>425010.13076876011</v>
      </c>
      <c r="C218" s="77">
        <f t="shared" ref="C218:I218" si="242">C97-C210-C212-C213-C215-C214</f>
        <v>-366677.97791250004</v>
      </c>
      <c r="D218" s="77">
        <f t="shared" si="242"/>
        <v>-11204.949999999953</v>
      </c>
      <c r="E218" s="77">
        <f t="shared" si="242"/>
        <v>0</v>
      </c>
      <c r="F218" s="77">
        <f t="shared" si="242"/>
        <v>5000</v>
      </c>
      <c r="G218" s="77">
        <f t="shared" si="242"/>
        <v>5000</v>
      </c>
      <c r="H218" s="77">
        <f t="shared" si="242"/>
        <v>5000</v>
      </c>
      <c r="I218" s="77">
        <f t="shared" si="242"/>
        <v>62127.202856261283</v>
      </c>
      <c r="J218" s="7"/>
      <c r="L218" s="77">
        <f t="shared" ref="L218:R218" si="243">L97-L210-L212-L213-L215-L214</f>
        <v>966546.87749187276</v>
      </c>
      <c r="M218" s="77">
        <f t="shared" si="243"/>
        <v>-957527.39999999991</v>
      </c>
      <c r="N218" s="77">
        <f t="shared" si="243"/>
        <v>18665.5</v>
      </c>
      <c r="O218" s="77">
        <f t="shared" si="243"/>
        <v>0</v>
      </c>
      <c r="P218" s="77">
        <f t="shared" si="243"/>
        <v>0</v>
      </c>
      <c r="Q218" s="77">
        <f t="shared" si="243"/>
        <v>0</v>
      </c>
      <c r="R218" s="77">
        <f t="shared" si="243"/>
        <v>0</v>
      </c>
      <c r="S218" s="77">
        <f>S97-S210-S212-S213-S215-S214</f>
        <v>27684.977491872385</v>
      </c>
      <c r="T218" s="7"/>
      <c r="V218" s="77">
        <f t="shared" ref="V218:AC218" si="244">V97-V210-V212-V213-V215-V214</f>
        <v>1391557.0082606301</v>
      </c>
      <c r="W218" s="77">
        <f t="shared" si="244"/>
        <v>-1324205.3779124999</v>
      </c>
      <c r="X218" s="77">
        <f t="shared" si="244"/>
        <v>7460.5499999998137</v>
      </c>
      <c r="Y218" s="77">
        <f t="shared" si="244"/>
        <v>0</v>
      </c>
      <c r="Z218" s="77">
        <f t="shared" si="244"/>
        <v>0</v>
      </c>
      <c r="AA218" s="77">
        <f t="shared" si="244"/>
        <v>0</v>
      </c>
      <c r="AB218" s="77">
        <f t="shared" si="244"/>
        <v>0</v>
      </c>
      <c r="AC218" s="77">
        <f t="shared" si="244"/>
        <v>74812.180348135531</v>
      </c>
    </row>
    <row r="219" spans="1:29" x14ac:dyDescent="0.35">
      <c r="A219" s="78"/>
      <c r="B219" s="79">
        <f t="shared" ref="B219:I219" si="245">B218/(B97)</f>
        <v>7.8936366318555079E-2</v>
      </c>
      <c r="C219" s="79">
        <f t="shared" si="245"/>
        <v>-1.1075809906074996</v>
      </c>
      <c r="D219" s="79">
        <f t="shared" si="245"/>
        <v>-1.9172269297582503E-2</v>
      </c>
      <c r="E219" s="79" t="e">
        <f t="shared" si="245"/>
        <v>#DIV/0!</v>
      </c>
      <c r="F219" s="79" t="e">
        <f t="shared" si="245"/>
        <v>#DIV/0!</v>
      </c>
      <c r="G219" s="79" t="e">
        <f t="shared" si="245"/>
        <v>#DIV/0!</v>
      </c>
      <c r="H219" s="79" t="e">
        <f t="shared" si="245"/>
        <v>#DIV/0!</v>
      </c>
      <c r="I219" s="79">
        <f t="shared" si="245"/>
        <v>9.8619159060811066E-3</v>
      </c>
      <c r="J219" s="7"/>
      <c r="L219" s="79">
        <f t="shared" ref="L219:S219" si="246">L218/(L97)</f>
        <v>5.7873599978388882E-2</v>
      </c>
      <c r="M219" s="79">
        <f t="shared" si="246"/>
        <v>-1.1717890228232271</v>
      </c>
      <c r="N219" s="79">
        <f t="shared" si="246"/>
        <v>1.0171929061619039E-2</v>
      </c>
      <c r="O219" s="79" t="e">
        <f t="shared" si="246"/>
        <v>#DIV/0!</v>
      </c>
      <c r="P219" s="79" t="e">
        <f t="shared" si="246"/>
        <v>#DIV/0!</v>
      </c>
      <c r="Q219" s="79" t="e">
        <f t="shared" si="246"/>
        <v>#DIV/0!</v>
      </c>
      <c r="R219" s="79" t="e">
        <f t="shared" si="246"/>
        <v>#DIV/0!</v>
      </c>
      <c r="S219" s="79">
        <f t="shared" si="246"/>
        <v>1.43051539012449E-3</v>
      </c>
      <c r="T219" s="7"/>
      <c r="V219" s="79">
        <f t="shared" ref="V219:AC219" si="247">V218/(V97)</f>
        <v>6.300854772314278E-2</v>
      </c>
      <c r="W219" s="79">
        <f t="shared" si="247"/>
        <v>-1.1532760308309788</v>
      </c>
      <c r="X219" s="79">
        <f t="shared" si="247"/>
        <v>3.0835902371884418E-3</v>
      </c>
      <c r="Y219" s="79" t="e">
        <f t="shared" si="247"/>
        <v>#DIV/0!</v>
      </c>
      <c r="Z219" s="79" t="e">
        <f t="shared" si="247"/>
        <v>#DIV/0!</v>
      </c>
      <c r="AA219" s="79" t="e">
        <f t="shared" si="247"/>
        <v>#DIV/0!</v>
      </c>
      <c r="AB219" s="79" t="e">
        <f t="shared" si="247"/>
        <v>#DIV/0!</v>
      </c>
      <c r="AC219" s="79">
        <f t="shared" si="247"/>
        <v>2.9163292300239305E-3</v>
      </c>
    </row>
    <row r="220" spans="1:29" x14ac:dyDescent="0.35">
      <c r="B220" s="80"/>
      <c r="C220" s="80"/>
      <c r="D220" s="80"/>
      <c r="E220" s="80"/>
      <c r="F220" s="80"/>
      <c r="G220" s="80"/>
      <c r="H220" s="80"/>
      <c r="I220" s="80"/>
      <c r="L220" s="80"/>
      <c r="M220" s="80"/>
      <c r="N220" s="80"/>
      <c r="O220" s="80"/>
      <c r="P220" s="80"/>
      <c r="Q220" s="80"/>
      <c r="R220" s="80"/>
      <c r="S220" s="80"/>
      <c r="V220" s="80"/>
      <c r="W220" s="80"/>
      <c r="X220" s="80"/>
      <c r="Y220" s="80"/>
      <c r="Z220" s="80"/>
      <c r="AA220" s="80"/>
      <c r="AB220" s="80"/>
      <c r="AC220" s="80"/>
    </row>
    <row r="221" spans="1:29" x14ac:dyDescent="0.35">
      <c r="A221" s="1" t="str">
        <f t="shared" ref="A221:I221" si="248">A1</f>
        <v>Mater Academy of Northern Nevada (MANN) - FY30</v>
      </c>
      <c r="B221" s="1" t="str">
        <f t="shared" si="248"/>
        <v>Operating</v>
      </c>
      <c r="C221" s="1" t="str">
        <f t="shared" si="248"/>
        <v>SPED</v>
      </c>
      <c r="D221" s="1" t="str">
        <f t="shared" si="248"/>
        <v>NSLP</v>
      </c>
      <c r="E221" s="1" t="str">
        <f t="shared" si="248"/>
        <v>Other</v>
      </c>
      <c r="F221" s="1" t="str">
        <f t="shared" si="248"/>
        <v>Title I</v>
      </c>
      <c r="G221" s="1" t="str">
        <f t="shared" si="248"/>
        <v>Title II</v>
      </c>
      <c r="H221" s="1" t="str">
        <f t="shared" si="248"/>
        <v>Title III</v>
      </c>
      <c r="I221" s="1" t="str">
        <f t="shared" si="248"/>
        <v>B&amp;G</v>
      </c>
      <c r="J221" s="2"/>
      <c r="L221" s="1" t="str">
        <f t="shared" ref="L221:S221" si="249">L1</f>
        <v>Operating</v>
      </c>
      <c r="M221" s="1" t="str">
        <f t="shared" si="249"/>
        <v>SPED</v>
      </c>
      <c r="N221" s="1" t="str">
        <f t="shared" si="249"/>
        <v>NSLP</v>
      </c>
      <c r="O221" s="1" t="str">
        <f t="shared" si="249"/>
        <v>Other</v>
      </c>
      <c r="P221" s="1" t="str">
        <f t="shared" si="249"/>
        <v>Title I</v>
      </c>
      <c r="Q221" s="1" t="str">
        <f t="shared" si="249"/>
        <v>Title II</v>
      </c>
      <c r="R221" s="1" t="str">
        <f t="shared" si="249"/>
        <v>Title III</v>
      </c>
      <c r="S221" s="1" t="str">
        <f t="shared" si="249"/>
        <v>New</v>
      </c>
      <c r="T221" s="2"/>
      <c r="V221" s="1" t="str">
        <f t="shared" ref="V221:AC221" si="250">V1</f>
        <v>Operating</v>
      </c>
      <c r="W221" s="1" t="str">
        <f t="shared" si="250"/>
        <v>SPED</v>
      </c>
      <c r="X221" s="1" t="str">
        <f t="shared" si="250"/>
        <v>NSLP</v>
      </c>
      <c r="Y221" s="1" t="str">
        <f t="shared" si="250"/>
        <v>Other</v>
      </c>
      <c r="Z221" s="1" t="str">
        <f t="shared" si="250"/>
        <v>Title I</v>
      </c>
      <c r="AA221" s="1" t="str">
        <f t="shared" si="250"/>
        <v>Title II</v>
      </c>
      <c r="AB221" s="1" t="str">
        <f t="shared" si="250"/>
        <v>Title III</v>
      </c>
      <c r="AC221" s="1" t="str">
        <f t="shared" si="250"/>
        <v>MANN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tabSelected="1" zoomScale="75" zoomScaleNormal="75" workbookViewId="0">
      <pane xSplit="1" topLeftCell="B1" activePane="topRight" state="frozen"/>
      <selection activeCell="C185" sqref="C185"/>
      <selection pane="topRight" activeCell="D6" sqref="D6"/>
    </sheetView>
  </sheetViews>
  <sheetFormatPr defaultRowHeight="14.5" x14ac:dyDescent="0.35"/>
  <cols>
    <col min="1" max="1" width="56.54296875" style="7" customWidth="1"/>
    <col min="2" max="8" width="15.6328125" style="81" customWidth="1"/>
  </cols>
  <sheetData>
    <row r="1" spans="1:16" x14ac:dyDescent="0.35">
      <c r="A1" s="1" t="s">
        <v>361</v>
      </c>
      <c r="B1" s="1" t="s">
        <v>362</v>
      </c>
      <c r="C1" s="1" t="s">
        <v>363</v>
      </c>
      <c r="D1" s="1" t="s">
        <v>364</v>
      </c>
      <c r="E1" s="1" t="s">
        <v>365</v>
      </c>
      <c r="F1" s="1" t="s">
        <v>366</v>
      </c>
      <c r="G1" s="1" t="s">
        <v>367</v>
      </c>
      <c r="H1" s="1" t="s">
        <v>482</v>
      </c>
    </row>
    <row r="2" spans="1:16" x14ac:dyDescent="0.35">
      <c r="A2" s="4" t="s">
        <v>3</v>
      </c>
      <c r="B2" s="5">
        <f>'FY24'!I2</f>
        <v>8966</v>
      </c>
      <c r="C2" s="5">
        <f>'FY25'!I2</f>
        <v>9414</v>
      </c>
      <c r="D2" s="5">
        <f>'FY26'!AC2</f>
        <v>9555</v>
      </c>
      <c r="E2" s="5">
        <f>'FY27'!AC2</f>
        <v>9695</v>
      </c>
      <c r="F2" s="5">
        <f>'FY28'!AC2</f>
        <v>9840</v>
      </c>
      <c r="G2" s="5">
        <f>'FY29'!AC2</f>
        <v>9987</v>
      </c>
      <c r="H2" s="5">
        <f>'FY30'!AC2</f>
        <v>10136</v>
      </c>
      <c r="K2" s="305">
        <f t="shared" ref="K2:P2" si="0">(C2-B2)/B2</f>
        <v>4.9966540263216598E-2</v>
      </c>
      <c r="L2" s="305">
        <f t="shared" si="0"/>
        <v>1.4977692797960485E-2</v>
      </c>
      <c r="M2" s="305">
        <f t="shared" si="0"/>
        <v>1.4652014652014652E-2</v>
      </c>
      <c r="N2" s="305">
        <f t="shared" si="0"/>
        <v>1.4956162970603403E-2</v>
      </c>
      <c r="O2" s="305">
        <f t="shared" si="0"/>
        <v>1.4939024390243902E-2</v>
      </c>
      <c r="P2" s="305">
        <f t="shared" si="0"/>
        <v>1.4919395213777911E-2</v>
      </c>
    </row>
    <row r="3" spans="1:16" x14ac:dyDescent="0.35">
      <c r="A3" s="8" t="s">
        <v>4</v>
      </c>
      <c r="B3" s="9">
        <f t="shared" ref="B3:G3" si="1">B4+B5+B6+B7+B8+B9+B10+B11+B12+B13+B14+B15+B16</f>
        <v>498</v>
      </c>
      <c r="C3" s="9">
        <f t="shared" si="1"/>
        <v>498</v>
      </c>
      <c r="D3" s="9">
        <f t="shared" si="1"/>
        <v>1232</v>
      </c>
      <c r="E3" s="9">
        <f t="shared" si="1"/>
        <v>1408</v>
      </c>
      <c r="F3" s="9">
        <f t="shared" si="1"/>
        <v>1610</v>
      </c>
      <c r="G3" s="9">
        <f t="shared" si="1"/>
        <v>1779</v>
      </c>
      <c r="H3" s="9">
        <f t="shared" ref="H3" si="2">H4+H5+H6+H7+H8+H9+H10+H11+H12+H13+H14+H15+H16</f>
        <v>1925</v>
      </c>
    </row>
    <row r="4" spans="1:16" x14ac:dyDescent="0.35">
      <c r="A4" s="103" t="s">
        <v>5</v>
      </c>
      <c r="B4" s="10">
        <f>'FY24'!I4</f>
        <v>50</v>
      </c>
      <c r="C4" s="5">
        <f>'FY25'!I4</f>
        <v>50</v>
      </c>
      <c r="D4" s="10">
        <f>'FY26'!AC4</f>
        <v>175</v>
      </c>
      <c r="E4" s="10">
        <f>'FY27'!AC4</f>
        <v>175</v>
      </c>
      <c r="F4" s="10">
        <f>'FY28'!AC4</f>
        <v>175</v>
      </c>
      <c r="G4" s="10">
        <f>'FY29'!AC4</f>
        <v>175</v>
      </c>
      <c r="H4" s="10">
        <f>'FY30'!AC4</f>
        <v>175</v>
      </c>
      <c r="J4" s="303">
        <f>'FY24'!J4</f>
        <v>2</v>
      </c>
      <c r="K4" s="303">
        <f>'FY25'!J4</f>
        <v>2</v>
      </c>
      <c r="L4" s="303">
        <f>'B&amp;G Campus 6-Year'!L4+'New Campus 6-Year'!L4</f>
        <v>7</v>
      </c>
      <c r="M4" s="303">
        <f>'B&amp;G Campus 6-Year'!M4+'New Campus 6-Year'!M4</f>
        <v>7</v>
      </c>
      <c r="N4" s="303">
        <f>'B&amp;G Campus 6-Year'!N4+'New Campus 6-Year'!N4</f>
        <v>7</v>
      </c>
      <c r="O4" s="303">
        <f>'B&amp;G Campus 6-Year'!O4+'New Campus 6-Year'!O4</f>
        <v>7</v>
      </c>
      <c r="P4" s="303">
        <f>'B&amp;G Campus 6-Year'!P4+'New Campus 6-Year'!P4</f>
        <v>7</v>
      </c>
    </row>
    <row r="5" spans="1:16" x14ac:dyDescent="0.35">
      <c r="A5" s="8" t="s">
        <v>6</v>
      </c>
      <c r="B5" s="10">
        <f>'FY24'!I5</f>
        <v>52</v>
      </c>
      <c r="C5" s="5">
        <f>'FY25'!I5</f>
        <v>52</v>
      </c>
      <c r="D5" s="10">
        <f>'FY26'!AC5</f>
        <v>182</v>
      </c>
      <c r="E5" s="10">
        <f>'FY27'!AC5</f>
        <v>182</v>
      </c>
      <c r="F5" s="10">
        <f>'FY28'!AC5</f>
        <v>182</v>
      </c>
      <c r="G5" s="10">
        <f>'FY29'!AC5</f>
        <v>182</v>
      </c>
      <c r="H5" s="10">
        <f>'FY30'!AC5</f>
        <v>182</v>
      </c>
      <c r="J5" s="303">
        <f>'FY24'!J5</f>
        <v>2</v>
      </c>
      <c r="K5" s="303">
        <f>'FY25'!J5</f>
        <v>2</v>
      </c>
      <c r="L5" s="303">
        <f>'B&amp;G Campus 6-Year'!L5+'New Campus 6-Year'!L5</f>
        <v>7</v>
      </c>
      <c r="M5" s="303">
        <f>'B&amp;G Campus 6-Year'!M5+'New Campus 6-Year'!M5</f>
        <v>7</v>
      </c>
      <c r="N5" s="303">
        <f>'B&amp;G Campus 6-Year'!N5+'New Campus 6-Year'!N5</f>
        <v>7</v>
      </c>
      <c r="O5" s="303">
        <f>'B&amp;G Campus 6-Year'!O5+'New Campus 6-Year'!O5</f>
        <v>7</v>
      </c>
      <c r="P5" s="303">
        <f>'B&amp;G Campus 6-Year'!P5+'New Campus 6-Year'!P5</f>
        <v>7</v>
      </c>
    </row>
    <row r="6" spans="1:16" x14ac:dyDescent="0.35">
      <c r="A6" s="8" t="s">
        <v>7</v>
      </c>
      <c r="B6" s="10">
        <f>'FY24'!I6</f>
        <v>52</v>
      </c>
      <c r="C6" s="5">
        <f>'FY25'!I6</f>
        <v>52</v>
      </c>
      <c r="D6" s="10">
        <f>'FY26'!AC6</f>
        <v>182</v>
      </c>
      <c r="E6" s="10">
        <f>'FY27'!AC6</f>
        <v>182</v>
      </c>
      <c r="F6" s="10">
        <f>'FY28'!AC6</f>
        <v>182</v>
      </c>
      <c r="G6" s="10">
        <f>'FY29'!AC6</f>
        <v>182</v>
      </c>
      <c r="H6" s="10">
        <f>'FY30'!AC6</f>
        <v>182</v>
      </c>
      <c r="J6" s="303">
        <f>'FY24'!J6</f>
        <v>2</v>
      </c>
      <c r="K6" s="303">
        <f>'FY25'!J6</f>
        <v>2</v>
      </c>
      <c r="L6" s="303">
        <f>'B&amp;G Campus 6-Year'!L6+'New Campus 6-Year'!L6</f>
        <v>7</v>
      </c>
      <c r="M6" s="303">
        <f>'B&amp;G Campus 6-Year'!M6+'New Campus 6-Year'!M6</f>
        <v>7</v>
      </c>
      <c r="N6" s="303">
        <f>'B&amp;G Campus 6-Year'!N6+'New Campus 6-Year'!N6</f>
        <v>7</v>
      </c>
      <c r="O6" s="303">
        <f>'B&amp;G Campus 6-Year'!O6+'New Campus 6-Year'!O6</f>
        <v>7</v>
      </c>
      <c r="P6" s="303">
        <f>'B&amp;G Campus 6-Year'!P6+'New Campus 6-Year'!P6</f>
        <v>7</v>
      </c>
    </row>
    <row r="7" spans="1:16" x14ac:dyDescent="0.35">
      <c r="A7" s="12" t="s">
        <v>8</v>
      </c>
      <c r="B7" s="10">
        <f>'FY24'!I7</f>
        <v>52</v>
      </c>
      <c r="C7" s="5">
        <f>'FY25'!I7</f>
        <v>52</v>
      </c>
      <c r="D7" s="10">
        <f>'FY26'!AC7</f>
        <v>156</v>
      </c>
      <c r="E7" s="10">
        <f>'FY27'!AC7</f>
        <v>182</v>
      </c>
      <c r="F7" s="10">
        <f>'FY28'!AC7</f>
        <v>182</v>
      </c>
      <c r="G7" s="10">
        <f>'FY29'!AC7</f>
        <v>182</v>
      </c>
      <c r="H7" s="10">
        <f>'FY30'!AC7</f>
        <v>182</v>
      </c>
      <c r="J7" s="303">
        <f>'FY24'!J7</f>
        <v>2</v>
      </c>
      <c r="K7" s="303">
        <f>'FY25'!J7</f>
        <v>2</v>
      </c>
      <c r="L7" s="303">
        <f>'B&amp;G Campus 6-Year'!L7+'New Campus 6-Year'!L7</f>
        <v>6</v>
      </c>
      <c r="M7" s="303">
        <f>'B&amp;G Campus 6-Year'!M7+'New Campus 6-Year'!M7</f>
        <v>7</v>
      </c>
      <c r="N7" s="303">
        <f>'B&amp;G Campus 6-Year'!N7+'New Campus 6-Year'!N7</f>
        <v>7</v>
      </c>
      <c r="O7" s="303">
        <f>'B&amp;G Campus 6-Year'!O7+'New Campus 6-Year'!O7</f>
        <v>7</v>
      </c>
      <c r="P7" s="303">
        <f>'B&amp;G Campus 6-Year'!P7+'New Campus 6-Year'!P7</f>
        <v>7</v>
      </c>
    </row>
    <row r="8" spans="1:16" x14ac:dyDescent="0.35">
      <c r="A8" s="12" t="s">
        <v>9</v>
      </c>
      <c r="B8" s="10">
        <f>'FY24'!I8</f>
        <v>52</v>
      </c>
      <c r="C8" s="5">
        <f>'FY25'!I8</f>
        <v>52</v>
      </c>
      <c r="D8" s="10">
        <f>'FY26'!AC8</f>
        <v>130</v>
      </c>
      <c r="E8" s="10">
        <f>'FY27'!AC8</f>
        <v>156</v>
      </c>
      <c r="F8" s="10">
        <f>'FY28'!AC8</f>
        <v>182</v>
      </c>
      <c r="G8" s="10">
        <f>'FY29'!AC8</f>
        <v>182</v>
      </c>
      <c r="H8" s="10">
        <f>'FY30'!AC8</f>
        <v>182</v>
      </c>
      <c r="J8" s="303">
        <f>'FY24'!J8</f>
        <v>2</v>
      </c>
      <c r="K8" s="303">
        <f>'FY25'!J8</f>
        <v>2</v>
      </c>
      <c r="L8" s="303">
        <f>'B&amp;G Campus 6-Year'!L8+'New Campus 6-Year'!L8</f>
        <v>5</v>
      </c>
      <c r="M8" s="303">
        <f>'B&amp;G Campus 6-Year'!M8+'New Campus 6-Year'!M8</f>
        <v>6</v>
      </c>
      <c r="N8" s="303">
        <f>'B&amp;G Campus 6-Year'!N8+'New Campus 6-Year'!N8</f>
        <v>7</v>
      </c>
      <c r="O8" s="303">
        <f>'B&amp;G Campus 6-Year'!O8+'New Campus 6-Year'!O8</f>
        <v>7</v>
      </c>
      <c r="P8" s="303">
        <f>'B&amp;G Campus 6-Year'!P8+'New Campus 6-Year'!P8</f>
        <v>7</v>
      </c>
    </row>
    <row r="9" spans="1:16" x14ac:dyDescent="0.35">
      <c r="A9" s="12" t="s">
        <v>10</v>
      </c>
      <c r="B9" s="10">
        <f>'FY24'!I9</f>
        <v>54</v>
      </c>
      <c r="C9" s="5">
        <f>'FY25'!I9</f>
        <v>54</v>
      </c>
      <c r="D9" s="10">
        <f>'FY26'!AC9</f>
        <v>130</v>
      </c>
      <c r="E9" s="10">
        <f>'FY27'!AC9</f>
        <v>130</v>
      </c>
      <c r="F9" s="10">
        <f>'FY28'!AC9</f>
        <v>156</v>
      </c>
      <c r="G9" s="10">
        <f>'FY29'!AC9</f>
        <v>182</v>
      </c>
      <c r="H9" s="10">
        <f>'FY30'!AC9</f>
        <v>182</v>
      </c>
      <c r="J9" s="303">
        <f>'FY24'!J9</f>
        <v>2</v>
      </c>
      <c r="K9" s="303">
        <f>'FY25'!J9</f>
        <v>2</v>
      </c>
      <c r="L9" s="303">
        <f>'B&amp;G Campus 6-Year'!L9+'New Campus 6-Year'!L9</f>
        <v>5</v>
      </c>
      <c r="M9" s="303">
        <f>'B&amp;G Campus 6-Year'!M9+'New Campus 6-Year'!M9</f>
        <v>5</v>
      </c>
      <c r="N9" s="303">
        <f>'B&amp;G Campus 6-Year'!N9+'New Campus 6-Year'!N9</f>
        <v>6</v>
      </c>
      <c r="O9" s="303">
        <f>'B&amp;G Campus 6-Year'!O9+'New Campus 6-Year'!O9</f>
        <v>7</v>
      </c>
      <c r="P9" s="303">
        <f>'B&amp;G Campus 6-Year'!P9+'New Campus 6-Year'!P9</f>
        <v>7</v>
      </c>
    </row>
    <row r="10" spans="1:16" x14ac:dyDescent="0.35">
      <c r="A10" s="12" t="s">
        <v>11</v>
      </c>
      <c r="B10" s="10">
        <f>'FY24'!I10</f>
        <v>62</v>
      </c>
      <c r="C10" s="5">
        <f>'FY25'!I10</f>
        <v>62</v>
      </c>
      <c r="D10" s="10">
        <f>'FY26'!AC10</f>
        <v>124</v>
      </c>
      <c r="E10" s="10">
        <f>'FY27'!AC10</f>
        <v>124</v>
      </c>
      <c r="F10" s="10">
        <f>'FY28'!AC10</f>
        <v>150</v>
      </c>
      <c r="G10" s="10">
        <f>'FY29'!AC10</f>
        <v>150</v>
      </c>
      <c r="H10" s="10">
        <f>'FY30'!AC10</f>
        <v>150</v>
      </c>
      <c r="J10" s="303">
        <f>'FY24'!J10</f>
        <v>2</v>
      </c>
      <c r="K10" s="303">
        <f>'FY25'!J10</f>
        <v>2</v>
      </c>
      <c r="L10" s="303">
        <f>'B&amp;G Campus 6-Year'!L10+'New Campus 6-Year'!L10</f>
        <v>4</v>
      </c>
      <c r="M10" s="303">
        <f>'B&amp;G Campus 6-Year'!M10+'New Campus 6-Year'!M10</f>
        <v>4</v>
      </c>
      <c r="N10" s="303">
        <f>'B&amp;G Campus 6-Year'!N10+'New Campus 6-Year'!N10</f>
        <v>5</v>
      </c>
      <c r="O10" s="303">
        <f>'B&amp;G Campus 6-Year'!O10+'New Campus 6-Year'!O10</f>
        <v>5</v>
      </c>
      <c r="P10" s="303">
        <f>'B&amp;G Campus 6-Year'!P10+'New Campus 6-Year'!P10</f>
        <v>5</v>
      </c>
    </row>
    <row r="11" spans="1:16" x14ac:dyDescent="0.35">
      <c r="A11" s="12" t="s">
        <v>12</v>
      </c>
      <c r="B11" s="10">
        <f>'FY24'!I11</f>
        <v>62</v>
      </c>
      <c r="C11" s="5">
        <f>'FY25'!I11</f>
        <v>62</v>
      </c>
      <c r="D11" s="10">
        <f>'FY26'!AC11</f>
        <v>93</v>
      </c>
      <c r="E11" s="10">
        <f>'FY27'!AC11</f>
        <v>124</v>
      </c>
      <c r="F11" s="10">
        <f>'FY28'!AC11</f>
        <v>124</v>
      </c>
      <c r="G11" s="10">
        <f>'FY29'!AC11</f>
        <v>150</v>
      </c>
      <c r="H11" s="10">
        <f>'FY30'!AC11</f>
        <v>150</v>
      </c>
      <c r="J11" s="303">
        <f>'FY24'!J11</f>
        <v>2</v>
      </c>
      <c r="K11" s="303">
        <f>'FY25'!J11</f>
        <v>2</v>
      </c>
      <c r="L11" s="303">
        <f>'B&amp;G Campus 6-Year'!L11+'New Campus 6-Year'!L11</f>
        <v>3</v>
      </c>
      <c r="M11" s="303">
        <f>'B&amp;G Campus 6-Year'!M11+'New Campus 6-Year'!M11</f>
        <v>4</v>
      </c>
      <c r="N11" s="303">
        <f>'B&amp;G Campus 6-Year'!N11+'New Campus 6-Year'!N11</f>
        <v>4</v>
      </c>
      <c r="O11" s="303">
        <f>'B&amp;G Campus 6-Year'!O11+'New Campus 6-Year'!O11</f>
        <v>5</v>
      </c>
      <c r="P11" s="303">
        <f>'B&amp;G Campus 6-Year'!P11+'New Campus 6-Year'!P11</f>
        <v>5</v>
      </c>
    </row>
    <row r="12" spans="1:16" x14ac:dyDescent="0.35">
      <c r="A12" s="12" t="s">
        <v>13</v>
      </c>
      <c r="B12" s="10">
        <f>'FY24'!I12</f>
        <v>62</v>
      </c>
      <c r="C12" s="5">
        <f>'FY25'!I12</f>
        <v>62</v>
      </c>
      <c r="D12" s="10">
        <f>'FY26'!AC12</f>
        <v>60</v>
      </c>
      <c r="E12" s="10">
        <f>'FY27'!AC12</f>
        <v>93</v>
      </c>
      <c r="F12" s="10">
        <f>'FY28'!AC12</f>
        <v>124</v>
      </c>
      <c r="G12" s="10">
        <f>'FY29'!AC12</f>
        <v>124</v>
      </c>
      <c r="H12" s="10">
        <f>'FY30'!AC12</f>
        <v>150</v>
      </c>
      <c r="J12" s="303">
        <f>'FY24'!J12</f>
        <v>2</v>
      </c>
      <c r="K12" s="303">
        <f>'FY25'!J12</f>
        <v>2</v>
      </c>
      <c r="L12" s="303">
        <f>'B&amp;G Campus 6-Year'!L12+'New Campus 6-Year'!L12</f>
        <v>2</v>
      </c>
      <c r="M12" s="303">
        <f>'B&amp;G Campus 6-Year'!M12+'New Campus 6-Year'!M12</f>
        <v>3</v>
      </c>
      <c r="N12" s="303">
        <f>'B&amp;G Campus 6-Year'!N12+'New Campus 6-Year'!N12</f>
        <v>4</v>
      </c>
      <c r="O12" s="303">
        <f>'B&amp;G Campus 6-Year'!O12+'New Campus 6-Year'!O12</f>
        <v>4</v>
      </c>
      <c r="P12" s="303">
        <f>'B&amp;G Campus 6-Year'!P12+'New Campus 6-Year'!P12</f>
        <v>5</v>
      </c>
    </row>
    <row r="13" spans="1:16" x14ac:dyDescent="0.35">
      <c r="A13" s="12" t="s">
        <v>14</v>
      </c>
      <c r="B13" s="10">
        <f>'FY24'!I13</f>
        <v>0</v>
      </c>
      <c r="C13" s="5">
        <f>'FY25'!I13</f>
        <v>0</v>
      </c>
      <c r="D13" s="10">
        <f>'FY26'!AC13</f>
        <v>0</v>
      </c>
      <c r="E13" s="10">
        <f>'FY27'!AC13</f>
        <v>60</v>
      </c>
      <c r="F13" s="10">
        <f>'FY28'!AC13</f>
        <v>93</v>
      </c>
      <c r="G13" s="10">
        <f>'FY29'!AC13</f>
        <v>120</v>
      </c>
      <c r="H13" s="10">
        <f>'FY30'!AC13</f>
        <v>120</v>
      </c>
      <c r="J13" s="303">
        <f>'FY24'!J13</f>
        <v>0</v>
      </c>
      <c r="K13" s="303">
        <f>'FY25'!J13</f>
        <v>0</v>
      </c>
      <c r="L13" s="303">
        <f>'B&amp;G Campus 6-Year'!L13+'New Campus 6-Year'!L13</f>
        <v>0</v>
      </c>
      <c r="M13" s="303">
        <f>'B&amp;G Campus 6-Year'!M13+'New Campus 6-Year'!M13</f>
        <v>2</v>
      </c>
      <c r="N13" s="303">
        <f>'B&amp;G Campus 6-Year'!N13+'New Campus 6-Year'!N13</f>
        <v>3</v>
      </c>
      <c r="O13" s="303">
        <f>'B&amp;G Campus 6-Year'!O13+'New Campus 6-Year'!O13</f>
        <v>4</v>
      </c>
      <c r="P13" s="303">
        <f>'B&amp;G Campus 6-Year'!P13+'New Campus 6-Year'!P13</f>
        <v>4</v>
      </c>
    </row>
    <row r="14" spans="1:16" x14ac:dyDescent="0.35">
      <c r="A14" s="12" t="s">
        <v>15</v>
      </c>
      <c r="B14" s="10">
        <f>'FY24'!I14</f>
        <v>0</v>
      </c>
      <c r="C14" s="5">
        <f>'FY25'!I14</f>
        <v>0</v>
      </c>
      <c r="D14" s="10">
        <f>'FY26'!AC14</f>
        <v>0</v>
      </c>
      <c r="E14" s="10">
        <f>'FY27'!AC14</f>
        <v>0</v>
      </c>
      <c r="F14" s="10">
        <f>'FY28'!AC14</f>
        <v>60</v>
      </c>
      <c r="G14" s="10">
        <f>'FY29'!AC14</f>
        <v>90</v>
      </c>
      <c r="H14" s="10">
        <f>'FY30'!AC14</f>
        <v>120</v>
      </c>
      <c r="J14" s="303">
        <f>'FY24'!J14</f>
        <v>0</v>
      </c>
      <c r="K14" s="303">
        <f>'FY25'!J14</f>
        <v>0</v>
      </c>
      <c r="L14" s="303">
        <f>'B&amp;G Campus 6-Year'!L14+'New Campus 6-Year'!L14</f>
        <v>0</v>
      </c>
      <c r="M14" s="303">
        <f>'B&amp;G Campus 6-Year'!M14+'New Campus 6-Year'!M14</f>
        <v>0</v>
      </c>
      <c r="N14" s="303">
        <f>'B&amp;G Campus 6-Year'!N14+'New Campus 6-Year'!N14</f>
        <v>2</v>
      </c>
      <c r="O14" s="303">
        <f>'B&amp;G Campus 6-Year'!O14+'New Campus 6-Year'!O14</f>
        <v>3</v>
      </c>
      <c r="P14" s="303">
        <f>'B&amp;G Campus 6-Year'!P14+'New Campus 6-Year'!P14</f>
        <v>4</v>
      </c>
    </row>
    <row r="15" spans="1:16" x14ac:dyDescent="0.35">
      <c r="A15" s="12" t="s">
        <v>16</v>
      </c>
      <c r="B15" s="10">
        <f>'FY24'!I15</f>
        <v>0</v>
      </c>
      <c r="C15" s="5">
        <f>'FY25'!I15</f>
        <v>0</v>
      </c>
      <c r="D15" s="10">
        <f>'FY26'!AC15</f>
        <v>0</v>
      </c>
      <c r="E15" s="10">
        <f>'FY27'!AC15</f>
        <v>0</v>
      </c>
      <c r="F15" s="10">
        <f>'FY28'!AC15</f>
        <v>0</v>
      </c>
      <c r="G15" s="10">
        <f>'FY29'!AC15</f>
        <v>60</v>
      </c>
      <c r="H15" s="10">
        <f>'FY30'!AC15</f>
        <v>90</v>
      </c>
      <c r="J15" s="303">
        <f>'FY24'!J15</f>
        <v>0</v>
      </c>
      <c r="K15" s="303">
        <f>'FY25'!J15</f>
        <v>0</v>
      </c>
      <c r="L15" s="303">
        <f>'B&amp;G Campus 6-Year'!L15+'New Campus 6-Year'!L15</f>
        <v>0</v>
      </c>
      <c r="M15" s="303">
        <f>'B&amp;G Campus 6-Year'!M15+'New Campus 6-Year'!M15</f>
        <v>0</v>
      </c>
      <c r="N15" s="303">
        <f>'B&amp;G Campus 6-Year'!N15+'New Campus 6-Year'!N15</f>
        <v>0</v>
      </c>
      <c r="O15" s="303">
        <f>'B&amp;G Campus 6-Year'!O15+'New Campus 6-Year'!O15</f>
        <v>2</v>
      </c>
      <c r="P15" s="303">
        <f>'B&amp;G Campus 6-Year'!P15+'New Campus 6-Year'!P15</f>
        <v>3</v>
      </c>
    </row>
    <row r="16" spans="1:16" x14ac:dyDescent="0.35">
      <c r="A16" s="12" t="s">
        <v>17</v>
      </c>
      <c r="B16" s="10">
        <f>'FY24'!I16</f>
        <v>0</v>
      </c>
      <c r="C16" s="5">
        <f>'FY25'!I16</f>
        <v>0</v>
      </c>
      <c r="D16" s="10">
        <f>'FY26'!AC16</f>
        <v>0</v>
      </c>
      <c r="E16" s="10">
        <f>'FY27'!AC16</f>
        <v>0</v>
      </c>
      <c r="F16" s="10">
        <f>'FY28'!AC16</f>
        <v>0</v>
      </c>
      <c r="G16" s="10">
        <f>'FY29'!AC16</f>
        <v>0</v>
      </c>
      <c r="H16" s="10">
        <f>'FY30'!AC16</f>
        <v>60</v>
      </c>
      <c r="J16" s="303">
        <f>'FY24'!J16</f>
        <v>0</v>
      </c>
      <c r="K16" s="303">
        <f>'FY25'!J16</f>
        <v>0</v>
      </c>
      <c r="L16" s="303">
        <f>'B&amp;G Campus 6-Year'!L16+'New Campus 6-Year'!L16</f>
        <v>0</v>
      </c>
      <c r="M16" s="303">
        <f>'B&amp;G Campus 6-Year'!M16+'New Campus 6-Year'!M16</f>
        <v>0</v>
      </c>
      <c r="N16" s="303">
        <f>'B&amp;G Campus 6-Year'!N16+'New Campus 6-Year'!N16</f>
        <v>0</v>
      </c>
      <c r="O16" s="303">
        <f>'B&amp;G Campus 6-Year'!O16+'New Campus 6-Year'!O16</f>
        <v>0</v>
      </c>
      <c r="P16" s="303">
        <f>'B&amp;G Campus 6-Year'!P16+'New Campus 6-Year'!P16</f>
        <v>3</v>
      </c>
    </row>
    <row r="17" spans="1:16" x14ac:dyDescent="0.35">
      <c r="A17" s="104" t="s">
        <v>4</v>
      </c>
      <c r="B17" s="9">
        <f t="shared" ref="B17:G17" si="3">SUM(B4:B16)</f>
        <v>498</v>
      </c>
      <c r="C17" s="9">
        <f t="shared" si="3"/>
        <v>498</v>
      </c>
      <c r="D17" s="9">
        <f t="shared" si="3"/>
        <v>1232</v>
      </c>
      <c r="E17" s="9">
        <f t="shared" si="3"/>
        <v>1408</v>
      </c>
      <c r="F17" s="9">
        <f t="shared" si="3"/>
        <v>1610</v>
      </c>
      <c r="G17" s="9">
        <f t="shared" si="3"/>
        <v>1779</v>
      </c>
      <c r="H17" s="9">
        <f t="shared" ref="H17" si="4">SUM(H4:H16)</f>
        <v>1925</v>
      </c>
      <c r="J17" s="303">
        <f>SUM(J4:J16)</f>
        <v>18</v>
      </c>
      <c r="K17" s="303">
        <f t="shared" ref="K17:O17" si="5">SUM(K4:K16)</f>
        <v>18</v>
      </c>
      <c r="L17" s="303">
        <f t="shared" si="5"/>
        <v>46</v>
      </c>
      <c r="M17" s="303">
        <f t="shared" si="5"/>
        <v>52</v>
      </c>
      <c r="N17" s="303">
        <f t="shared" si="5"/>
        <v>59</v>
      </c>
      <c r="O17" s="303">
        <f t="shared" si="5"/>
        <v>65</v>
      </c>
      <c r="P17" s="303">
        <f t="shared" ref="P17" si="6">SUM(P4:P16)</f>
        <v>71</v>
      </c>
    </row>
    <row r="18" spans="1:16" x14ac:dyDescent="0.35">
      <c r="A18" s="12"/>
      <c r="B18" s="13"/>
      <c r="C18" s="5"/>
      <c r="D18" s="13"/>
      <c r="E18" s="13"/>
      <c r="F18" s="13"/>
      <c r="G18" s="13"/>
      <c r="H18" s="13"/>
      <c r="J18" t="b">
        <f t="shared" ref="J18:P18" si="7">B27=J17</f>
        <v>1</v>
      </c>
      <c r="K18" t="b">
        <f t="shared" si="7"/>
        <v>1</v>
      </c>
      <c r="L18" t="b">
        <f t="shared" si="7"/>
        <v>1</v>
      </c>
      <c r="M18" t="b">
        <f t="shared" si="7"/>
        <v>1</v>
      </c>
      <c r="N18" t="b">
        <f t="shared" si="7"/>
        <v>1</v>
      </c>
      <c r="O18" t="b">
        <f t="shared" si="7"/>
        <v>1</v>
      </c>
      <c r="P18" t="b">
        <f t="shared" si="7"/>
        <v>1</v>
      </c>
    </row>
    <row r="19" spans="1:16" x14ac:dyDescent="0.35">
      <c r="A19" s="14" t="s">
        <v>18</v>
      </c>
      <c r="B19" s="15" t="str">
        <f t="shared" ref="B19:G19" si="8">B1</f>
        <v>FY24 (23-24)</v>
      </c>
      <c r="C19" s="15" t="str">
        <f t="shared" si="8"/>
        <v>FY25 (24-25)</v>
      </c>
      <c r="D19" s="15" t="str">
        <f t="shared" si="8"/>
        <v>FY26 (25-26)</v>
      </c>
      <c r="E19" s="15" t="str">
        <f t="shared" si="8"/>
        <v>FY27 (26-27)</v>
      </c>
      <c r="F19" s="15" t="str">
        <f t="shared" si="8"/>
        <v>FY28 (27-28)</v>
      </c>
      <c r="G19" s="15" t="str">
        <f t="shared" si="8"/>
        <v>FY29 (28-29)</v>
      </c>
      <c r="H19" s="15" t="str">
        <f t="shared" ref="H19" si="9">H1</f>
        <v>FY30 (29-30)</v>
      </c>
    </row>
    <row r="20" spans="1:16" x14ac:dyDescent="0.35">
      <c r="A20" s="12" t="s">
        <v>19</v>
      </c>
      <c r="B20" s="5">
        <f>'FY24'!I20</f>
        <v>76</v>
      </c>
      <c r="C20" s="5">
        <f>'FY25'!I20</f>
        <v>76</v>
      </c>
      <c r="D20" s="5">
        <f>'FY26'!AC20</f>
        <v>166</v>
      </c>
      <c r="E20" s="5">
        <f>'FY27'!AC20</f>
        <v>148</v>
      </c>
      <c r="F20" s="5">
        <f>'FY28'!AC20</f>
        <v>169</v>
      </c>
      <c r="G20" s="5">
        <f>'FY29'!AC20</f>
        <v>193</v>
      </c>
      <c r="H20" s="10">
        <f>'FY30'!AC20</f>
        <v>213</v>
      </c>
      <c r="J20" s="303">
        <f>SUM(J4:J9)</f>
        <v>12</v>
      </c>
      <c r="K20" s="303">
        <f t="shared" ref="K20:O20" si="10">SUM(K4:K9)</f>
        <v>12</v>
      </c>
      <c r="L20" s="303">
        <f t="shared" si="10"/>
        <v>37</v>
      </c>
      <c r="M20" s="303">
        <f t="shared" si="10"/>
        <v>39</v>
      </c>
      <c r="N20" s="303">
        <f t="shared" si="10"/>
        <v>41</v>
      </c>
      <c r="O20" s="303">
        <f t="shared" si="10"/>
        <v>42</v>
      </c>
      <c r="P20" s="303">
        <f t="shared" ref="P20" si="11">SUM(P4:P9)</f>
        <v>42</v>
      </c>
    </row>
    <row r="21" spans="1:16" x14ac:dyDescent="0.35">
      <c r="A21" s="12" t="s">
        <v>21</v>
      </c>
      <c r="B21" s="5">
        <f>'FY24'!I21</f>
        <v>152</v>
      </c>
      <c r="C21" s="5">
        <f>'FY25'!I21</f>
        <v>152</v>
      </c>
      <c r="D21" s="5">
        <f>'FY26'!AC21</f>
        <v>152</v>
      </c>
      <c r="E21" s="5">
        <f>'FY27'!AC21</f>
        <v>381</v>
      </c>
      <c r="F21" s="5">
        <f>'FY28'!AC21</f>
        <v>436</v>
      </c>
      <c r="G21" s="5">
        <f>'FY29'!AC21</f>
        <v>499</v>
      </c>
      <c r="H21" s="10">
        <f>'FY30'!AC21</f>
        <v>551</v>
      </c>
      <c r="J21" s="303">
        <f>SUM(J10:J12)</f>
        <v>6</v>
      </c>
      <c r="K21" s="303">
        <f t="shared" ref="K21:O21" si="12">SUM(K10:K12)</f>
        <v>6</v>
      </c>
      <c r="L21" s="303">
        <f t="shared" si="12"/>
        <v>9</v>
      </c>
      <c r="M21" s="303">
        <f t="shared" si="12"/>
        <v>11</v>
      </c>
      <c r="N21" s="303">
        <f t="shared" si="12"/>
        <v>13</v>
      </c>
      <c r="O21" s="303">
        <f t="shared" si="12"/>
        <v>14</v>
      </c>
      <c r="P21" s="303">
        <f t="shared" ref="P21" si="13">SUM(P10:P12)</f>
        <v>15</v>
      </c>
    </row>
    <row r="22" spans="1:16" x14ac:dyDescent="0.35">
      <c r="A22" s="12" t="s">
        <v>22</v>
      </c>
      <c r="B22" s="5">
        <f>'FY24'!I22</f>
        <v>0</v>
      </c>
      <c r="C22" s="5">
        <f>'FY25'!I22</f>
        <v>0</v>
      </c>
      <c r="D22" s="5">
        <f>'FY26'!AC22</f>
        <v>0</v>
      </c>
      <c r="E22" s="5">
        <f>'FY27'!AC22</f>
        <v>0</v>
      </c>
      <c r="F22" s="5">
        <f>'FY28'!AC22</f>
        <v>0</v>
      </c>
      <c r="G22" s="5">
        <f>'FY29'!AC22</f>
        <v>0</v>
      </c>
      <c r="H22" s="10">
        <f>'FY30'!AC22</f>
        <v>0</v>
      </c>
      <c r="J22" s="303">
        <f>SUM(J13:J16)</f>
        <v>0</v>
      </c>
      <c r="K22" s="303">
        <f t="shared" ref="K22:O22" si="14">SUM(K13:K16)</f>
        <v>0</v>
      </c>
      <c r="L22" s="303">
        <f t="shared" si="14"/>
        <v>0</v>
      </c>
      <c r="M22" s="303">
        <f t="shared" si="14"/>
        <v>2</v>
      </c>
      <c r="N22" s="303">
        <f t="shared" si="14"/>
        <v>5</v>
      </c>
      <c r="O22" s="303">
        <f t="shared" si="14"/>
        <v>9</v>
      </c>
      <c r="P22" s="303">
        <f t="shared" ref="P22" si="15">SUM(P13:P16)</f>
        <v>14</v>
      </c>
    </row>
    <row r="23" spans="1:16" x14ac:dyDescent="0.35">
      <c r="A23" s="12" t="s">
        <v>23</v>
      </c>
      <c r="B23" s="111">
        <f>'FY24'!I23</f>
        <v>1</v>
      </c>
      <c r="C23" s="111">
        <f>'FY25'!I23</f>
        <v>1</v>
      </c>
      <c r="D23" s="111">
        <f>'FY26'!AC23</f>
        <v>1</v>
      </c>
      <c r="E23" s="111">
        <f>'FY27'!AC23</f>
        <v>1</v>
      </c>
      <c r="F23" s="111">
        <f>'FY28'!AC23</f>
        <v>1</v>
      </c>
      <c r="G23" s="111">
        <f>'FY29'!AC23</f>
        <v>1</v>
      </c>
      <c r="H23" s="18">
        <f>'FY30'!AC23</f>
        <v>1</v>
      </c>
    </row>
    <row r="24" spans="1:16" x14ac:dyDescent="0.35">
      <c r="A24" s="12" t="s">
        <v>24</v>
      </c>
      <c r="B24" s="5">
        <f>'FY24'!I24</f>
        <v>4</v>
      </c>
      <c r="C24" s="5">
        <f>'FY25'!I24</f>
        <v>4</v>
      </c>
      <c r="D24" s="5">
        <f>'FY26'!AC24</f>
        <v>14</v>
      </c>
      <c r="E24" s="5">
        <f>'FY27'!AC24</f>
        <v>12</v>
      </c>
      <c r="F24" s="5">
        <f>'FY28'!AC24</f>
        <v>14</v>
      </c>
      <c r="G24" s="5">
        <f>'FY29'!AC24</f>
        <v>16</v>
      </c>
      <c r="H24" s="10">
        <f>'FY30'!AC24</f>
        <v>17</v>
      </c>
      <c r="J24" s="304">
        <f>J20/J17</f>
        <v>0.66666666666666663</v>
      </c>
      <c r="K24" s="304">
        <f t="shared" ref="K24:O24" si="16">K20/K17</f>
        <v>0.66666666666666663</v>
      </c>
      <c r="L24" s="304">
        <f t="shared" si="16"/>
        <v>0.80434782608695654</v>
      </c>
      <c r="M24" s="304">
        <f t="shared" si="16"/>
        <v>0.75</v>
      </c>
      <c r="N24" s="304">
        <f t="shared" si="16"/>
        <v>0.69491525423728817</v>
      </c>
      <c r="O24" s="304">
        <f t="shared" si="16"/>
        <v>0.64615384615384619</v>
      </c>
      <c r="P24" s="304">
        <f t="shared" ref="P24" si="17">P20/P17</f>
        <v>0.59154929577464788</v>
      </c>
    </row>
    <row r="25" spans="1:16" x14ac:dyDescent="0.35">
      <c r="A25" s="12"/>
      <c r="B25" s="5"/>
      <c r="C25" s="5"/>
      <c r="D25" s="5"/>
      <c r="E25" s="5"/>
      <c r="F25" s="5"/>
      <c r="G25" s="5"/>
      <c r="H25" s="10">
        <f>'FY30'!AC25</f>
        <v>0</v>
      </c>
      <c r="J25" s="304">
        <f>J21/J17</f>
        <v>0.33333333333333331</v>
      </c>
      <c r="K25" s="304">
        <f t="shared" ref="K25:O25" si="18">K21/K17</f>
        <v>0.33333333333333331</v>
      </c>
      <c r="L25" s="304">
        <f t="shared" si="18"/>
        <v>0.19565217391304349</v>
      </c>
      <c r="M25" s="304">
        <f t="shared" si="18"/>
        <v>0.21153846153846154</v>
      </c>
      <c r="N25" s="304">
        <f t="shared" si="18"/>
        <v>0.22033898305084745</v>
      </c>
      <c r="O25" s="304">
        <f t="shared" si="18"/>
        <v>0.2153846153846154</v>
      </c>
      <c r="P25" s="304">
        <f t="shared" ref="P25" si="19">P21/P17</f>
        <v>0.21126760563380281</v>
      </c>
    </row>
    <row r="26" spans="1:16" x14ac:dyDescent="0.35">
      <c r="A26" s="20" t="s">
        <v>25</v>
      </c>
      <c r="B26" s="15" t="str">
        <f t="shared" ref="B26:G26" si="20">B1</f>
        <v>FY24 (23-24)</v>
      </c>
      <c r="C26" s="15" t="str">
        <f t="shared" si="20"/>
        <v>FY25 (24-25)</v>
      </c>
      <c r="D26" s="15" t="str">
        <f t="shared" si="20"/>
        <v>FY26 (25-26)</v>
      </c>
      <c r="E26" s="15" t="str">
        <f t="shared" si="20"/>
        <v>FY27 (26-27)</v>
      </c>
      <c r="F26" s="15" t="str">
        <f t="shared" si="20"/>
        <v>FY28 (27-28)</v>
      </c>
      <c r="G26" s="15" t="str">
        <f t="shared" si="20"/>
        <v>FY29 (28-29)</v>
      </c>
      <c r="H26" s="15" t="str">
        <f t="shared" ref="H26" si="21">H1</f>
        <v>FY30 (29-30)</v>
      </c>
      <c r="J26" s="304">
        <f>J22/J17</f>
        <v>0</v>
      </c>
      <c r="K26" s="304">
        <f t="shared" ref="K26:O26" si="22">K22/K17</f>
        <v>0</v>
      </c>
      <c r="L26" s="304">
        <f t="shared" si="22"/>
        <v>0</v>
      </c>
      <c r="M26" s="304">
        <f t="shared" si="22"/>
        <v>3.8461538461538464E-2</v>
      </c>
      <c r="N26" s="304">
        <f t="shared" si="22"/>
        <v>8.4745762711864403E-2</v>
      </c>
      <c r="O26" s="304">
        <f t="shared" si="22"/>
        <v>0.13846153846153847</v>
      </c>
      <c r="P26" s="304">
        <f t="shared" ref="P26" si="23">P22/P17</f>
        <v>0.19718309859154928</v>
      </c>
    </row>
    <row r="27" spans="1:16" x14ac:dyDescent="0.35">
      <c r="A27" s="25" t="s">
        <v>26</v>
      </c>
      <c r="B27" s="21">
        <f>'FY24'!I27</f>
        <v>18</v>
      </c>
      <c r="C27" s="21">
        <f>'FY25'!I27</f>
        <v>18</v>
      </c>
      <c r="D27" s="21">
        <f>'FY26'!AC27</f>
        <v>46</v>
      </c>
      <c r="E27" s="21">
        <f>'FY27'!AC27</f>
        <v>52</v>
      </c>
      <c r="F27" s="21">
        <f>'FY28'!AC27</f>
        <v>59</v>
      </c>
      <c r="G27" s="21">
        <f>'FY29'!AC27</f>
        <v>65</v>
      </c>
      <c r="H27" s="22">
        <f>'FY30'!AC27</f>
        <v>71</v>
      </c>
    </row>
    <row r="28" spans="1:16" x14ac:dyDescent="0.35">
      <c r="A28" s="25" t="s">
        <v>27</v>
      </c>
      <c r="B28" s="21">
        <f>'FY24'!I28</f>
        <v>3</v>
      </c>
      <c r="C28" s="21">
        <f>'FY25'!I28</f>
        <v>3</v>
      </c>
      <c r="D28" s="21">
        <f>'FY26'!AC28</f>
        <v>6</v>
      </c>
      <c r="E28" s="21">
        <f>'FY27'!AC28</f>
        <v>6.5</v>
      </c>
      <c r="F28" s="21">
        <f>'FY28'!AC28</f>
        <v>7.5</v>
      </c>
      <c r="G28" s="21">
        <f>'FY29'!AC28</f>
        <v>8.5</v>
      </c>
      <c r="H28" s="22">
        <f>'FY30'!AC28</f>
        <v>10</v>
      </c>
      <c r="J28" s="217">
        <f t="shared" ref="J28:P28" si="24">ROUND(SUM(B29:B35)*J24,0)</f>
        <v>3</v>
      </c>
      <c r="K28" s="217">
        <f t="shared" si="24"/>
        <v>3</v>
      </c>
      <c r="L28" s="217">
        <f t="shared" si="24"/>
        <v>6</v>
      </c>
      <c r="M28" s="217">
        <f t="shared" si="24"/>
        <v>7</v>
      </c>
      <c r="N28" s="217">
        <f t="shared" si="24"/>
        <v>7</v>
      </c>
      <c r="O28" s="217">
        <f t="shared" si="24"/>
        <v>7</v>
      </c>
      <c r="P28" s="217">
        <f t="shared" si="24"/>
        <v>7</v>
      </c>
    </row>
    <row r="29" spans="1:16" x14ac:dyDescent="0.35">
      <c r="A29" s="25" t="s">
        <v>28</v>
      </c>
      <c r="B29" s="21">
        <f>'FY24'!I29</f>
        <v>1</v>
      </c>
      <c r="C29" s="21">
        <f>'FY25'!I29</f>
        <v>1</v>
      </c>
      <c r="D29" s="21">
        <f>'FY26'!AC29</f>
        <v>2</v>
      </c>
      <c r="E29" s="21">
        <f>'FY27'!AC29</f>
        <v>3</v>
      </c>
      <c r="F29" s="21">
        <f>'FY28'!AC29</f>
        <v>3</v>
      </c>
      <c r="G29" s="21">
        <f>'FY29'!AC29</f>
        <v>3</v>
      </c>
      <c r="H29" s="22">
        <f>'FY30'!AC29</f>
        <v>3</v>
      </c>
      <c r="J29" s="217">
        <f>ROUND(SUM(B29:B35)*J25,0)</f>
        <v>1</v>
      </c>
      <c r="K29" s="217">
        <f>ROUND(SUM(C29:C35)*K25,0.5)</f>
        <v>1</v>
      </c>
      <c r="L29" s="217">
        <v>1.5</v>
      </c>
      <c r="M29" s="217">
        <f>ROUND(SUM(E29:E35)*M25,0)</f>
        <v>2</v>
      </c>
      <c r="N29" s="217">
        <f>ROUND(SUM(F29:F35)*N25,0)</f>
        <v>2</v>
      </c>
      <c r="O29" s="217">
        <v>3</v>
      </c>
      <c r="P29" s="217">
        <v>3</v>
      </c>
    </row>
    <row r="30" spans="1:16" x14ac:dyDescent="0.35">
      <c r="A30" s="25" t="s">
        <v>29</v>
      </c>
      <c r="B30" s="21">
        <f>'FY24'!I30</f>
        <v>1</v>
      </c>
      <c r="C30" s="21">
        <f>'FY25'!I30</f>
        <v>1</v>
      </c>
      <c r="D30" s="21">
        <f>'FY26'!AC30</f>
        <v>2</v>
      </c>
      <c r="E30" s="21">
        <f>'FY27'!AC30</f>
        <v>3</v>
      </c>
      <c r="F30" s="21">
        <f>'FY28'!AC30</f>
        <v>3</v>
      </c>
      <c r="G30" s="21">
        <f>'FY29'!AC30</f>
        <v>3</v>
      </c>
      <c r="H30" s="22">
        <f>'FY30'!AC30</f>
        <v>3</v>
      </c>
      <c r="J30" s="217">
        <f t="shared" ref="J30:P30" si="25">ROUND(SUM(B29:B35)*J26,0)</f>
        <v>0</v>
      </c>
      <c r="K30" s="217">
        <f t="shared" si="25"/>
        <v>0</v>
      </c>
      <c r="L30" s="217">
        <f t="shared" si="25"/>
        <v>0</v>
      </c>
      <c r="M30" s="217">
        <f t="shared" si="25"/>
        <v>0</v>
      </c>
      <c r="N30" s="217">
        <f t="shared" si="25"/>
        <v>1</v>
      </c>
      <c r="O30" s="217">
        <v>1</v>
      </c>
      <c r="P30" s="217">
        <f t="shared" si="25"/>
        <v>2</v>
      </c>
    </row>
    <row r="31" spans="1:16" x14ac:dyDescent="0.35">
      <c r="A31" s="25" t="s">
        <v>30</v>
      </c>
      <c r="B31" s="21">
        <f>'FY24'!I31</f>
        <v>1</v>
      </c>
      <c r="C31" s="21">
        <f>'FY25'!I31</f>
        <v>1</v>
      </c>
      <c r="D31" s="21">
        <f>'FY26'!AC31</f>
        <v>3</v>
      </c>
      <c r="E31" s="21">
        <f>'FY27'!AC31</f>
        <v>3</v>
      </c>
      <c r="F31" s="21">
        <f>'FY28'!AC31</f>
        <v>3</v>
      </c>
      <c r="G31" s="21">
        <f>'FY29'!AC31</f>
        <v>3</v>
      </c>
      <c r="H31" s="22">
        <f>'FY30'!AC31</f>
        <v>3</v>
      </c>
    </row>
    <row r="32" spans="1:16" x14ac:dyDescent="0.35">
      <c r="A32" s="100" t="s">
        <v>31</v>
      </c>
      <c r="B32" s="21">
        <f>'FY24'!I32</f>
        <v>0</v>
      </c>
      <c r="C32" s="21">
        <f>'FY25'!I32</f>
        <v>0</v>
      </c>
      <c r="D32" s="21">
        <f>'FY26'!AC32</f>
        <v>0</v>
      </c>
      <c r="E32" s="21">
        <f>'FY27'!AC32</f>
        <v>0</v>
      </c>
      <c r="F32" s="21">
        <f>'FY28'!AC32</f>
        <v>0</v>
      </c>
      <c r="G32" s="21">
        <f>'FY29'!AC32</f>
        <v>0</v>
      </c>
      <c r="H32" s="22">
        <f>'FY30'!AC32</f>
        <v>0</v>
      </c>
      <c r="J32" t="b">
        <f t="shared" ref="J32:O32" si="26">SUM(B29:B35)=SUM(J28:J30)</f>
        <v>1</v>
      </c>
      <c r="K32" t="b">
        <f t="shared" si="26"/>
        <v>1</v>
      </c>
      <c r="L32" t="b">
        <f t="shared" si="26"/>
        <v>1</v>
      </c>
      <c r="M32" t="b">
        <f t="shared" si="26"/>
        <v>1</v>
      </c>
      <c r="N32" t="b">
        <f t="shared" si="26"/>
        <v>1</v>
      </c>
      <c r="O32" t="b">
        <f t="shared" si="26"/>
        <v>1</v>
      </c>
      <c r="P32" t="b">
        <f>SUM(H29:H35)=SUM(P28:P30)</f>
        <v>1</v>
      </c>
    </row>
    <row r="33" spans="1:8" x14ac:dyDescent="0.35">
      <c r="A33" s="100" t="s">
        <v>32</v>
      </c>
      <c r="B33" s="21">
        <f>'FY24'!I33</f>
        <v>0.5</v>
      </c>
      <c r="C33" s="21">
        <f>'FY25'!I33</f>
        <v>0.5</v>
      </c>
      <c r="D33" s="21">
        <f>'FY26'!AC33</f>
        <v>0</v>
      </c>
      <c r="E33" s="21">
        <f>'FY27'!AC33</f>
        <v>0</v>
      </c>
      <c r="F33" s="21">
        <f>'FY28'!AC33</f>
        <v>0</v>
      </c>
      <c r="G33" s="21">
        <f>'FY29'!AC33</f>
        <v>0</v>
      </c>
      <c r="H33" s="22">
        <f>'FY30'!AC33</f>
        <v>0</v>
      </c>
    </row>
    <row r="34" spans="1:8" x14ac:dyDescent="0.35">
      <c r="A34" s="100" t="s">
        <v>33</v>
      </c>
      <c r="B34" s="21">
        <f>'FY24'!I34</f>
        <v>0.5</v>
      </c>
      <c r="C34" s="21">
        <f>'FY25'!I34</f>
        <v>0.5</v>
      </c>
      <c r="D34" s="21">
        <f>'FY26'!AC34</f>
        <v>0.5</v>
      </c>
      <c r="E34" s="21">
        <f>'FY27'!AC34</f>
        <v>0</v>
      </c>
      <c r="F34" s="21">
        <f>'FY28'!AC34</f>
        <v>1</v>
      </c>
      <c r="G34" s="21">
        <f>'FY29'!AC34</f>
        <v>2</v>
      </c>
      <c r="H34" s="22">
        <f>'FY30'!AC34</f>
        <v>3</v>
      </c>
    </row>
    <row r="35" spans="1:8" x14ac:dyDescent="0.35">
      <c r="A35" s="26" t="s">
        <v>35</v>
      </c>
      <c r="B35" s="21">
        <f>'FY24'!I35</f>
        <v>0</v>
      </c>
      <c r="C35" s="21">
        <f>'FY25'!I35</f>
        <v>0</v>
      </c>
      <c r="D35" s="21">
        <f>'FY26'!AC35</f>
        <v>0</v>
      </c>
      <c r="E35" s="21">
        <f>'FY27'!AC35</f>
        <v>0</v>
      </c>
      <c r="F35" s="21">
        <f>'FY28'!AC35</f>
        <v>0</v>
      </c>
      <c r="G35" s="21">
        <f>'FY29'!AC35</f>
        <v>0</v>
      </c>
      <c r="H35" s="22">
        <f>'FY30'!AC35</f>
        <v>0</v>
      </c>
    </row>
    <row r="36" spans="1:8" x14ac:dyDescent="0.35">
      <c r="A36" s="20" t="s">
        <v>37</v>
      </c>
      <c r="B36" s="24">
        <f>SUM(B27:B35)</f>
        <v>25</v>
      </c>
      <c r="C36" s="24">
        <f>SUM(C27:C35)</f>
        <v>25</v>
      </c>
      <c r="D36" s="24">
        <f t="shared" ref="D36:G36" si="27">SUM(D27:D35)</f>
        <v>59.5</v>
      </c>
      <c r="E36" s="24">
        <f t="shared" si="27"/>
        <v>67.5</v>
      </c>
      <c r="F36" s="24">
        <f t="shared" si="27"/>
        <v>76.5</v>
      </c>
      <c r="G36" s="24">
        <f t="shared" si="27"/>
        <v>84.5</v>
      </c>
      <c r="H36" s="24">
        <f t="shared" ref="H36" si="28">SUM(H27:H35)</f>
        <v>93</v>
      </c>
    </row>
    <row r="37" spans="1:8" x14ac:dyDescent="0.35">
      <c r="A37" s="23"/>
      <c r="B37" s="5"/>
      <c r="C37" s="5"/>
      <c r="D37" s="5"/>
      <c r="E37" s="5"/>
      <c r="F37" s="5"/>
      <c r="G37" s="5"/>
      <c r="H37" s="5"/>
    </row>
    <row r="38" spans="1:8" x14ac:dyDescent="0.35">
      <c r="A38" s="20" t="s">
        <v>39</v>
      </c>
      <c r="B38" s="15" t="str">
        <f t="shared" ref="B38:G38" si="29">B1</f>
        <v>FY24 (23-24)</v>
      </c>
      <c r="C38" s="15" t="str">
        <f t="shared" si="29"/>
        <v>FY25 (24-25)</v>
      </c>
      <c r="D38" s="15" t="str">
        <f t="shared" si="29"/>
        <v>FY26 (25-26)</v>
      </c>
      <c r="E38" s="15" t="str">
        <f t="shared" si="29"/>
        <v>FY27 (26-27)</v>
      </c>
      <c r="F38" s="15" t="str">
        <f t="shared" si="29"/>
        <v>FY28 (27-28)</v>
      </c>
      <c r="G38" s="15" t="str">
        <f t="shared" si="29"/>
        <v>FY29 (28-29)</v>
      </c>
      <c r="H38" s="15" t="str">
        <f t="shared" ref="H38" si="30">H1</f>
        <v>FY30 (29-30)</v>
      </c>
    </row>
    <row r="39" spans="1:8" x14ac:dyDescent="0.35">
      <c r="A39" s="25" t="s">
        <v>40</v>
      </c>
      <c r="B39" s="21">
        <f>'FY24'!I39</f>
        <v>1</v>
      </c>
      <c r="C39" s="21">
        <f>'FY25'!I39</f>
        <v>1</v>
      </c>
      <c r="D39" s="21">
        <f>'FY26'!AC39</f>
        <v>2</v>
      </c>
      <c r="E39" s="21">
        <f>'FY27'!AC39</f>
        <v>2</v>
      </c>
      <c r="F39" s="21">
        <f>'FY28'!AC39</f>
        <v>2</v>
      </c>
      <c r="G39" s="21">
        <f>'FY29'!AC39</f>
        <v>2</v>
      </c>
      <c r="H39" s="22">
        <f>'FY30'!AC39</f>
        <v>2</v>
      </c>
    </row>
    <row r="40" spans="1:8" x14ac:dyDescent="0.35">
      <c r="A40" s="25" t="s">
        <v>41</v>
      </c>
      <c r="B40" s="21">
        <f>'FY24'!I40</f>
        <v>1</v>
      </c>
      <c r="C40" s="21">
        <f>'FY25'!I40</f>
        <v>1</v>
      </c>
      <c r="D40" s="21">
        <f>'FY26'!AC40</f>
        <v>2</v>
      </c>
      <c r="E40" s="21">
        <f>'FY27'!AC40</f>
        <v>3</v>
      </c>
      <c r="F40" s="21">
        <f>'FY28'!AC40</f>
        <v>3</v>
      </c>
      <c r="G40" s="21">
        <f>'FY29'!AC40</f>
        <v>4</v>
      </c>
      <c r="H40" s="22">
        <f>'FY30'!AC40</f>
        <v>4</v>
      </c>
    </row>
    <row r="41" spans="1:8" x14ac:dyDescent="0.35">
      <c r="A41" s="26" t="s">
        <v>34</v>
      </c>
      <c r="B41" s="21">
        <f>'FY24'!I41</f>
        <v>0</v>
      </c>
      <c r="C41" s="21">
        <f>'FY25'!I41</f>
        <v>0</v>
      </c>
      <c r="D41" s="21">
        <f>'FY26'!AC41</f>
        <v>1</v>
      </c>
      <c r="E41" s="21">
        <f>'FY27'!AC41</f>
        <v>1</v>
      </c>
      <c r="F41" s="21">
        <f>'FY28'!AC41</f>
        <v>1</v>
      </c>
      <c r="G41" s="21">
        <f>'FY29'!AC41</f>
        <v>1</v>
      </c>
      <c r="H41" s="22">
        <f>'FY30'!AC41</f>
        <v>1</v>
      </c>
    </row>
    <row r="42" spans="1:8" x14ac:dyDescent="0.35">
      <c r="A42" s="27" t="s">
        <v>36</v>
      </c>
      <c r="B42" s="21">
        <f>'FY24'!I42</f>
        <v>2</v>
      </c>
      <c r="C42" s="21">
        <f>'FY25'!I42</f>
        <v>2</v>
      </c>
      <c r="D42" s="21">
        <f>'FY26'!AC42</f>
        <v>0</v>
      </c>
      <c r="E42" s="21">
        <f>'FY27'!AC42</f>
        <v>0</v>
      </c>
      <c r="F42" s="21">
        <f>'FY28'!AC42</f>
        <v>0</v>
      </c>
      <c r="G42" s="21">
        <f>'FY29'!AC42</f>
        <v>0</v>
      </c>
      <c r="H42" s="22">
        <f>'FY30'!AC42</f>
        <v>0</v>
      </c>
    </row>
    <row r="43" spans="1:8" x14ac:dyDescent="0.35">
      <c r="A43" s="27" t="s">
        <v>38</v>
      </c>
      <c r="B43" s="21">
        <f>'FY24'!I43</f>
        <v>2</v>
      </c>
      <c r="C43" s="21">
        <f>'FY25'!I43</f>
        <v>1.5</v>
      </c>
      <c r="D43" s="21">
        <f>'FY26'!AC43</f>
        <v>1</v>
      </c>
      <c r="E43" s="21">
        <f>'FY27'!AC43</f>
        <v>2</v>
      </c>
      <c r="F43" s="21">
        <f>'FY28'!AC43</f>
        <v>3</v>
      </c>
      <c r="G43" s="21">
        <f>'FY29'!AC43</f>
        <v>3</v>
      </c>
      <c r="H43" s="22">
        <f>'FY30'!AC43</f>
        <v>3</v>
      </c>
    </row>
    <row r="44" spans="1:8" x14ac:dyDescent="0.35">
      <c r="A44" s="27" t="s">
        <v>46</v>
      </c>
      <c r="B44" s="21">
        <f>'FY24'!I44</f>
        <v>0</v>
      </c>
      <c r="C44" s="21">
        <f>'FY25'!I44</f>
        <v>0</v>
      </c>
      <c r="D44" s="21">
        <f>'FY26'!AC44</f>
        <v>1</v>
      </c>
      <c r="E44" s="21">
        <f>'FY27'!AC44</f>
        <v>2</v>
      </c>
      <c r="F44" s="21">
        <f>'FY28'!AC44</f>
        <v>3</v>
      </c>
      <c r="G44" s="21">
        <f>'FY29'!AC44</f>
        <v>3</v>
      </c>
      <c r="H44" s="22">
        <f>'FY30'!AC44</f>
        <v>4</v>
      </c>
    </row>
    <row r="45" spans="1:8" x14ac:dyDescent="0.35">
      <c r="A45" s="27" t="s">
        <v>48</v>
      </c>
      <c r="B45" s="21">
        <f>'FY24'!I45</f>
        <v>1</v>
      </c>
      <c r="C45" s="21">
        <f>'FY25'!I45</f>
        <v>1</v>
      </c>
      <c r="D45" s="21">
        <f>'FY26'!AC45</f>
        <v>0</v>
      </c>
      <c r="E45" s="21">
        <f>'FY27'!AC45</f>
        <v>0</v>
      </c>
      <c r="F45" s="21">
        <f>'FY28'!AC45</f>
        <v>1</v>
      </c>
      <c r="G45" s="21">
        <f>'FY29'!AC45</f>
        <v>1</v>
      </c>
      <c r="H45" s="22">
        <f>'FY30'!AC45</f>
        <v>1</v>
      </c>
    </row>
    <row r="46" spans="1:8" x14ac:dyDescent="0.35">
      <c r="A46" s="25" t="s">
        <v>49</v>
      </c>
      <c r="B46" s="21">
        <f>'FY24'!I46</f>
        <v>1</v>
      </c>
      <c r="C46" s="21">
        <f>'FY25'!I46</f>
        <v>1</v>
      </c>
      <c r="D46" s="21">
        <f>'FY26'!AC46</f>
        <v>2</v>
      </c>
      <c r="E46" s="21">
        <f>'FY27'!AC46</f>
        <v>2</v>
      </c>
      <c r="F46" s="21">
        <f>'FY28'!AC46</f>
        <v>2.5</v>
      </c>
      <c r="G46" s="21">
        <f>'FY29'!AC46</f>
        <v>3</v>
      </c>
      <c r="H46" s="22">
        <f>'FY30'!AC46</f>
        <v>3</v>
      </c>
    </row>
    <row r="47" spans="1:8" x14ac:dyDescent="0.35">
      <c r="A47" s="25" t="s">
        <v>50</v>
      </c>
      <c r="B47" s="21">
        <f>'FY24'!I47</f>
        <v>1</v>
      </c>
      <c r="C47" s="21">
        <f>'FY25'!I47</f>
        <v>1</v>
      </c>
      <c r="D47" s="21">
        <f>'FY26'!AC47</f>
        <v>2</v>
      </c>
      <c r="E47" s="21">
        <f>'FY27'!AC47</f>
        <v>2</v>
      </c>
      <c r="F47" s="21">
        <f>'FY28'!AC47</f>
        <v>2</v>
      </c>
      <c r="G47" s="21">
        <f>'FY29'!AC47</f>
        <v>2</v>
      </c>
      <c r="H47" s="22">
        <f>'FY30'!AC47</f>
        <v>3</v>
      </c>
    </row>
    <row r="48" spans="1:8" x14ac:dyDescent="0.35">
      <c r="A48" s="25" t="s">
        <v>52</v>
      </c>
      <c r="B48" s="21">
        <f>'FY24'!I48</f>
        <v>1</v>
      </c>
      <c r="C48" s="21">
        <f>'FY25'!I48</f>
        <v>1</v>
      </c>
      <c r="D48" s="21">
        <f>'FY26'!AC48</f>
        <v>1</v>
      </c>
      <c r="E48" s="21">
        <f>'FY27'!AC48</f>
        <v>2</v>
      </c>
      <c r="F48" s="21">
        <f>'FY28'!AC48</f>
        <v>2</v>
      </c>
      <c r="G48" s="21">
        <f>'FY29'!AC48</f>
        <v>2</v>
      </c>
      <c r="H48" s="22">
        <f>'FY30'!AC48</f>
        <v>2</v>
      </c>
    </row>
    <row r="49" spans="1:8" x14ac:dyDescent="0.35">
      <c r="A49" s="25" t="s">
        <v>53</v>
      </c>
      <c r="B49" s="21">
        <f>'FY24'!I49</f>
        <v>0</v>
      </c>
      <c r="C49" s="21">
        <f>'FY25'!I49</f>
        <v>0</v>
      </c>
      <c r="D49" s="21">
        <f>'FY26'!AC49</f>
        <v>1</v>
      </c>
      <c r="E49" s="21">
        <f>'FY27'!AC49</f>
        <v>1</v>
      </c>
      <c r="F49" s="21">
        <f>'FY28'!AC49</f>
        <v>1.5</v>
      </c>
      <c r="G49" s="21">
        <f>'FY29'!AC49</f>
        <v>1</v>
      </c>
      <c r="H49" s="22">
        <f>'FY30'!AC49</f>
        <v>1</v>
      </c>
    </row>
    <row r="50" spans="1:8" x14ac:dyDescent="0.35">
      <c r="A50" s="25" t="s">
        <v>51</v>
      </c>
      <c r="B50" s="21">
        <f>'FY24'!I50</f>
        <v>9</v>
      </c>
      <c r="C50" s="21">
        <f>'FY25'!I50</f>
        <v>10</v>
      </c>
      <c r="D50" s="21">
        <f>'FY26'!AC50</f>
        <v>15</v>
      </c>
      <c r="E50" s="21">
        <f>'FY27'!AC50</f>
        <v>20</v>
      </c>
      <c r="F50" s="21">
        <f>'FY28'!AC50</f>
        <v>22</v>
      </c>
      <c r="G50" s="21">
        <f>'FY29'!AC50</f>
        <v>24</v>
      </c>
      <c r="H50" s="22">
        <f>'FY30'!AC50</f>
        <v>29</v>
      </c>
    </row>
    <row r="51" spans="1:8" x14ac:dyDescent="0.35">
      <c r="A51" s="25" t="s">
        <v>54</v>
      </c>
      <c r="B51" s="21">
        <f>'FY24'!I51</f>
        <v>0</v>
      </c>
      <c r="C51" s="21">
        <f>'FY25'!I51</f>
        <v>0</v>
      </c>
      <c r="D51" s="21">
        <f>'FY26'!AC51</f>
        <v>2</v>
      </c>
      <c r="E51" s="21">
        <f>'FY27'!AC51</f>
        <v>2.5</v>
      </c>
      <c r="F51" s="21">
        <f>'FY28'!AC51</f>
        <v>3</v>
      </c>
      <c r="G51" s="21">
        <f>'FY29'!AC51</f>
        <v>5</v>
      </c>
      <c r="H51" s="22">
        <f>'FY30'!AC51</f>
        <v>6</v>
      </c>
    </row>
    <row r="52" spans="1:8" x14ac:dyDescent="0.35">
      <c r="A52" s="25" t="s">
        <v>56</v>
      </c>
      <c r="B52" s="21">
        <f>'FY24'!I52</f>
        <v>0</v>
      </c>
      <c r="C52" s="21">
        <f>'FY25'!I52</f>
        <v>0</v>
      </c>
      <c r="D52" s="21">
        <f>'FY26'!AC52</f>
        <v>1</v>
      </c>
      <c r="E52" s="21">
        <f>'FY27'!AC52</f>
        <v>1</v>
      </c>
      <c r="F52" s="21">
        <f>'FY28'!AC52</f>
        <v>1</v>
      </c>
      <c r="G52" s="21">
        <f>'FY29'!AC52</f>
        <v>1</v>
      </c>
      <c r="H52" s="22">
        <f>'FY30'!AC52</f>
        <v>1</v>
      </c>
    </row>
    <row r="53" spans="1:8" x14ac:dyDescent="0.35">
      <c r="A53" s="25" t="s">
        <v>57</v>
      </c>
      <c r="B53" s="21">
        <f>'FY24'!I53</f>
        <v>0</v>
      </c>
      <c r="C53" s="21">
        <f>'FY25'!I53</f>
        <v>0</v>
      </c>
      <c r="D53" s="21">
        <f>'FY26'!AC53</f>
        <v>0</v>
      </c>
      <c r="E53" s="21">
        <f>'FY27'!AC53</f>
        <v>0</v>
      </c>
      <c r="F53" s="21">
        <f>'FY28'!AC53</f>
        <v>0</v>
      </c>
      <c r="G53" s="21">
        <f>'FY29'!AC53</f>
        <v>0</v>
      </c>
      <c r="H53" s="22">
        <f>'FY30'!AC53</f>
        <v>0</v>
      </c>
    </row>
    <row r="54" spans="1:8" x14ac:dyDescent="0.35">
      <c r="A54" s="26" t="s">
        <v>42</v>
      </c>
      <c r="B54" s="21">
        <f>'FY24'!I54</f>
        <v>0</v>
      </c>
      <c r="C54" s="21">
        <f>'FY25'!I54</f>
        <v>0</v>
      </c>
      <c r="D54" s="21">
        <f>'FY26'!AC54</f>
        <v>0</v>
      </c>
      <c r="E54" s="21">
        <f>'FY27'!AC54</f>
        <v>0</v>
      </c>
      <c r="F54" s="21">
        <f>'FY28'!AC54</f>
        <v>0</v>
      </c>
      <c r="G54" s="21">
        <f>'FY29'!AC54</f>
        <v>0</v>
      </c>
      <c r="H54" s="22">
        <f>'FY30'!AC54</f>
        <v>0</v>
      </c>
    </row>
    <row r="55" spans="1:8" x14ac:dyDescent="0.35">
      <c r="A55" s="26" t="s">
        <v>43</v>
      </c>
      <c r="B55" s="21">
        <f>'FY24'!I55</f>
        <v>1</v>
      </c>
      <c r="C55" s="21">
        <f>'FY25'!I55</f>
        <v>1</v>
      </c>
      <c r="D55" s="21">
        <f>'FY26'!AC55</f>
        <v>1</v>
      </c>
      <c r="E55" s="21">
        <f>'FY27'!AC55</f>
        <v>1</v>
      </c>
      <c r="F55" s="21">
        <f>'FY28'!AC55</f>
        <v>1</v>
      </c>
      <c r="G55" s="21">
        <f>'FY29'!AC55</f>
        <v>1</v>
      </c>
      <c r="H55" s="22">
        <f>'FY30'!AC55</f>
        <v>1</v>
      </c>
    </row>
    <row r="56" spans="1:8" x14ac:dyDescent="0.35">
      <c r="A56" s="26" t="s">
        <v>44</v>
      </c>
      <c r="B56" s="21">
        <f>'FY24'!I56</f>
        <v>0</v>
      </c>
      <c r="C56" s="21">
        <f>'FY25'!I56</f>
        <v>0</v>
      </c>
      <c r="D56" s="21">
        <f>'FY26'!AC56</f>
        <v>0</v>
      </c>
      <c r="E56" s="21">
        <f>'FY27'!AC56</f>
        <v>0</v>
      </c>
      <c r="F56" s="21">
        <f>'FY28'!AC56</f>
        <v>0</v>
      </c>
      <c r="G56" s="21">
        <f>'FY29'!AC56</f>
        <v>0</v>
      </c>
      <c r="H56" s="22">
        <f>'FY30'!AC56</f>
        <v>0</v>
      </c>
    </row>
    <row r="57" spans="1:8" x14ac:dyDescent="0.35">
      <c r="A57" s="26" t="s">
        <v>45</v>
      </c>
      <c r="B57" s="21">
        <f>'FY24'!I57</f>
        <v>0</v>
      </c>
      <c r="C57" s="21">
        <f>'FY25'!I57</f>
        <v>0</v>
      </c>
      <c r="D57" s="21">
        <f>'FY26'!AC57</f>
        <v>0</v>
      </c>
      <c r="E57" s="21">
        <f>'FY27'!AC57</f>
        <v>0</v>
      </c>
      <c r="F57" s="21">
        <f>'FY28'!AC57</f>
        <v>0</v>
      </c>
      <c r="G57" s="21">
        <f>'FY29'!AC57</f>
        <v>0</v>
      </c>
      <c r="H57" s="22">
        <f>'FY30'!AC57</f>
        <v>0</v>
      </c>
    </row>
    <row r="58" spans="1:8" x14ac:dyDescent="0.35">
      <c r="A58" s="26" t="s">
        <v>47</v>
      </c>
      <c r="B58" s="21">
        <f>'FY24'!I58</f>
        <v>0</v>
      </c>
      <c r="C58" s="21">
        <f>'FY25'!I58</f>
        <v>0</v>
      </c>
      <c r="D58" s="21">
        <f>'FY26'!AC58</f>
        <v>0</v>
      </c>
      <c r="E58" s="21">
        <f>'FY27'!AC58</f>
        <v>0</v>
      </c>
      <c r="F58" s="21">
        <f>'FY28'!AC58</f>
        <v>0</v>
      </c>
      <c r="G58" s="21">
        <f>'FY29'!AC58</f>
        <v>0</v>
      </c>
      <c r="H58" s="22">
        <f>'FY30'!AC58</f>
        <v>0</v>
      </c>
    </row>
    <row r="59" spans="1:8" x14ac:dyDescent="0.35">
      <c r="A59" s="26" t="s">
        <v>55</v>
      </c>
      <c r="B59" s="21">
        <f>'FY24'!I59</f>
        <v>0</v>
      </c>
      <c r="C59" s="21">
        <f>'FY25'!I59</f>
        <v>0</v>
      </c>
      <c r="D59" s="21">
        <f>'FY26'!AC59</f>
        <v>0</v>
      </c>
      <c r="E59" s="21">
        <f>'FY27'!AC59</f>
        <v>0</v>
      </c>
      <c r="F59" s="21">
        <f>'FY28'!AC59</f>
        <v>0</v>
      </c>
      <c r="G59" s="21">
        <f>'FY29'!AC59</f>
        <v>0</v>
      </c>
      <c r="H59" s="22">
        <f>'FY30'!AC59</f>
        <v>0</v>
      </c>
    </row>
    <row r="60" spans="1:8" x14ac:dyDescent="0.35">
      <c r="A60" s="25" t="s">
        <v>307</v>
      </c>
      <c r="B60" s="21">
        <f>'FY24'!I60</f>
        <v>0</v>
      </c>
      <c r="C60" s="21">
        <f>'FY25'!I60</f>
        <v>0</v>
      </c>
      <c r="D60" s="21">
        <f>'FY26'!AC60</f>
        <v>0</v>
      </c>
      <c r="E60" s="21">
        <f>'FY27'!AC60</f>
        <v>0</v>
      </c>
      <c r="F60" s="21">
        <f>'FY28'!AC60</f>
        <v>0</v>
      </c>
      <c r="G60" s="21">
        <f>'FY29'!AC60</f>
        <v>0</v>
      </c>
      <c r="H60" s="22">
        <f>'FY30'!AC60</f>
        <v>0</v>
      </c>
    </row>
    <row r="61" spans="1:8" x14ac:dyDescent="0.35">
      <c r="A61" s="20" t="s">
        <v>58</v>
      </c>
      <c r="B61" s="28">
        <f t="shared" ref="B61:G61" si="31">SUM(B39:B60)</f>
        <v>20</v>
      </c>
      <c r="C61" s="28">
        <f t="shared" si="31"/>
        <v>20.5</v>
      </c>
      <c r="D61" s="28">
        <f t="shared" si="31"/>
        <v>32</v>
      </c>
      <c r="E61" s="28">
        <f t="shared" si="31"/>
        <v>41.5</v>
      </c>
      <c r="F61" s="28">
        <f t="shared" si="31"/>
        <v>48</v>
      </c>
      <c r="G61" s="28">
        <f t="shared" si="31"/>
        <v>53</v>
      </c>
      <c r="H61" s="28">
        <f t="shared" ref="H61" si="32">SUM(H39:H60)</f>
        <v>61</v>
      </c>
    </row>
    <row r="62" spans="1:8" ht="15" thickBot="1" x14ac:dyDescent="0.4">
      <c r="A62" s="29"/>
      <c r="B62" s="30"/>
      <c r="C62" s="30"/>
      <c r="D62" s="30"/>
      <c r="E62" s="30"/>
      <c r="F62" s="30"/>
      <c r="G62" s="30"/>
      <c r="H62" s="30"/>
    </row>
    <row r="63" spans="1:8" x14ac:dyDescent="0.35">
      <c r="A63" s="31" t="s">
        <v>59</v>
      </c>
      <c r="B63" s="32">
        <f t="shared" ref="B63:F63" si="33">B36</f>
        <v>25</v>
      </c>
      <c r="C63" s="32">
        <f t="shared" si="33"/>
        <v>25</v>
      </c>
      <c r="D63" s="32">
        <f t="shared" si="33"/>
        <v>59.5</v>
      </c>
      <c r="E63" s="32">
        <f t="shared" si="33"/>
        <v>67.5</v>
      </c>
      <c r="F63" s="32">
        <f t="shared" si="33"/>
        <v>76.5</v>
      </c>
      <c r="G63" s="32">
        <f t="shared" ref="G63:H63" si="34">G36</f>
        <v>84.5</v>
      </c>
      <c r="H63" s="32">
        <f t="shared" si="34"/>
        <v>93</v>
      </c>
    </row>
    <row r="64" spans="1:8" x14ac:dyDescent="0.35">
      <c r="A64" s="33" t="s">
        <v>60</v>
      </c>
      <c r="B64" s="34">
        <f t="shared" ref="B64:F64" si="35">B61</f>
        <v>20</v>
      </c>
      <c r="C64" s="34">
        <f t="shared" si="35"/>
        <v>20.5</v>
      </c>
      <c r="D64" s="34">
        <f t="shared" si="35"/>
        <v>32</v>
      </c>
      <c r="E64" s="34">
        <f t="shared" si="35"/>
        <v>41.5</v>
      </c>
      <c r="F64" s="34">
        <f t="shared" si="35"/>
        <v>48</v>
      </c>
      <c r="G64" s="34">
        <f t="shared" ref="G64:H64" si="36">G61</f>
        <v>53</v>
      </c>
      <c r="H64" s="34">
        <f t="shared" si="36"/>
        <v>61</v>
      </c>
    </row>
    <row r="65" spans="1:8" ht="15" thickBot="1" x14ac:dyDescent="0.4">
      <c r="A65" s="35" t="s">
        <v>61</v>
      </c>
      <c r="B65" s="36">
        <f t="shared" ref="B65" si="37">SUM(B63:B64)</f>
        <v>45</v>
      </c>
      <c r="C65" s="36">
        <f t="shared" ref="C65" si="38">SUM(C63:C64)</f>
        <v>45.5</v>
      </c>
      <c r="D65" s="36">
        <f t="shared" ref="D65" si="39">SUM(D63:D64)</f>
        <v>91.5</v>
      </c>
      <c r="E65" s="36">
        <f t="shared" ref="E65" si="40">SUM(E63:E64)</f>
        <v>109</v>
      </c>
      <c r="F65" s="36">
        <f t="shared" ref="F65" si="41">SUM(F63:F64)</f>
        <v>124.5</v>
      </c>
      <c r="G65" s="36">
        <f t="shared" ref="G65:H65" si="42">SUM(G63:G64)</f>
        <v>137.5</v>
      </c>
      <c r="H65" s="36">
        <f t="shared" si="42"/>
        <v>154</v>
      </c>
    </row>
    <row r="66" spans="1:8" x14ac:dyDescent="0.35">
      <c r="A66" s="26"/>
      <c r="B66" s="37"/>
      <c r="C66" s="37"/>
      <c r="D66" s="37"/>
      <c r="E66" s="37"/>
      <c r="F66" s="37"/>
      <c r="G66" s="37"/>
      <c r="H66" s="37"/>
    </row>
    <row r="67" spans="1:8" x14ac:dyDescent="0.35">
      <c r="A67" s="38" t="s">
        <v>62</v>
      </c>
      <c r="B67" s="40">
        <f t="shared" ref="B67:G67" si="43">B142/(B210+B212+B213+B214+B215+B216)</f>
        <v>0.63479948449927248</v>
      </c>
      <c r="C67" s="40">
        <f t="shared" ref="C67" si="44">C142/(C210+C212+C213+C214+C215+C216)</f>
        <v>0.64409250943747964</v>
      </c>
      <c r="D67" s="40">
        <f t="shared" si="43"/>
        <v>0.56830931714201605</v>
      </c>
      <c r="E67" s="40">
        <f t="shared" si="43"/>
        <v>0.56174217764378642</v>
      </c>
      <c r="F67" s="40">
        <f t="shared" si="43"/>
        <v>0.56280860959471257</v>
      </c>
      <c r="G67" s="40">
        <f t="shared" si="43"/>
        <v>0.56323178324091117</v>
      </c>
      <c r="H67" s="40">
        <f t="shared" ref="H67" si="45">H142/(H210+H212+H213+H214+H215+H216)</f>
        <v>0.57327942157337419</v>
      </c>
    </row>
    <row r="68" spans="1:8" x14ac:dyDescent="0.35">
      <c r="A68" s="38" t="s">
        <v>63</v>
      </c>
      <c r="B68" s="40">
        <f t="shared" ref="B68:G68" si="46">(B114+B115+B118+B128)/B132</f>
        <v>0.68354193326882862</v>
      </c>
      <c r="C68" s="40">
        <f t="shared" ref="C68" si="47">(C114+C115+C118+C128)/C132</f>
        <v>0.68771517264497617</v>
      </c>
      <c r="D68" s="40">
        <f t="shared" si="46"/>
        <v>0.77578507637333582</v>
      </c>
      <c r="E68" s="40">
        <f t="shared" si="46"/>
        <v>0.76138116699554304</v>
      </c>
      <c r="F68" s="40">
        <f t="shared" si="46"/>
        <v>0.74877309454447494</v>
      </c>
      <c r="G68" s="40">
        <f t="shared" si="46"/>
        <v>0.7511097815919402</v>
      </c>
      <c r="H68" s="40">
        <f t="shared" ref="H68" si="48">(H114+H115+H118+H128)/H132</f>
        <v>0.75567210615755487</v>
      </c>
    </row>
    <row r="69" spans="1:8" x14ac:dyDescent="0.35">
      <c r="A69" s="38" t="s">
        <v>64</v>
      </c>
      <c r="B69" s="40">
        <f t="shared" ref="B69:G69" si="49">(B132-(B114+B115+B118+B128))/B132</f>
        <v>0.31645806673117138</v>
      </c>
      <c r="C69" s="40">
        <f t="shared" ref="C69" si="50">(C132-(C114+C115+C118+C128))/C132</f>
        <v>0.31228482735502378</v>
      </c>
      <c r="D69" s="40">
        <f t="shared" si="49"/>
        <v>0.22421492362666418</v>
      </c>
      <c r="E69" s="40">
        <f t="shared" si="49"/>
        <v>0.23861883300445696</v>
      </c>
      <c r="F69" s="40">
        <f t="shared" si="49"/>
        <v>0.25122690545552512</v>
      </c>
      <c r="G69" s="40">
        <f t="shared" si="49"/>
        <v>0.24889021840805983</v>
      </c>
      <c r="H69" s="40">
        <f t="shared" ref="H69" si="51">(H132-(H114+H115+H118+H128))/H132</f>
        <v>0.2443278938424451</v>
      </c>
    </row>
    <row r="70" spans="1:8" x14ac:dyDescent="0.35">
      <c r="A70" s="38" t="s">
        <v>65</v>
      </c>
      <c r="B70" s="40">
        <f t="shared" ref="B70:G70" si="52">(B212+B213+B214+B215)/(B97)</f>
        <v>9.25153546338425E-2</v>
      </c>
      <c r="C70" s="40">
        <f t="shared" ref="C70" si="53">(C212+C213+C214+C215)/(C97)</f>
        <v>9.0738779916136561E-2</v>
      </c>
      <c r="D70" s="40">
        <f t="shared" si="52"/>
        <v>0.13644101917500365</v>
      </c>
      <c r="E70" s="40">
        <f t="shared" si="52"/>
        <v>0.14286960113914135</v>
      </c>
      <c r="F70" s="40">
        <f t="shared" si="52"/>
        <v>0.13920747450998874</v>
      </c>
      <c r="G70" s="40">
        <f t="shared" si="52"/>
        <v>0.14243707986434348</v>
      </c>
      <c r="H70" s="40">
        <f t="shared" ref="H70" si="54">(H212+H213+H214+H215)/(H97)</f>
        <v>0.13818966937144325</v>
      </c>
    </row>
    <row r="71" spans="1:8" ht="15" thickBot="1" x14ac:dyDescent="0.4">
      <c r="B71" s="37"/>
      <c r="C71" s="37"/>
      <c r="D71" s="37"/>
      <c r="E71" s="37"/>
      <c r="F71" s="37"/>
      <c r="G71" s="37"/>
      <c r="H71" s="37"/>
    </row>
    <row r="72" spans="1:8" ht="15" thickBot="1" x14ac:dyDescent="0.4">
      <c r="A72" s="41" t="s">
        <v>66</v>
      </c>
      <c r="B72" s="42" t="str">
        <f t="shared" ref="B72:G72" si="55">B1</f>
        <v>FY24 (23-24)</v>
      </c>
      <c r="C72" s="42" t="str">
        <f t="shared" si="55"/>
        <v>FY25 (24-25)</v>
      </c>
      <c r="D72" s="42" t="str">
        <f t="shared" si="55"/>
        <v>FY26 (25-26)</v>
      </c>
      <c r="E72" s="42" t="str">
        <f t="shared" si="55"/>
        <v>FY27 (26-27)</v>
      </c>
      <c r="F72" s="42" t="str">
        <f t="shared" si="55"/>
        <v>FY28 (27-28)</v>
      </c>
      <c r="G72" s="42" t="str">
        <f t="shared" si="55"/>
        <v>FY29 (28-29)</v>
      </c>
      <c r="H72" s="42" t="str">
        <f t="shared" ref="H72" si="56">H1</f>
        <v>FY30 (29-30)</v>
      </c>
    </row>
    <row r="73" spans="1:8" x14ac:dyDescent="0.35">
      <c r="A73" s="43" t="s">
        <v>67</v>
      </c>
      <c r="B73" s="45"/>
      <c r="C73" s="44"/>
      <c r="D73" s="45"/>
      <c r="E73" s="45"/>
      <c r="F73" s="45"/>
      <c r="G73" s="45"/>
      <c r="H73" s="45"/>
    </row>
    <row r="74" spans="1:8" x14ac:dyDescent="0.35">
      <c r="A74" s="26" t="s">
        <v>68</v>
      </c>
      <c r="B74" s="47">
        <f>'FY24'!I74</f>
        <v>4465068</v>
      </c>
      <c r="C74" s="5">
        <f>'FY25'!I74</f>
        <v>4688172</v>
      </c>
      <c r="D74" s="5">
        <f>'FY26'!AC74</f>
        <v>11771760</v>
      </c>
      <c r="E74" s="5">
        <f>'FY27'!AC74</f>
        <v>13650560</v>
      </c>
      <c r="F74" s="5">
        <f>'FY28'!AC74</f>
        <v>15842400</v>
      </c>
      <c r="G74" s="5">
        <f>'FY29'!AC74</f>
        <v>17766873</v>
      </c>
      <c r="H74" s="10">
        <f>'FY30'!AC74</f>
        <v>19511800</v>
      </c>
    </row>
    <row r="75" spans="1:8" x14ac:dyDescent="0.35">
      <c r="A75" s="26" t="s">
        <v>69</v>
      </c>
      <c r="B75" s="47">
        <f>'FY24'!I75</f>
        <v>613168</v>
      </c>
      <c r="C75" s="5">
        <f>'FY25'!I75</f>
        <v>643872</v>
      </c>
      <c r="D75" s="5">
        <f>'FY26'!AC75</f>
        <v>653448</v>
      </c>
      <c r="E75" s="5">
        <f>'FY27'!AC75</f>
        <v>1661922</v>
      </c>
      <c r="F75" s="5">
        <f>'FY28'!AC75</f>
        <v>1930608</v>
      </c>
      <c r="G75" s="5">
        <f>'FY29'!AC75</f>
        <v>2113764</v>
      </c>
      <c r="H75" s="10">
        <f>'FY30'!AC75</f>
        <v>2513111</v>
      </c>
    </row>
    <row r="76" spans="1:8" x14ac:dyDescent="0.35">
      <c r="A76" s="26" t="s">
        <v>70</v>
      </c>
      <c r="B76" s="47">
        <f>'FY24'!I76</f>
        <v>0</v>
      </c>
      <c r="C76" s="5">
        <f>'FY25'!I76</f>
        <v>0</v>
      </c>
      <c r="D76" s="5">
        <f>'FY26'!AC76</f>
        <v>0</v>
      </c>
      <c r="E76" s="5">
        <f>'FY27'!AC76</f>
        <v>0</v>
      </c>
      <c r="F76" s="5">
        <f>'FY28'!AC76</f>
        <v>0</v>
      </c>
      <c r="G76" s="5">
        <f>'FY29'!AC76</f>
        <v>0</v>
      </c>
      <c r="H76" s="10">
        <f>'FY30'!AC76</f>
        <v>0</v>
      </c>
    </row>
    <row r="77" spans="1:8" x14ac:dyDescent="0.35">
      <c r="A77" s="26" t="s">
        <v>71</v>
      </c>
      <c r="B77" s="47">
        <f>'FY24'!I77</f>
        <v>12552</v>
      </c>
      <c r="C77" s="5">
        <f>'FY25'!I77</f>
        <v>13176</v>
      </c>
      <c r="D77" s="5">
        <f>'FY26'!AC77</f>
        <v>46816</v>
      </c>
      <c r="E77" s="5">
        <f>'FY27'!AC77</f>
        <v>39516</v>
      </c>
      <c r="F77" s="5">
        <f>'FY28'!AC77</f>
        <v>48216</v>
      </c>
      <c r="G77" s="5">
        <f>'FY29'!AC77</f>
        <v>52704</v>
      </c>
      <c r="H77" s="10">
        <f>'FY30'!AC77</f>
        <v>60299</v>
      </c>
    </row>
    <row r="78" spans="1:8" x14ac:dyDescent="0.35">
      <c r="A78" s="26" t="s">
        <v>73</v>
      </c>
      <c r="B78" s="47">
        <f>'FY24'!I78</f>
        <v>53862</v>
      </c>
      <c r="C78" s="5">
        <f>'FY25'!I78</f>
        <v>53862</v>
      </c>
      <c r="D78" s="5">
        <f>'FY26'!AC78</f>
        <v>53862</v>
      </c>
      <c r="E78" s="5">
        <f>'FY27'!AC78</f>
        <v>53862</v>
      </c>
      <c r="F78" s="5">
        <f>'FY28'!AC78</f>
        <v>53862</v>
      </c>
      <c r="G78" s="5">
        <f>'FY29'!AC78</f>
        <v>93862</v>
      </c>
      <c r="H78" s="10">
        <f>'FY30'!AC78</f>
        <v>93862</v>
      </c>
    </row>
    <row r="79" spans="1:8" x14ac:dyDescent="0.35">
      <c r="A79" s="26" t="s">
        <v>72</v>
      </c>
      <c r="B79" s="47">
        <f>'FY24'!I79</f>
        <v>281200</v>
      </c>
      <c r="C79" s="5">
        <f>'FY25'!I79</f>
        <v>288800</v>
      </c>
      <c r="D79" s="5">
        <f>'FY26'!AC79</f>
        <v>288800</v>
      </c>
      <c r="E79" s="5">
        <f>'FY27'!AC79</f>
        <v>562400</v>
      </c>
      <c r="F79" s="5">
        <f>'FY28'!AC79</f>
        <v>659100</v>
      </c>
      <c r="G79" s="5">
        <f>'FY29'!AC79</f>
        <v>752700</v>
      </c>
      <c r="H79" s="10">
        <f>'FY30'!AC79</f>
        <v>852000</v>
      </c>
    </row>
    <row r="80" spans="1:8" x14ac:dyDescent="0.35">
      <c r="A80" s="49" t="s">
        <v>74</v>
      </c>
      <c r="B80" s="50">
        <f t="shared" ref="B80:G80" si="57">SUM(B74:B79)</f>
        <v>5425850</v>
      </c>
      <c r="C80" s="50">
        <f t="shared" si="57"/>
        <v>5687882</v>
      </c>
      <c r="D80" s="50">
        <f t="shared" si="57"/>
        <v>12814686</v>
      </c>
      <c r="E80" s="50">
        <f t="shared" si="57"/>
        <v>15968260</v>
      </c>
      <c r="F80" s="50">
        <f t="shared" si="57"/>
        <v>18534186</v>
      </c>
      <c r="G80" s="50">
        <f t="shared" si="57"/>
        <v>20779903</v>
      </c>
      <c r="H80" s="50">
        <f t="shared" ref="H80" si="58">SUM(H74:H79)</f>
        <v>23031072</v>
      </c>
    </row>
    <row r="81" spans="1:8" x14ac:dyDescent="0.35">
      <c r="A81" s="51" t="s">
        <v>75</v>
      </c>
      <c r="B81" s="45"/>
      <c r="C81" s="44"/>
      <c r="D81" s="45"/>
      <c r="E81" s="45"/>
      <c r="F81" s="45"/>
      <c r="G81" s="45"/>
      <c r="H81" s="45"/>
    </row>
    <row r="82" spans="1:8" x14ac:dyDescent="0.35">
      <c r="A82" s="26" t="s">
        <v>76</v>
      </c>
      <c r="B82" s="47">
        <f>'FY24'!I82</f>
        <v>77327</v>
      </c>
      <c r="C82" s="5">
        <f>'FY25'!I82</f>
        <v>72200</v>
      </c>
      <c r="D82" s="5">
        <f>'FY26'!AC82</f>
        <v>157700</v>
      </c>
      <c r="E82" s="5">
        <f>'FY27'!AC82</f>
        <v>140600</v>
      </c>
      <c r="F82" s="5">
        <f>'FY28'!AC82</f>
        <v>160550</v>
      </c>
      <c r="G82" s="5">
        <f>'FY29'!AC82</f>
        <v>183350</v>
      </c>
      <c r="H82" s="10">
        <f>'FY30'!AC82</f>
        <v>202350</v>
      </c>
    </row>
    <row r="83" spans="1:8" x14ac:dyDescent="0.35">
      <c r="A83" s="26" t="s">
        <v>77</v>
      </c>
      <c r="B83" s="47">
        <f>'FY24'!I83</f>
        <v>214127.55000000002</v>
      </c>
      <c r="C83" s="5">
        <f>'FY25'!I83</f>
        <v>234184.49999999997</v>
      </c>
      <c r="D83" s="5">
        <f>'FY26'!AC83</f>
        <v>579348</v>
      </c>
      <c r="E83" s="5">
        <f>'FY27'!AC83</f>
        <v>599201.1</v>
      </c>
      <c r="F83" s="5">
        <f>'FY28'!AC83</f>
        <v>770868</v>
      </c>
      <c r="G83" s="5">
        <f>'FY29'!AC83</f>
        <v>857869.37999999989</v>
      </c>
      <c r="H83" s="10">
        <f>'FY30'!AC83</f>
        <v>938148.75</v>
      </c>
    </row>
    <row r="84" spans="1:8" x14ac:dyDescent="0.35">
      <c r="A84" s="26" t="s">
        <v>78</v>
      </c>
      <c r="B84" s="47">
        <f>'FY24'!I84</f>
        <v>341192.24999999994</v>
      </c>
      <c r="C84" s="5">
        <f>'FY25'!I84</f>
        <v>372140.46</v>
      </c>
      <c r="D84" s="5">
        <f>'FY26'!AC84</f>
        <v>920636.6399999999</v>
      </c>
      <c r="E84" s="5">
        <f>'FY27'!AC84</f>
        <v>1156131</v>
      </c>
      <c r="F84" s="5">
        <f>'FY28'!AC84</f>
        <v>1216870.2</v>
      </c>
      <c r="G84" s="5">
        <f>'FY29'!AC84</f>
        <v>1350687.96</v>
      </c>
      <c r="H84" s="10">
        <f>'FY30'!AC84</f>
        <v>1481287.5</v>
      </c>
    </row>
    <row r="85" spans="1:8" x14ac:dyDescent="0.35">
      <c r="A85" s="26" t="s">
        <v>79</v>
      </c>
      <c r="B85" s="47">
        <f>'FY24'!I85</f>
        <v>0</v>
      </c>
      <c r="C85" s="5">
        <f>'FY25'!I85</f>
        <v>0</v>
      </c>
      <c r="D85" s="5">
        <f>'FY26'!AC85</f>
        <v>0</v>
      </c>
      <c r="E85" s="5">
        <f>'FY27'!AC85</f>
        <v>0</v>
      </c>
      <c r="F85" s="5">
        <f>'FY28'!AC85</f>
        <v>0</v>
      </c>
      <c r="G85" s="5">
        <f>'FY29'!AC85</f>
        <v>0</v>
      </c>
      <c r="H85" s="10">
        <f>'FY30'!AC85</f>
        <v>0</v>
      </c>
    </row>
    <row r="86" spans="1:8" x14ac:dyDescent="0.35">
      <c r="A86" s="26" t="s">
        <v>80</v>
      </c>
      <c r="B86" s="47">
        <f>'FY24'!I86</f>
        <v>0</v>
      </c>
      <c r="C86" s="5">
        <f>'FY25'!I86</f>
        <v>0</v>
      </c>
      <c r="D86" s="5">
        <f>'FY26'!AC86</f>
        <v>0</v>
      </c>
      <c r="E86" s="5">
        <f>'FY27'!AC86</f>
        <v>0</v>
      </c>
      <c r="F86" s="5">
        <f>'FY28'!AC86</f>
        <v>0</v>
      </c>
      <c r="G86" s="5">
        <f>'FY29'!AC86</f>
        <v>0</v>
      </c>
      <c r="H86" s="10">
        <f>'FY30'!AC86</f>
        <v>0</v>
      </c>
    </row>
    <row r="87" spans="1:8" x14ac:dyDescent="0.35">
      <c r="A87" s="26" t="s">
        <v>81</v>
      </c>
      <c r="B87" s="47">
        <f>'FY24'!I87</f>
        <v>0</v>
      </c>
      <c r="C87" s="5">
        <f>'FY25'!I87</f>
        <v>0</v>
      </c>
      <c r="D87" s="5">
        <f>'FY26'!AC87</f>
        <v>0</v>
      </c>
      <c r="E87" s="5">
        <f>'FY27'!AC87</f>
        <v>0</v>
      </c>
      <c r="F87" s="5">
        <f>'FY28'!AC87</f>
        <v>0</v>
      </c>
      <c r="G87" s="5">
        <f>'FY29'!AC87</f>
        <v>0</v>
      </c>
      <c r="H87" s="10">
        <f>'FY30'!AC87</f>
        <v>0</v>
      </c>
    </row>
    <row r="88" spans="1:8" x14ac:dyDescent="0.35">
      <c r="A88" s="26" t="s">
        <v>82</v>
      </c>
      <c r="B88" s="47">
        <f>'FY24'!I88</f>
        <v>0</v>
      </c>
      <c r="C88" s="5">
        <f>'FY25'!I88</f>
        <v>0</v>
      </c>
      <c r="D88" s="5">
        <f>'FY26'!AC88</f>
        <v>0</v>
      </c>
      <c r="E88" s="5">
        <f>'FY27'!AC88</f>
        <v>0</v>
      </c>
      <c r="F88" s="5">
        <f>'FY28'!AC88</f>
        <v>0</v>
      </c>
      <c r="G88" s="5">
        <f>'FY29'!AC88</f>
        <v>0</v>
      </c>
      <c r="H88" s="10">
        <f>'FY30'!AC88</f>
        <v>0</v>
      </c>
    </row>
    <row r="89" spans="1:8" x14ac:dyDescent="0.35">
      <c r="A89" s="26" t="s">
        <v>83</v>
      </c>
      <c r="B89" s="47">
        <f>'FY24'!I89</f>
        <v>0</v>
      </c>
      <c r="C89" s="5">
        <f>'FY25'!I89</f>
        <v>0</v>
      </c>
      <c r="D89" s="5">
        <f>'FY26'!AC89</f>
        <v>0</v>
      </c>
      <c r="E89" s="5">
        <f>'FY27'!AC89</f>
        <v>0</v>
      </c>
      <c r="F89" s="5">
        <f>'FY28'!AC89</f>
        <v>0</v>
      </c>
      <c r="G89" s="5">
        <f>'FY29'!AC89</f>
        <v>0</v>
      </c>
      <c r="H89" s="5">
        <f>'FY29'!AD89</f>
        <v>0</v>
      </c>
    </row>
    <row r="90" spans="1:8" x14ac:dyDescent="0.35">
      <c r="A90" s="49" t="s">
        <v>84</v>
      </c>
      <c r="B90" s="50">
        <f t="shared" ref="B90:G90" si="59">SUM(B82:B88)</f>
        <v>632646.80000000005</v>
      </c>
      <c r="C90" s="50">
        <f t="shared" si="59"/>
        <v>678524.96</v>
      </c>
      <c r="D90" s="50">
        <f t="shared" si="59"/>
        <v>1657684.64</v>
      </c>
      <c r="E90" s="50">
        <f t="shared" si="59"/>
        <v>1895932.1</v>
      </c>
      <c r="F90" s="50">
        <f t="shared" si="59"/>
        <v>2148288.2000000002</v>
      </c>
      <c r="G90" s="50">
        <f t="shared" si="59"/>
        <v>2391907.34</v>
      </c>
      <c r="H90" s="50">
        <f t="shared" ref="H90" si="60">SUM(H82:H88)</f>
        <v>2621786.25</v>
      </c>
    </row>
    <row r="91" spans="1:8" x14ac:dyDescent="0.35">
      <c r="A91" s="51" t="s">
        <v>85</v>
      </c>
      <c r="B91" s="45"/>
      <c r="C91" s="44"/>
      <c r="D91" s="45"/>
      <c r="E91" s="45"/>
      <c r="F91" s="45"/>
      <c r="G91" s="45"/>
      <c r="H91" s="45"/>
    </row>
    <row r="92" spans="1:8" x14ac:dyDescent="0.35">
      <c r="A92" s="26" t="s">
        <v>179</v>
      </c>
      <c r="B92" s="47">
        <f>'FY24'!I92</f>
        <v>0</v>
      </c>
      <c r="C92" s="5">
        <f>'FY25'!I92</f>
        <v>0</v>
      </c>
      <c r="D92" s="5">
        <f>'FY26'!AC92</f>
        <v>0</v>
      </c>
      <c r="E92" s="5">
        <f>'FY27'!AC92</f>
        <v>0</v>
      </c>
      <c r="F92" s="5">
        <f>'FY28'!AC92</f>
        <v>0</v>
      </c>
      <c r="G92" s="5">
        <f>'FY29'!AC92</f>
        <v>0</v>
      </c>
      <c r="H92" s="10">
        <f>'FY30'!AC92</f>
        <v>0</v>
      </c>
    </row>
    <row r="93" spans="1:8" x14ac:dyDescent="0.35">
      <c r="A93" s="26" t="s">
        <v>180</v>
      </c>
      <c r="B93" s="47">
        <f>'FY24'!I93</f>
        <v>0</v>
      </c>
      <c r="C93" s="5">
        <f>'FY25'!I93</f>
        <v>0</v>
      </c>
      <c r="D93" s="5">
        <f>'FY26'!AC93</f>
        <v>0</v>
      </c>
      <c r="E93" s="5">
        <f>'FY27'!AC93</f>
        <v>0</v>
      </c>
      <c r="F93" s="5">
        <f>'FY28'!AC93</f>
        <v>0</v>
      </c>
      <c r="G93" s="5">
        <f>'FY29'!AC93</f>
        <v>0</v>
      </c>
      <c r="H93" s="10">
        <f>'FY30'!AC93</f>
        <v>0</v>
      </c>
    </row>
    <row r="94" spans="1:8" x14ac:dyDescent="0.35">
      <c r="A94" s="26" t="s">
        <v>86</v>
      </c>
      <c r="B94" s="47">
        <f>'FY24'!I94</f>
        <v>0</v>
      </c>
      <c r="C94" s="5">
        <f>'FY25'!I94</f>
        <v>0</v>
      </c>
      <c r="D94" s="5">
        <f>'FY26'!AC94</f>
        <v>0</v>
      </c>
      <c r="E94" s="5">
        <f>'FY27'!AC94</f>
        <v>0</v>
      </c>
      <c r="F94" s="5">
        <f>'FY28'!AC94</f>
        <v>0</v>
      </c>
      <c r="G94" s="5">
        <f>'FY29'!AC94</f>
        <v>0</v>
      </c>
      <c r="H94" s="10">
        <f>'FY30'!AC94</f>
        <v>0</v>
      </c>
    </row>
    <row r="95" spans="1:8" x14ac:dyDescent="0.35">
      <c r="A95" s="26" t="s">
        <v>178</v>
      </c>
      <c r="B95" s="47">
        <f>'FY24'!I95</f>
        <v>0</v>
      </c>
      <c r="C95" s="5">
        <f>'FY25'!I95</f>
        <v>0</v>
      </c>
      <c r="D95" s="5">
        <f>'FY26'!AC95</f>
        <v>0</v>
      </c>
      <c r="E95" s="5">
        <f>'FY27'!AC95</f>
        <v>0</v>
      </c>
      <c r="F95" s="5">
        <f>'FY28'!AC95</f>
        <v>0</v>
      </c>
      <c r="G95" s="5">
        <f>'FY29'!AC95</f>
        <v>0</v>
      </c>
      <c r="H95" s="10">
        <f>'FY30'!AC95</f>
        <v>0</v>
      </c>
    </row>
    <row r="96" spans="1:8" x14ac:dyDescent="0.35">
      <c r="A96" s="49" t="s">
        <v>87</v>
      </c>
      <c r="B96" s="50">
        <v>0</v>
      </c>
      <c r="C96" s="50">
        <f>SUM(C92:C95)</f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</row>
    <row r="97" spans="1:8" x14ac:dyDescent="0.35">
      <c r="A97" s="150" t="s">
        <v>88</v>
      </c>
      <c r="B97" s="151">
        <f>B80+B90+B96</f>
        <v>6058496.7999999998</v>
      </c>
      <c r="C97" s="151">
        <f t="shared" ref="C97:G97" si="61">C80+C90+C96</f>
        <v>6366406.96</v>
      </c>
      <c r="D97" s="151">
        <f t="shared" si="61"/>
        <v>14472370.640000001</v>
      </c>
      <c r="E97" s="151">
        <f t="shared" si="61"/>
        <v>17864192.100000001</v>
      </c>
      <c r="F97" s="151">
        <f t="shared" si="61"/>
        <v>20682474.199999999</v>
      </c>
      <c r="G97" s="151">
        <f t="shared" si="61"/>
        <v>23171810.34</v>
      </c>
      <c r="H97" s="151">
        <f t="shared" ref="H97" si="62">H80+H90+H96</f>
        <v>25652858.25</v>
      </c>
    </row>
    <row r="98" spans="1:8" x14ac:dyDescent="0.35">
      <c r="A98" s="51" t="s">
        <v>278</v>
      </c>
      <c r="B98" s="45"/>
      <c r="C98" s="44"/>
      <c r="D98" s="45"/>
      <c r="E98" s="45"/>
      <c r="F98" s="45"/>
      <c r="G98" s="45"/>
      <c r="H98" s="45"/>
    </row>
    <row r="99" spans="1:8" x14ac:dyDescent="0.35">
      <c r="A99" s="26" t="s">
        <v>281</v>
      </c>
      <c r="B99" s="47">
        <f>'FY24'!I99</f>
        <v>160000</v>
      </c>
      <c r="C99" s="5">
        <f>'FY25'!I99</f>
        <v>0</v>
      </c>
      <c r="D99" s="5">
        <f>'FY26'!AC99</f>
        <v>0</v>
      </c>
      <c r="E99" s="5">
        <f>'FY27'!AC99</f>
        <v>0</v>
      </c>
      <c r="F99" s="5">
        <f>'FY28'!AC99</f>
        <v>0</v>
      </c>
      <c r="G99" s="5">
        <f>'FY29'!AC99</f>
        <v>0</v>
      </c>
      <c r="H99" s="10">
        <f>'FY30'!AC99</f>
        <v>0</v>
      </c>
    </row>
    <row r="100" spans="1:8" x14ac:dyDescent="0.35">
      <c r="A100" s="26" t="s">
        <v>279</v>
      </c>
      <c r="B100" s="47">
        <f>'FY24'!I100</f>
        <v>0</v>
      </c>
      <c r="C100" s="5">
        <f>'FY25'!I100</f>
        <v>0</v>
      </c>
      <c r="D100" s="5">
        <f>'FY26'!AC100</f>
        <v>0</v>
      </c>
      <c r="E100" s="5">
        <f>'FY27'!AC100</f>
        <v>0</v>
      </c>
      <c r="F100" s="5">
        <f>'FY28'!AC100</f>
        <v>0</v>
      </c>
      <c r="G100" s="5">
        <f>'FY29'!AC100</f>
        <v>0</v>
      </c>
      <c r="H100" s="10">
        <f>'FY30'!AC100</f>
        <v>0</v>
      </c>
    </row>
    <row r="101" spans="1:8" x14ac:dyDescent="0.35">
      <c r="A101" s="26"/>
      <c r="B101" s="47">
        <f>'FY24'!I101</f>
        <v>0</v>
      </c>
      <c r="C101" s="5">
        <f>'FY25'!I101</f>
        <v>0</v>
      </c>
      <c r="D101" s="5">
        <f>'FY26'!AC101</f>
        <v>0</v>
      </c>
      <c r="E101" s="5">
        <f>'FY27'!AC101</f>
        <v>0</v>
      </c>
      <c r="F101" s="5">
        <f>'FY28'!AC101</f>
        <v>0</v>
      </c>
      <c r="G101" s="5">
        <f>'FY29'!AC101</f>
        <v>0</v>
      </c>
      <c r="H101" s="10">
        <f>'FY30'!AC101</f>
        <v>0</v>
      </c>
    </row>
    <row r="102" spans="1:8" x14ac:dyDescent="0.35">
      <c r="A102" s="26"/>
      <c r="B102" s="47">
        <f>'FY24'!I102</f>
        <v>0</v>
      </c>
      <c r="C102" s="5">
        <f>'FY25'!I102</f>
        <v>0</v>
      </c>
      <c r="D102" s="5">
        <f>'FY26'!AC102</f>
        <v>0</v>
      </c>
      <c r="E102" s="5">
        <f>'FY27'!AC102</f>
        <v>0</v>
      </c>
      <c r="F102" s="5">
        <f>'FY28'!AC102</f>
        <v>0</v>
      </c>
      <c r="G102" s="5">
        <f>'FY29'!AC102</f>
        <v>0</v>
      </c>
      <c r="H102" s="10">
        <f>'FY30'!AC102</f>
        <v>0</v>
      </c>
    </row>
    <row r="103" spans="1:8" x14ac:dyDescent="0.35">
      <c r="A103" s="49" t="s">
        <v>280</v>
      </c>
      <c r="B103" s="50">
        <f>SUM(B99:B102)</f>
        <v>160000</v>
      </c>
      <c r="C103" s="50">
        <f t="shared" ref="C103:H103" si="63">SUM(C99:C102)</f>
        <v>0</v>
      </c>
      <c r="D103" s="50">
        <f t="shared" si="63"/>
        <v>0</v>
      </c>
      <c r="E103" s="50">
        <f t="shared" si="63"/>
        <v>0</v>
      </c>
      <c r="F103" s="50">
        <f t="shared" si="63"/>
        <v>0</v>
      </c>
      <c r="G103" s="50">
        <f t="shared" si="63"/>
        <v>0</v>
      </c>
      <c r="H103" s="50">
        <f t="shared" si="63"/>
        <v>0</v>
      </c>
    </row>
    <row r="104" spans="1:8" ht="15" thickBot="1" x14ac:dyDescent="0.4">
      <c r="A104" s="26"/>
      <c r="B104" s="37"/>
      <c r="C104" s="37"/>
      <c r="D104" s="37"/>
      <c r="E104" s="37"/>
      <c r="F104" s="37"/>
      <c r="G104" s="37"/>
      <c r="H104" s="37"/>
    </row>
    <row r="105" spans="1:8" ht="15" thickBot="1" x14ac:dyDescent="0.4">
      <c r="A105" s="55" t="s">
        <v>89</v>
      </c>
      <c r="B105" s="56" t="str">
        <f t="shared" ref="B105:G105" si="64">B1</f>
        <v>FY24 (23-24)</v>
      </c>
      <c r="C105" s="56" t="str">
        <f t="shared" si="64"/>
        <v>FY25 (24-25)</v>
      </c>
      <c r="D105" s="56" t="str">
        <f t="shared" si="64"/>
        <v>FY26 (25-26)</v>
      </c>
      <c r="E105" s="56" t="str">
        <f t="shared" si="64"/>
        <v>FY27 (26-27)</v>
      </c>
      <c r="F105" s="56" t="str">
        <f t="shared" si="64"/>
        <v>FY28 (27-28)</v>
      </c>
      <c r="G105" s="56" t="str">
        <f t="shared" si="64"/>
        <v>FY29 (28-29)</v>
      </c>
      <c r="H105" s="56" t="str">
        <f t="shared" ref="H105" si="65">H1</f>
        <v>FY30 (29-30)</v>
      </c>
    </row>
    <row r="106" spans="1:8" x14ac:dyDescent="0.35">
      <c r="A106" s="43" t="s">
        <v>90</v>
      </c>
      <c r="B106" s="45"/>
      <c r="C106" s="44"/>
      <c r="D106" s="45"/>
      <c r="E106" s="45"/>
      <c r="F106" s="45"/>
      <c r="G106" s="45"/>
      <c r="H106" s="45"/>
    </row>
    <row r="107" spans="1:8" x14ac:dyDescent="0.35">
      <c r="A107" s="26" t="s">
        <v>40</v>
      </c>
      <c r="B107" s="47">
        <f>'FY24'!I107</f>
        <v>143000</v>
      </c>
      <c r="C107" s="5">
        <f>'FY25'!I107</f>
        <v>147290</v>
      </c>
      <c r="D107" s="5">
        <f>'FY26'!AC107</f>
        <v>260000</v>
      </c>
      <c r="E107" s="5">
        <f>'FY27'!AC107</f>
        <v>265700</v>
      </c>
      <c r="F107" s="5">
        <f>'FY28'!AC107</f>
        <v>276540.80999999994</v>
      </c>
      <c r="G107" s="5">
        <f>'FY29'!AC107</f>
        <v>284253.02674649993</v>
      </c>
      <c r="H107" s="10">
        <f>'FY30'!AC107</f>
        <v>288255.74553645437</v>
      </c>
    </row>
    <row r="108" spans="1:8" x14ac:dyDescent="0.35">
      <c r="A108" s="26" t="s">
        <v>91</v>
      </c>
      <c r="B108" s="47">
        <f>'FY24'!I108</f>
        <v>115000</v>
      </c>
      <c r="C108" s="5">
        <f>'FY25'!I108</f>
        <v>118450</v>
      </c>
      <c r="D108" s="5">
        <f>'FY26'!AC108</f>
        <v>200000</v>
      </c>
      <c r="E108" s="5">
        <f>'FY27'!AC108</f>
        <v>302393.87499999994</v>
      </c>
      <c r="F108" s="5">
        <f>'FY28'!AC108</f>
        <v>311007.9287874999</v>
      </c>
      <c r="G108" s="5">
        <f>'FY29'!AC108</f>
        <v>411071.21564862493</v>
      </c>
      <c r="H108" s="10">
        <f>'FY30'!AC108</f>
        <v>423438.11609744828</v>
      </c>
    </row>
    <row r="109" spans="1:8" x14ac:dyDescent="0.35">
      <c r="A109" s="26" t="s">
        <v>34</v>
      </c>
      <c r="B109" s="47">
        <f>'FY24'!I109</f>
        <v>0</v>
      </c>
      <c r="C109" s="5">
        <f>'FY25'!I109</f>
        <v>0</v>
      </c>
      <c r="D109" s="5">
        <f>'FY26'!AC109</f>
        <v>80000</v>
      </c>
      <c r="E109" s="5">
        <f>'FY27'!AC109</f>
        <v>81199.999999999985</v>
      </c>
      <c r="F109" s="5">
        <f>'FY28'!AC109</f>
        <v>83654.26999999996</v>
      </c>
      <c r="G109" s="5">
        <f>'FY29'!AC109</f>
        <v>84490.812699999966</v>
      </c>
      <c r="H109" s="10">
        <f>'FY30'!AC109</f>
        <v>86012.902142649938</v>
      </c>
    </row>
    <row r="110" spans="1:8" x14ac:dyDescent="0.35">
      <c r="A110" s="27" t="s">
        <v>36</v>
      </c>
      <c r="B110" s="47">
        <f>'FY24'!I110</f>
        <v>158050</v>
      </c>
      <c r="C110" s="5">
        <f>'FY25'!I110</f>
        <v>162791.5</v>
      </c>
      <c r="D110" s="5">
        <f>'FY26'!AC110</f>
        <v>0</v>
      </c>
      <c r="E110" s="5">
        <f>'FY27'!AC110</f>
        <v>0</v>
      </c>
      <c r="F110" s="5">
        <f>'FY28'!AC110</f>
        <v>0</v>
      </c>
      <c r="G110" s="5">
        <f>'FY29'!AC110</f>
        <v>0</v>
      </c>
      <c r="H110" s="10">
        <f>'FY30'!AC110</f>
        <v>0</v>
      </c>
    </row>
    <row r="111" spans="1:8" x14ac:dyDescent="0.35">
      <c r="A111" s="27" t="s">
        <v>38</v>
      </c>
      <c r="B111" s="47">
        <f>'FY24'!I111</f>
        <v>114050</v>
      </c>
      <c r="C111" s="5">
        <f>'FY25'!I111</f>
        <v>117471.5</v>
      </c>
      <c r="D111" s="5">
        <f>'FY26'!AC111</f>
        <v>87500</v>
      </c>
      <c r="E111" s="5">
        <f>'FY27'!AC111</f>
        <v>170012.49999999997</v>
      </c>
      <c r="F111" s="5">
        <f>'FY28'!AC111</f>
        <v>257453.22749999989</v>
      </c>
      <c r="G111" s="5">
        <f>'FY29'!AC111</f>
        <v>260478.48321249988</v>
      </c>
      <c r="H111" s="10">
        <f>'FY30'!AC111</f>
        <v>264895.11496498733</v>
      </c>
    </row>
    <row r="112" spans="1:8" x14ac:dyDescent="0.35">
      <c r="A112" s="26" t="s">
        <v>92</v>
      </c>
      <c r="B112" s="47">
        <f>'FY24'!I112</f>
        <v>0</v>
      </c>
      <c r="C112" s="5">
        <f>'FY25'!I112</f>
        <v>0</v>
      </c>
      <c r="D112" s="5">
        <f>'FY26'!AC112</f>
        <v>87500</v>
      </c>
      <c r="E112" s="5">
        <f>'FY27'!AC112</f>
        <v>170012.49999999997</v>
      </c>
      <c r="F112" s="5">
        <f>'FY28'!AC112</f>
        <v>257453.22749999989</v>
      </c>
      <c r="G112" s="5">
        <f>'FY29'!AC112</f>
        <v>260478.48321249988</v>
      </c>
      <c r="H112" s="10">
        <f>'FY30'!AC112</f>
        <v>350908.01710763731</v>
      </c>
    </row>
    <row r="113" spans="1:8" x14ac:dyDescent="0.35">
      <c r="A113" s="26" t="s">
        <v>93</v>
      </c>
      <c r="B113" s="47">
        <f>'FY24'!I113</f>
        <v>73200</v>
      </c>
      <c r="C113" s="5">
        <f>'FY25'!I113</f>
        <v>75396</v>
      </c>
      <c r="D113" s="5">
        <f>'FY26'!AC113</f>
        <v>0</v>
      </c>
      <c r="E113" s="5">
        <f>'FY27'!AC113</f>
        <v>0</v>
      </c>
      <c r="F113" s="5">
        <f>'FY28'!AC113</f>
        <v>78425.878124999959</v>
      </c>
      <c r="G113" s="5">
        <f>'FY29'!AC113</f>
        <v>79210.136906249958</v>
      </c>
      <c r="H113" s="10">
        <f>'FY30'!AC113</f>
        <v>80637.095758734315</v>
      </c>
    </row>
    <row r="114" spans="1:8" x14ac:dyDescent="0.35">
      <c r="A114" s="26" t="s">
        <v>94</v>
      </c>
      <c r="B114" s="47">
        <f>'FY24'!I114</f>
        <v>1320000</v>
      </c>
      <c r="C114" s="5">
        <f>'FY25'!I114</f>
        <v>1359600</v>
      </c>
      <c r="D114" s="5">
        <f>'FY26'!AC114</f>
        <v>3283475</v>
      </c>
      <c r="E114" s="5">
        <f>'FY27'!AC114</f>
        <v>3882650</v>
      </c>
      <c r="F114" s="5">
        <f>'FY28'!AC114</f>
        <v>4457745</v>
      </c>
      <c r="G114" s="5">
        <f>'FY29'!AC114</f>
        <v>4959000</v>
      </c>
      <c r="H114" s="10">
        <f>'FY30'!AC114</f>
        <v>5486300</v>
      </c>
    </row>
    <row r="115" spans="1:8" x14ac:dyDescent="0.35">
      <c r="A115" s="26" t="s">
        <v>27</v>
      </c>
      <c r="B115" s="47">
        <f>'FY24'!I115</f>
        <v>180000</v>
      </c>
      <c r="C115" s="5">
        <f>'FY25'!I115</f>
        <v>185400</v>
      </c>
      <c r="D115" s="5">
        <f>'FY26'!AC115</f>
        <v>369675</v>
      </c>
      <c r="E115" s="5">
        <f>'FY27'!AC115</f>
        <v>413725</v>
      </c>
      <c r="F115" s="5">
        <f>'FY28'!AC115</f>
        <v>484537.5</v>
      </c>
      <c r="G115" s="5">
        <f>'FY29'!AC115</f>
        <v>554625</v>
      </c>
      <c r="H115" s="10">
        <f>'FY30'!AC115</f>
        <v>661000</v>
      </c>
    </row>
    <row r="116" spans="1:8" x14ac:dyDescent="0.35">
      <c r="A116" s="26" t="s">
        <v>95</v>
      </c>
      <c r="B116" s="47">
        <f>'FY24'!I116</f>
        <v>117200</v>
      </c>
      <c r="C116" s="5">
        <f>'FY25'!I116</f>
        <v>120716</v>
      </c>
      <c r="D116" s="5">
        <f>'FY26'!AC116</f>
        <v>229526.74</v>
      </c>
      <c r="E116" s="5">
        <f>'FY27'!AC116</f>
        <v>237689.39109999995</v>
      </c>
      <c r="F116" s="5">
        <f>'FY28'!AC116</f>
        <v>263382.37512712495</v>
      </c>
      <c r="G116" s="5">
        <f>'FY29'!AC116</f>
        <v>268714.19887839619</v>
      </c>
      <c r="H116" s="10">
        <f>'FY30'!AC116</f>
        <v>311004.81668305513</v>
      </c>
    </row>
    <row r="117" spans="1:8" x14ac:dyDescent="0.35">
      <c r="A117" s="26" t="s">
        <v>96</v>
      </c>
      <c r="B117" s="47">
        <f>'FY24'!I117</f>
        <v>33120</v>
      </c>
      <c r="C117" s="5">
        <f>'FY25'!I117</f>
        <v>34113.599999999999</v>
      </c>
      <c r="D117" s="5">
        <f>'FY26'!AC117</f>
        <v>64225.303999999996</v>
      </c>
      <c r="E117" s="5">
        <f>'FY27'!AC117</f>
        <v>106184.68355999999</v>
      </c>
      <c r="F117" s="5">
        <f>'FY28'!AC117</f>
        <v>124471.8538134</v>
      </c>
      <c r="G117" s="5">
        <f>'FY29'!AC117</f>
        <v>108548.57235153399</v>
      </c>
      <c r="H117" s="10">
        <f>'FY30'!AC117</f>
        <v>110496.94379210394</v>
      </c>
    </row>
    <row r="118" spans="1:8" x14ac:dyDescent="0.35">
      <c r="A118" s="26" t="s">
        <v>292</v>
      </c>
      <c r="B118" s="47">
        <f>'FY24'!I118</f>
        <v>252000</v>
      </c>
      <c r="C118" s="5">
        <f>'FY25'!I118</f>
        <v>294840</v>
      </c>
      <c r="D118" s="5">
        <f>'FY26'!AC118</f>
        <v>466560</v>
      </c>
      <c r="E118" s="5">
        <f>'FY27'!AC118</f>
        <v>662400</v>
      </c>
      <c r="F118" s="5">
        <f>'FY28'!AC118</f>
        <v>734400</v>
      </c>
      <c r="G118" s="5">
        <f>'FY29'!AC118</f>
        <v>846720</v>
      </c>
      <c r="H118" s="10">
        <f>'FY30'!AC118</f>
        <v>1044000</v>
      </c>
    </row>
    <row r="119" spans="1:8" x14ac:dyDescent="0.35">
      <c r="A119" s="26" t="s">
        <v>97</v>
      </c>
      <c r="B119" s="47">
        <f>'FY24'!I119</f>
        <v>0</v>
      </c>
      <c r="C119" s="5">
        <f>'FY25'!I119</f>
        <v>0</v>
      </c>
      <c r="D119" s="5">
        <f>'FY26'!AC119</f>
        <v>76800</v>
      </c>
      <c r="E119" s="5">
        <f>'FY27'!AC119</f>
        <v>110400</v>
      </c>
      <c r="F119" s="5">
        <f>'FY28'!AC119</f>
        <v>138240</v>
      </c>
      <c r="G119" s="5">
        <f>'FY29'!AC119</f>
        <v>235200</v>
      </c>
      <c r="H119" s="10">
        <f>'FY30'!AC119</f>
        <v>288000</v>
      </c>
    </row>
    <row r="120" spans="1:8" x14ac:dyDescent="0.35">
      <c r="A120" s="26" t="s">
        <v>56</v>
      </c>
      <c r="B120" s="47">
        <f>'FY24'!I120</f>
        <v>0</v>
      </c>
      <c r="C120" s="5">
        <f>'FY25'!I120</f>
        <v>0</v>
      </c>
      <c r="D120" s="5">
        <f>'FY26'!AC120</f>
        <v>45000</v>
      </c>
      <c r="E120" s="5">
        <f>'FY27'!AC120</f>
        <v>47500</v>
      </c>
      <c r="F120" s="5">
        <f>'FY28'!AC120</f>
        <v>50000</v>
      </c>
      <c r="G120" s="5">
        <f>'FY29'!AC120</f>
        <v>50500</v>
      </c>
      <c r="H120" s="10">
        <f>'FY30'!AC120</f>
        <v>56000</v>
      </c>
    </row>
    <row r="121" spans="1:8" x14ac:dyDescent="0.35">
      <c r="A121" s="57" t="s">
        <v>98</v>
      </c>
      <c r="B121" s="58">
        <f>SUM(B107:B120)</f>
        <v>2505620</v>
      </c>
      <c r="C121" s="58">
        <f t="shared" ref="C121:G121" si="66">SUM(C107:C120)</f>
        <v>2616068.6</v>
      </c>
      <c r="D121" s="58">
        <f t="shared" si="66"/>
        <v>5250262.0439999998</v>
      </c>
      <c r="E121" s="58">
        <f t="shared" si="66"/>
        <v>6449867.9496599995</v>
      </c>
      <c r="F121" s="58">
        <f t="shared" si="66"/>
        <v>7517312.0708530238</v>
      </c>
      <c r="G121" s="58">
        <f t="shared" si="66"/>
        <v>8403289.9296563044</v>
      </c>
      <c r="H121" s="58">
        <f t="shared" ref="H121" si="67">SUM(H107:H120)</f>
        <v>9450948.7520830706</v>
      </c>
    </row>
    <row r="122" spans="1:8" x14ac:dyDescent="0.35">
      <c r="A122" s="59" t="s">
        <v>99</v>
      </c>
      <c r="B122" s="45"/>
      <c r="C122" s="44"/>
      <c r="D122" s="45"/>
      <c r="E122" s="45"/>
      <c r="F122" s="45"/>
      <c r="G122" s="45"/>
      <c r="H122" s="45"/>
    </row>
    <row r="123" spans="1:8" x14ac:dyDescent="0.35">
      <c r="A123" s="26" t="s">
        <v>42</v>
      </c>
      <c r="B123" s="47">
        <f>'FY24'!I123</f>
        <v>0</v>
      </c>
      <c r="C123" s="5">
        <f>'FY25'!I123</f>
        <v>0</v>
      </c>
      <c r="D123" s="5">
        <f>'FY26'!AC123</f>
        <v>0</v>
      </c>
      <c r="E123" s="5">
        <f>'FY27'!AC123</f>
        <v>0</v>
      </c>
      <c r="F123" s="5">
        <f>'FY28'!AC123</f>
        <v>0</v>
      </c>
      <c r="G123" s="5">
        <f>'FY29'!AC123</f>
        <v>0</v>
      </c>
      <c r="H123" s="10">
        <f>'FY30'!AC123</f>
        <v>0</v>
      </c>
    </row>
    <row r="124" spans="1:8" x14ac:dyDescent="0.35">
      <c r="A124" s="26" t="s">
        <v>43</v>
      </c>
      <c r="B124" s="47">
        <f>'FY24'!I124</f>
        <v>57500</v>
      </c>
      <c r="C124" s="5">
        <f>'FY25'!I124</f>
        <v>59225</v>
      </c>
      <c r="D124" s="5">
        <f>'FY26'!AC124</f>
        <v>60113.374999999993</v>
      </c>
      <c r="E124" s="5">
        <f>'FY27'!AC124</f>
        <v>63000</v>
      </c>
      <c r="F124" s="5">
        <f>'FY28'!AC124</f>
        <v>64000</v>
      </c>
      <c r="G124" s="5">
        <f>'FY29'!AC124</f>
        <v>64640</v>
      </c>
      <c r="H124" s="10">
        <f>'FY30'!AC124</f>
        <v>65480.319999999992</v>
      </c>
    </row>
    <row r="125" spans="1:8" x14ac:dyDescent="0.35">
      <c r="A125" s="26" t="s">
        <v>44</v>
      </c>
      <c r="B125" s="47">
        <f>'FY24'!I125</f>
        <v>0</v>
      </c>
      <c r="C125" s="5">
        <f>'FY25'!I125</f>
        <v>0</v>
      </c>
      <c r="D125" s="5">
        <f>'FY26'!AC125</f>
        <v>0</v>
      </c>
      <c r="E125" s="5">
        <f>'FY27'!AC125</f>
        <v>0</v>
      </c>
      <c r="F125" s="5">
        <f>'FY28'!AC125</f>
        <v>0</v>
      </c>
      <c r="G125" s="5">
        <f>'FY29'!AC125</f>
        <v>0</v>
      </c>
      <c r="H125" s="10">
        <f>'FY30'!AC125</f>
        <v>0</v>
      </c>
    </row>
    <row r="126" spans="1:8" x14ac:dyDescent="0.35">
      <c r="A126" s="26" t="s">
        <v>100</v>
      </c>
      <c r="B126" s="47">
        <f>'FY24'!I126</f>
        <v>0</v>
      </c>
      <c r="C126" s="5">
        <f>'FY25'!I126</f>
        <v>0</v>
      </c>
      <c r="D126" s="5">
        <f>'FY26'!AC126</f>
        <v>0</v>
      </c>
      <c r="E126" s="5">
        <f>'FY27'!AC126</f>
        <v>0</v>
      </c>
      <c r="F126" s="5">
        <f>'FY28'!AC126</f>
        <v>0</v>
      </c>
      <c r="G126" s="5">
        <f>'FY29'!AC126</f>
        <v>0</v>
      </c>
      <c r="H126" s="10">
        <f>'FY30'!AC126</f>
        <v>0</v>
      </c>
    </row>
    <row r="127" spans="1:8" x14ac:dyDescent="0.35">
      <c r="A127" s="26" t="s">
        <v>47</v>
      </c>
      <c r="B127" s="47">
        <f>'FY24'!I127</f>
        <v>0</v>
      </c>
      <c r="C127" s="5">
        <f>'FY25'!I127</f>
        <v>0</v>
      </c>
      <c r="D127" s="5">
        <f>'FY26'!AC127</f>
        <v>0</v>
      </c>
      <c r="E127" s="5">
        <f>'FY27'!AC127</f>
        <v>0</v>
      </c>
      <c r="F127" s="5">
        <f>'FY28'!AC127</f>
        <v>0</v>
      </c>
      <c r="G127" s="5">
        <f>'FY29'!AC127</f>
        <v>0</v>
      </c>
      <c r="H127" s="10">
        <f>'FY30'!AC127</f>
        <v>0</v>
      </c>
    </row>
    <row r="128" spans="1:8" x14ac:dyDescent="0.35">
      <c r="A128" s="26" t="s">
        <v>276</v>
      </c>
      <c r="B128" s="47">
        <f>'FY24'!I128</f>
        <v>0</v>
      </c>
      <c r="C128" s="5">
        <f>'FY25'!I128</f>
        <v>0</v>
      </c>
      <c r="D128" s="5">
        <f>'FY26'!AC128</f>
        <v>0</v>
      </c>
      <c r="E128" s="5">
        <f>'FY27'!AC128</f>
        <v>0</v>
      </c>
      <c r="F128" s="5">
        <f>'FY28'!AC128</f>
        <v>0</v>
      </c>
      <c r="G128" s="5">
        <f>'FY29'!AC128</f>
        <v>0</v>
      </c>
      <c r="H128" s="10">
        <f>'FY30'!AC128</f>
        <v>0</v>
      </c>
    </row>
    <row r="129" spans="1:14" x14ac:dyDescent="0.35">
      <c r="A129" s="26" t="s">
        <v>306</v>
      </c>
      <c r="B129" s="47">
        <f>'FY24'!I129</f>
        <v>0</v>
      </c>
      <c r="C129" s="5">
        <f>'FY25'!I129</f>
        <v>0</v>
      </c>
      <c r="D129" s="5">
        <f>'FY26'!AC129</f>
        <v>0</v>
      </c>
      <c r="E129" s="5">
        <f>'FY27'!AC129</f>
        <v>0</v>
      </c>
      <c r="F129" s="5">
        <f>'FY28'!AC129</f>
        <v>0</v>
      </c>
      <c r="G129" s="5">
        <f>'FY29'!AC129</f>
        <v>0</v>
      </c>
      <c r="H129" s="10">
        <f>'FY30'!AC129</f>
        <v>0</v>
      </c>
    </row>
    <row r="130" spans="1:14" x14ac:dyDescent="0.35">
      <c r="A130" s="26" t="s">
        <v>55</v>
      </c>
      <c r="B130" s="47">
        <f>'FY24'!I130</f>
        <v>0</v>
      </c>
      <c r="C130" s="5">
        <f>'FY25'!I130</f>
        <v>0</v>
      </c>
      <c r="D130" s="5">
        <f>'FY26'!AC130</f>
        <v>0</v>
      </c>
      <c r="E130" s="5">
        <f>'FY27'!AC130</f>
        <v>0</v>
      </c>
      <c r="F130" s="5">
        <f>'FY28'!AC130</f>
        <v>0</v>
      </c>
      <c r="G130" s="5">
        <f>'FY29'!AC130</f>
        <v>0</v>
      </c>
      <c r="H130" s="10">
        <f>'FY30'!AC130</f>
        <v>0</v>
      </c>
    </row>
    <row r="131" spans="1:14" x14ac:dyDescent="0.35">
      <c r="A131" s="60" t="s">
        <v>101</v>
      </c>
      <c r="B131" s="61">
        <f>SUM(B123:B130)</f>
        <v>57500</v>
      </c>
      <c r="C131" s="61">
        <f t="shared" ref="C131:G131" si="68">SUM(C123:C130)</f>
        <v>59225</v>
      </c>
      <c r="D131" s="61">
        <f t="shared" si="68"/>
        <v>60113.374999999993</v>
      </c>
      <c r="E131" s="61">
        <f t="shared" si="68"/>
        <v>63000</v>
      </c>
      <c r="F131" s="61">
        <f t="shared" si="68"/>
        <v>64000</v>
      </c>
      <c r="G131" s="61">
        <f t="shared" si="68"/>
        <v>64640</v>
      </c>
      <c r="H131" s="61">
        <f t="shared" ref="H131" si="69">SUM(H123:H130)</f>
        <v>65480.319999999992</v>
      </c>
    </row>
    <row r="132" spans="1:14" x14ac:dyDescent="0.35">
      <c r="A132" s="62" t="s">
        <v>102</v>
      </c>
      <c r="B132" s="63">
        <f t="shared" ref="B132" si="70">B121+B131</f>
        <v>2563120</v>
      </c>
      <c r="C132" s="63">
        <f t="shared" ref="C132:G132" si="71">C121+C131</f>
        <v>2675293.6</v>
      </c>
      <c r="D132" s="63">
        <f t="shared" si="71"/>
        <v>5310375.4189999998</v>
      </c>
      <c r="E132" s="63">
        <f t="shared" si="71"/>
        <v>6512867.9496599995</v>
      </c>
      <c r="F132" s="63">
        <f t="shared" si="71"/>
        <v>7581312.0708530238</v>
      </c>
      <c r="G132" s="63">
        <f t="shared" si="71"/>
        <v>8467929.9296563044</v>
      </c>
      <c r="H132" s="63">
        <f t="shared" ref="H132" si="72">H121+H131</f>
        <v>9516429.0720830709</v>
      </c>
    </row>
    <row r="133" spans="1:14" x14ac:dyDescent="0.35">
      <c r="A133" s="26" t="s">
        <v>258</v>
      </c>
      <c r="B133" s="47">
        <f>'FY24'!I133</f>
        <v>858645.20000000007</v>
      </c>
      <c r="C133" s="5">
        <f>'FY25'!I133</f>
        <v>896223.35600000015</v>
      </c>
      <c r="D133" s="5">
        <f>'FY26'!AC133</f>
        <v>1778975.7653649999</v>
      </c>
      <c r="E133" s="5">
        <f>'FY27'!AC133</f>
        <v>2181810.7631361</v>
      </c>
      <c r="F133" s="5">
        <f>'FY28'!AC133</f>
        <v>2539739.5437357631</v>
      </c>
      <c r="G133" s="5">
        <f>'FY29'!AC133</f>
        <v>2836756.5264348621</v>
      </c>
      <c r="H133" s="10">
        <f>'FY30'!AC133</f>
        <v>3188003.7391478289</v>
      </c>
    </row>
    <row r="134" spans="1:14" x14ac:dyDescent="0.35">
      <c r="A134" s="26" t="s">
        <v>103</v>
      </c>
      <c r="B134" s="47">
        <f>'FY24'!I134</f>
        <v>332037.89999999997</v>
      </c>
      <c r="C134" s="5">
        <f>'FY25'!I134</f>
        <v>358403.26199999999</v>
      </c>
      <c r="D134" s="5">
        <f>'FY26'!AC134</f>
        <v>733335.24385500001</v>
      </c>
      <c r="E134" s="5">
        <f>'FY27'!AC134</f>
        <v>934729.35773469997</v>
      </c>
      <c r="F134" s="5">
        <f>'FY28'!AC134</f>
        <v>1117354.2931883861</v>
      </c>
      <c r="G134" s="5">
        <f>'FY29'!AC134</f>
        <v>1280623.0968345338</v>
      </c>
      <c r="H134" s="10">
        <f>'FY30'!AC134</f>
        <v>1486234.7082437382</v>
      </c>
      <c r="J134" s="153">
        <f>SUM(B133:B134)/B132</f>
        <v>0.46454442242267241</v>
      </c>
      <c r="K134" s="153">
        <f>SUM(C133:C134)/C132</f>
        <v>0.46896782394276282</v>
      </c>
      <c r="L134" s="153">
        <f>SUM(D133:D134)/D132</f>
        <v>0.47309480234320134</v>
      </c>
      <c r="M134" s="153">
        <f>SUM(E133:E134)/E132</f>
        <v>0.47852039147108716</v>
      </c>
      <c r="N134" s="153">
        <f>SUM(F133:F134)/F132</f>
        <v>0.48238270668004113</v>
      </c>
    </row>
    <row r="135" spans="1:14" x14ac:dyDescent="0.35">
      <c r="A135" s="26" t="s">
        <v>104</v>
      </c>
      <c r="B135" s="47">
        <f>'FY24'!I135</f>
        <v>58807.5</v>
      </c>
      <c r="C135" s="5">
        <f>'FY25'!I135</f>
        <v>43560</v>
      </c>
      <c r="D135" s="5">
        <f>'FY26'!AC135</f>
        <v>57757.5</v>
      </c>
      <c r="E135" s="5">
        <f>'FY27'!AC135</f>
        <v>101475</v>
      </c>
      <c r="F135" s="5">
        <f>'FY28'!AC135</f>
        <v>116820</v>
      </c>
      <c r="G135" s="5">
        <f>'FY29'!AC135</f>
        <v>149507.5</v>
      </c>
      <c r="H135" s="10">
        <f>'FY30'!AC135</f>
        <v>163477.5</v>
      </c>
    </row>
    <row r="136" spans="1:14" x14ac:dyDescent="0.35">
      <c r="A136" s="26" t="s">
        <v>105</v>
      </c>
      <c r="B136" s="47">
        <f>'FY24'!I136</f>
        <v>7500</v>
      </c>
      <c r="C136" s="5">
        <f>'FY25'!I136</f>
        <v>7562.5</v>
      </c>
      <c r="D136" s="5">
        <f>'FY26'!AC136</f>
        <v>15187.5</v>
      </c>
      <c r="E136" s="5">
        <f>'FY27'!AC136</f>
        <v>17375</v>
      </c>
      <c r="F136" s="5">
        <f>'FY28'!AC136</f>
        <v>19312.5</v>
      </c>
      <c r="G136" s="5">
        <f>'FY29'!AC136</f>
        <v>23437.5</v>
      </c>
      <c r="H136" s="10">
        <f>'FY30'!AC136</f>
        <v>23000</v>
      </c>
    </row>
    <row r="137" spans="1:14" x14ac:dyDescent="0.35">
      <c r="A137" s="26" t="s">
        <v>106</v>
      </c>
      <c r="B137" s="47">
        <f>'FY24'!I137</f>
        <v>50000</v>
      </c>
      <c r="C137" s="5">
        <f>'FY25'!I137</f>
        <v>51500</v>
      </c>
      <c r="D137" s="5">
        <f>'FY26'!AC137</f>
        <v>52272.499999999993</v>
      </c>
      <c r="E137" s="5">
        <f>'FY27'!AC137</f>
        <v>53056.587499999987</v>
      </c>
      <c r="F137" s="5">
        <f>'FY28'!AC137</f>
        <v>53852.43631249998</v>
      </c>
      <c r="G137" s="5">
        <f>'FY29'!AC137</f>
        <v>53852.43631249998</v>
      </c>
      <c r="H137" s="10">
        <f>'FY30'!AC137</f>
        <v>53852.43631249998</v>
      </c>
    </row>
    <row r="138" spans="1:14" x14ac:dyDescent="0.35">
      <c r="A138" s="26" t="s">
        <v>107</v>
      </c>
      <c r="B138" s="47">
        <f>'FY24'!I138</f>
        <v>0</v>
      </c>
      <c r="C138" s="5">
        <f>'FY25'!I138</f>
        <v>0</v>
      </c>
      <c r="D138" s="5">
        <f>'FY26'!AC138</f>
        <v>0</v>
      </c>
      <c r="E138" s="5">
        <f>'FY27'!AC138</f>
        <v>0</v>
      </c>
      <c r="F138" s="5">
        <f>'FY28'!AC138</f>
        <v>0</v>
      </c>
      <c r="G138" s="5">
        <f>'FY29'!AC138</f>
        <v>0</v>
      </c>
      <c r="H138" s="10">
        <f>'FY30'!AC138</f>
        <v>0</v>
      </c>
    </row>
    <row r="139" spans="1:14" x14ac:dyDescent="0.35">
      <c r="A139" s="26" t="s">
        <v>108</v>
      </c>
      <c r="B139" s="47">
        <f>'FY24'!I139</f>
        <v>10500</v>
      </c>
      <c r="C139" s="5">
        <f>'FY25'!I139</f>
        <v>12500</v>
      </c>
      <c r="D139" s="5">
        <f>'FY26'!AC139</f>
        <v>24000</v>
      </c>
      <c r="E139" s="5">
        <f>'FY27'!AC139</f>
        <v>24000</v>
      </c>
      <c r="F139" s="5">
        <f>'FY28'!AC139</f>
        <v>28500</v>
      </c>
      <c r="G139" s="5">
        <f>'FY29'!AC139</f>
        <v>28500</v>
      </c>
      <c r="H139" s="10">
        <f>'FY30'!AC139</f>
        <v>38000</v>
      </c>
    </row>
    <row r="140" spans="1:14" x14ac:dyDescent="0.35">
      <c r="A140" s="26" t="s">
        <v>322</v>
      </c>
      <c r="B140" s="47">
        <f>'FY24'!I140</f>
        <v>50875</v>
      </c>
      <c r="C140" s="5">
        <f>'FY25'!I140</f>
        <v>52250</v>
      </c>
      <c r="D140" s="5">
        <f>'FY26'!AC140</f>
        <v>124355</v>
      </c>
      <c r="E140" s="5">
        <f>'FY27'!AC140</f>
        <v>141075</v>
      </c>
      <c r="F140" s="5">
        <f>'FY28'!AC140</f>
        <v>159885</v>
      </c>
      <c r="G140" s="5">
        <f>'FY29'!AC140</f>
        <v>176605</v>
      </c>
      <c r="H140" s="10">
        <f>'FY30'!AC140</f>
        <v>194370</v>
      </c>
    </row>
    <row r="141" spans="1:14" x14ac:dyDescent="0.35">
      <c r="A141" s="64" t="s">
        <v>109</v>
      </c>
      <c r="B141" s="65">
        <f>SUM(B133:B140)</f>
        <v>1368365.6</v>
      </c>
      <c r="C141" s="65">
        <f t="shared" ref="C141:G141" si="73">SUM(C133:C140)</f>
        <v>1421999.1180000002</v>
      </c>
      <c r="D141" s="65">
        <f t="shared" si="73"/>
        <v>2785883.5092199999</v>
      </c>
      <c r="E141" s="65">
        <f t="shared" si="73"/>
        <v>3453521.7083707997</v>
      </c>
      <c r="F141" s="65">
        <f t="shared" si="73"/>
        <v>4035463.7732366491</v>
      </c>
      <c r="G141" s="65">
        <f t="shared" si="73"/>
        <v>4549282.0595818963</v>
      </c>
      <c r="H141" s="65">
        <f t="shared" ref="H141" si="74">SUM(H133:H140)</f>
        <v>5146938.3837040672</v>
      </c>
    </row>
    <row r="142" spans="1:14" x14ac:dyDescent="0.35">
      <c r="A142" s="62" t="s">
        <v>110</v>
      </c>
      <c r="B142" s="63">
        <f t="shared" ref="B142" si="75">B132+B141</f>
        <v>3931485.6</v>
      </c>
      <c r="C142" s="63">
        <f t="shared" ref="C142:G142" si="76">C132+C141</f>
        <v>4097292.7180000003</v>
      </c>
      <c r="D142" s="63">
        <f t="shared" si="76"/>
        <v>8096258.9282200001</v>
      </c>
      <c r="E142" s="63">
        <f t="shared" si="76"/>
        <v>9966389.6580307987</v>
      </c>
      <c r="F142" s="63">
        <f t="shared" si="76"/>
        <v>11616775.844089672</v>
      </c>
      <c r="G142" s="63">
        <f t="shared" si="76"/>
        <v>13017211.989238201</v>
      </c>
      <c r="H142" s="63">
        <f t="shared" ref="H142" si="77">H132+H141</f>
        <v>14663367.455787137</v>
      </c>
    </row>
    <row r="143" spans="1:14" x14ac:dyDescent="0.35">
      <c r="A143" s="66" t="s">
        <v>256</v>
      </c>
      <c r="B143" s="15" t="str">
        <f t="shared" ref="B143:G143" si="78">B1</f>
        <v>FY24 (23-24)</v>
      </c>
      <c r="C143" s="15" t="str">
        <f t="shared" si="78"/>
        <v>FY25 (24-25)</v>
      </c>
      <c r="D143" s="15" t="str">
        <f t="shared" si="78"/>
        <v>FY26 (25-26)</v>
      </c>
      <c r="E143" s="15" t="str">
        <f t="shared" si="78"/>
        <v>FY27 (26-27)</v>
      </c>
      <c r="F143" s="15" t="str">
        <f t="shared" si="78"/>
        <v>FY28 (27-28)</v>
      </c>
      <c r="G143" s="15" t="str">
        <f t="shared" si="78"/>
        <v>FY29 (28-29)</v>
      </c>
      <c r="H143" s="15" t="str">
        <f t="shared" ref="H143" si="79">H1</f>
        <v>FY30 (29-30)</v>
      </c>
    </row>
    <row r="144" spans="1:14" x14ac:dyDescent="0.35">
      <c r="A144" s="67" t="s">
        <v>111</v>
      </c>
      <c r="B144" s="47">
        <f>'FY24'!I144</f>
        <v>102090</v>
      </c>
      <c r="C144" s="5">
        <f>'FY25'!I144</f>
        <v>107070</v>
      </c>
      <c r="D144" s="5">
        <f>'FY26'!AC144</f>
        <v>221185</v>
      </c>
      <c r="E144" s="5">
        <f>'FY27'!AC144</f>
        <v>323840</v>
      </c>
      <c r="F144" s="5">
        <f>'FY28'!AC144</f>
        <v>386400</v>
      </c>
      <c r="G144" s="5">
        <f>'FY29'!AC144</f>
        <v>444750</v>
      </c>
      <c r="H144" s="10">
        <f>'FY30'!AC144</f>
        <v>490875</v>
      </c>
    </row>
    <row r="145" spans="1:14" x14ac:dyDescent="0.35">
      <c r="A145" s="68" t="s">
        <v>112</v>
      </c>
      <c r="B145" s="47">
        <f>'FY24'!I145</f>
        <v>0</v>
      </c>
      <c r="C145" s="5">
        <f>'FY25'!I145</f>
        <v>0</v>
      </c>
      <c r="D145" s="5">
        <f>'FY26'!AC145</f>
        <v>0</v>
      </c>
      <c r="E145" s="5">
        <f>'FY27'!AC145</f>
        <v>0</v>
      </c>
      <c r="F145" s="5">
        <f>'FY28'!AC145</f>
        <v>0</v>
      </c>
      <c r="G145" s="5">
        <f>'FY29'!AC145</f>
        <v>0</v>
      </c>
      <c r="H145" s="10">
        <f>'FY30'!AC145</f>
        <v>0</v>
      </c>
    </row>
    <row r="146" spans="1:14" x14ac:dyDescent="0.35">
      <c r="A146" s="26" t="s">
        <v>113</v>
      </c>
      <c r="B146" s="47">
        <f>'FY24'!I146</f>
        <v>160000</v>
      </c>
      <c r="C146" s="5">
        <f>'FY25'!I146</f>
        <v>0</v>
      </c>
      <c r="D146" s="5">
        <f>'FY26'!AC146</f>
        <v>0</v>
      </c>
      <c r="E146" s="5">
        <f>'FY27'!AC146</f>
        <v>0</v>
      </c>
      <c r="F146" s="5">
        <f>'FY28'!AC146</f>
        <v>0</v>
      </c>
      <c r="G146" s="5">
        <f>'FY29'!AC146</f>
        <v>0</v>
      </c>
      <c r="H146" s="10">
        <f>'FY30'!AC146</f>
        <v>0</v>
      </c>
    </row>
    <row r="147" spans="1:14" x14ac:dyDescent="0.35">
      <c r="A147" s="26" t="s">
        <v>114</v>
      </c>
      <c r="B147" s="47">
        <f>'FY24'!I147</f>
        <v>18440</v>
      </c>
      <c r="C147" s="5">
        <f>'FY25'!I147</f>
        <v>18440</v>
      </c>
      <c r="D147" s="5">
        <f>'FY26'!AC147</f>
        <v>43960</v>
      </c>
      <c r="E147" s="5">
        <f>'FY27'!AC147</f>
        <v>56280</v>
      </c>
      <c r="F147" s="5">
        <f>'FY28'!AC147</f>
        <v>63350</v>
      </c>
      <c r="G147" s="5">
        <f>'FY29'!AC147</f>
        <v>71044</v>
      </c>
      <c r="H147" s="10">
        <f>'FY30'!AC147</f>
        <v>78225</v>
      </c>
    </row>
    <row r="148" spans="1:14" x14ac:dyDescent="0.35">
      <c r="A148" s="26" t="s">
        <v>115</v>
      </c>
      <c r="B148" s="47">
        <f>'FY24'!I148</f>
        <v>24900</v>
      </c>
      <c r="C148" s="5">
        <f>'FY25'!I148</f>
        <v>24900</v>
      </c>
      <c r="D148" s="5">
        <f>'FY26'!AC148</f>
        <v>61600</v>
      </c>
      <c r="E148" s="5">
        <f>'FY27'!AC148</f>
        <v>77440</v>
      </c>
      <c r="F148" s="5">
        <f>'FY28'!AC148</f>
        <v>90160</v>
      </c>
      <c r="G148" s="5">
        <f>'FY29'!AC148</f>
        <v>101403</v>
      </c>
      <c r="H148" s="10">
        <f>'FY30'!AC148</f>
        <v>111650</v>
      </c>
    </row>
    <row r="149" spans="1:14" x14ac:dyDescent="0.35">
      <c r="A149" s="26" t="s">
        <v>116</v>
      </c>
      <c r="B149" s="47">
        <f>'FY24'!I149</f>
        <v>12450</v>
      </c>
      <c r="C149" s="5">
        <f>'FY25'!I149</f>
        <v>12450</v>
      </c>
      <c r="D149" s="5">
        <f>'FY26'!AC149</f>
        <v>30800</v>
      </c>
      <c r="E149" s="5">
        <f>'FY27'!AC149</f>
        <v>38016</v>
      </c>
      <c r="F149" s="5">
        <f>'FY28'!AC149</f>
        <v>43470</v>
      </c>
      <c r="G149" s="5">
        <f>'FY29'!AC149</f>
        <v>49812</v>
      </c>
      <c r="H149" s="10">
        <f>'FY30'!AC149</f>
        <v>55825</v>
      </c>
    </row>
    <row r="150" spans="1:14" x14ac:dyDescent="0.35">
      <c r="A150" s="26" t="s">
        <v>117</v>
      </c>
      <c r="B150" s="47">
        <f>'FY24'!I150</f>
        <v>4980</v>
      </c>
      <c r="C150" s="5">
        <f>'FY25'!I150</f>
        <v>4980</v>
      </c>
      <c r="D150" s="5">
        <f>'FY26'!AC150</f>
        <v>12320</v>
      </c>
      <c r="E150" s="5">
        <f>'FY27'!AC150</f>
        <v>14080</v>
      </c>
      <c r="F150" s="5">
        <f>'FY28'!AC150</f>
        <v>16100</v>
      </c>
      <c r="G150" s="5">
        <f>'FY29'!AC150</f>
        <v>19569</v>
      </c>
      <c r="H150" s="10">
        <f>'FY30'!AC150</f>
        <v>23100</v>
      </c>
    </row>
    <row r="151" spans="1:14" x14ac:dyDescent="0.35">
      <c r="A151" s="26" t="s">
        <v>118</v>
      </c>
      <c r="B151" s="47">
        <f>'FY24'!I151</f>
        <v>11400</v>
      </c>
      <c r="C151" s="5">
        <f>'FY25'!I151</f>
        <v>11400</v>
      </c>
      <c r="D151" s="5">
        <f>'FY26'!AC151</f>
        <v>24900</v>
      </c>
      <c r="E151" s="5">
        <f>'FY27'!AC151</f>
        <v>23680</v>
      </c>
      <c r="F151" s="5">
        <f>'FY28'!AC151</f>
        <v>27040</v>
      </c>
      <c r="G151" s="5">
        <f>'FY29'!AC151</f>
        <v>31459</v>
      </c>
      <c r="H151" s="10">
        <f>'FY30'!AC151</f>
        <v>35145</v>
      </c>
    </row>
    <row r="152" spans="1:14" x14ac:dyDescent="0.35">
      <c r="A152" s="26" t="s">
        <v>119</v>
      </c>
      <c r="B152" s="47">
        <f>'FY24'!I152</f>
        <v>0</v>
      </c>
      <c r="C152" s="5">
        <f>'FY25'!I152</f>
        <v>0</v>
      </c>
      <c r="D152" s="5">
        <f>'FY26'!AC152</f>
        <v>0</v>
      </c>
      <c r="E152" s="5">
        <f>'FY27'!AC152</f>
        <v>0</v>
      </c>
      <c r="F152" s="5">
        <f>'FY28'!AC152</f>
        <v>0</v>
      </c>
      <c r="G152" s="5">
        <f>'FY29'!AC152</f>
        <v>0</v>
      </c>
      <c r="H152" s="10">
        <f>'FY30'!AC152</f>
        <v>0</v>
      </c>
    </row>
    <row r="153" spans="1:14" x14ac:dyDescent="0.35">
      <c r="A153" s="69" t="s">
        <v>161</v>
      </c>
      <c r="B153" s="47">
        <f>'FY24'!I153</f>
        <v>20916</v>
      </c>
      <c r="C153" s="5">
        <f>'FY25'!I153</f>
        <v>22410</v>
      </c>
      <c r="D153" s="5">
        <f>'FY26'!AC153</f>
        <v>55440</v>
      </c>
      <c r="E153" s="5">
        <f>'FY27'!AC153</f>
        <v>63360</v>
      </c>
      <c r="F153" s="5">
        <f>'FY28'!AC153</f>
        <v>74060</v>
      </c>
      <c r="G153" s="5">
        <f>'FY29'!AC153</f>
        <v>83613</v>
      </c>
      <c r="H153" s="10">
        <f>'FY30'!AC153</f>
        <v>92400</v>
      </c>
    </row>
    <row r="154" spans="1:14" x14ac:dyDescent="0.35">
      <c r="A154" s="62" t="s">
        <v>257</v>
      </c>
      <c r="B154" s="63">
        <f>SUM(B144:B153)</f>
        <v>355176</v>
      </c>
      <c r="C154" s="63">
        <f t="shared" ref="C154:G154" si="80">SUM(C144:C153)</f>
        <v>201650</v>
      </c>
      <c r="D154" s="63">
        <f t="shared" si="80"/>
        <v>450205</v>
      </c>
      <c r="E154" s="63">
        <f t="shared" si="80"/>
        <v>596696</v>
      </c>
      <c r="F154" s="63">
        <f t="shared" si="80"/>
        <v>700580</v>
      </c>
      <c r="G154" s="63">
        <f t="shared" si="80"/>
        <v>801650</v>
      </c>
      <c r="H154" s="63">
        <f t="shared" ref="H154" si="81">SUM(H144:H153)</f>
        <v>887220</v>
      </c>
    </row>
    <row r="155" spans="1:14" x14ac:dyDescent="0.35">
      <c r="A155" s="66" t="s">
        <v>120</v>
      </c>
      <c r="B155" s="15" t="str">
        <f t="shared" ref="B155:G155" si="82">B1</f>
        <v>FY24 (23-24)</v>
      </c>
      <c r="C155" s="15" t="str">
        <f t="shared" si="82"/>
        <v>FY25 (24-25)</v>
      </c>
      <c r="D155" s="15" t="str">
        <f t="shared" si="82"/>
        <v>FY26 (25-26)</v>
      </c>
      <c r="E155" s="15" t="str">
        <f t="shared" si="82"/>
        <v>FY27 (26-27)</v>
      </c>
      <c r="F155" s="15" t="str">
        <f t="shared" si="82"/>
        <v>FY28 (27-28)</v>
      </c>
      <c r="G155" s="15" t="str">
        <f t="shared" si="82"/>
        <v>FY29 (28-29)</v>
      </c>
      <c r="H155" s="15" t="str">
        <f t="shared" ref="H155" si="83">H1</f>
        <v>FY30 (29-30)</v>
      </c>
    </row>
    <row r="156" spans="1:14" x14ac:dyDescent="0.35">
      <c r="A156" s="26" t="s">
        <v>457</v>
      </c>
      <c r="B156" s="47">
        <f>'FY24'!I156</f>
        <v>15600</v>
      </c>
      <c r="C156" s="5">
        <f>'FY25'!I156</f>
        <v>16068</v>
      </c>
      <c r="D156" s="5">
        <f>'FY26'!AC156</f>
        <v>32296.68</v>
      </c>
      <c r="E156" s="5">
        <f>'FY27'!AC156</f>
        <v>40956.002064</v>
      </c>
      <c r="F156" s="5">
        <f>'FY28'!AC156</f>
        <v>40874.1492</v>
      </c>
      <c r="G156" s="5">
        <f>'FY29'!AC156</f>
        <v>39905.001600000003</v>
      </c>
      <c r="H156" s="10">
        <f>'FY30'!AC156</f>
        <v>41205.15</v>
      </c>
    </row>
    <row r="157" spans="1:14" x14ac:dyDescent="0.35">
      <c r="A157" s="26" t="s">
        <v>121</v>
      </c>
      <c r="B157" s="47">
        <f>'FY24'!I157</f>
        <v>67230</v>
      </c>
      <c r="C157" s="5">
        <f>'FY25'!I157</f>
        <v>57270</v>
      </c>
      <c r="D157" s="5">
        <f>'FY26'!AC157</f>
        <v>256730</v>
      </c>
      <c r="E157" s="5">
        <f>'FY27'!AC157</f>
        <v>362275</v>
      </c>
      <c r="F157" s="5">
        <f>'FY28'!AC157</f>
        <v>513800</v>
      </c>
      <c r="G157" s="5">
        <f>'FY29'!AC157</f>
        <v>583725</v>
      </c>
      <c r="H157" s="10">
        <f>'FY30'!AC157</f>
        <v>693225</v>
      </c>
      <c r="J157">
        <f>B157/B17</f>
        <v>135</v>
      </c>
      <c r="K157">
        <f t="shared" ref="K157:N157" si="84">C157/C17</f>
        <v>115</v>
      </c>
      <c r="L157">
        <f t="shared" si="84"/>
        <v>208.38474025974025</v>
      </c>
      <c r="M157">
        <f t="shared" si="84"/>
        <v>257.29758522727275</v>
      </c>
      <c r="N157">
        <f t="shared" si="84"/>
        <v>319.13043478260869</v>
      </c>
    </row>
    <row r="158" spans="1:14" x14ac:dyDescent="0.35">
      <c r="A158" s="26" t="s">
        <v>285</v>
      </c>
      <c r="B158" s="47">
        <f>'FY24'!I158</f>
        <v>0</v>
      </c>
      <c r="C158" s="5">
        <f>'FY25'!I158</f>
        <v>0</v>
      </c>
      <c r="D158" s="5">
        <f>'FY26'!AC158</f>
        <v>0</v>
      </c>
      <c r="E158" s="5">
        <f>'FY27'!AC158</f>
        <v>0</v>
      </c>
      <c r="F158" s="5">
        <f>'FY28'!AC158</f>
        <v>0</v>
      </c>
      <c r="G158" s="5">
        <f>'FY29'!AC158</f>
        <v>0</v>
      </c>
      <c r="H158" s="10">
        <f>'FY30'!AC158</f>
        <v>0</v>
      </c>
    </row>
    <row r="159" spans="1:14" x14ac:dyDescent="0.35">
      <c r="A159" s="26" t="s">
        <v>285</v>
      </c>
      <c r="B159" s="47">
        <f>'FY24'!I159</f>
        <v>0</v>
      </c>
      <c r="C159" s="5">
        <f>'FY25'!I159</f>
        <v>0</v>
      </c>
      <c r="D159" s="5">
        <f>'FY26'!AC159</f>
        <v>0</v>
      </c>
      <c r="E159" s="5">
        <f>'FY27'!AC159</f>
        <v>0</v>
      </c>
      <c r="F159" s="5">
        <f>'FY28'!AC159</f>
        <v>0</v>
      </c>
      <c r="G159" s="5">
        <f>'FY29'!AC159</f>
        <v>0</v>
      </c>
      <c r="H159" s="10">
        <f>'FY30'!AC159</f>
        <v>0</v>
      </c>
    </row>
    <row r="160" spans="1:14" x14ac:dyDescent="0.35">
      <c r="A160" s="26" t="s">
        <v>122</v>
      </c>
      <c r="B160" s="47">
        <f>'FY24'!I160</f>
        <v>246510</v>
      </c>
      <c r="C160" s="5">
        <f>'FY25'!I160</f>
        <v>246510</v>
      </c>
      <c r="D160" s="5">
        <f>'FY26'!AC160</f>
        <v>609840</v>
      </c>
      <c r="E160" s="5">
        <f>'FY27'!AC160</f>
        <v>696960</v>
      </c>
      <c r="F160" s="5">
        <f>'FY28'!AC160</f>
        <v>796950</v>
      </c>
      <c r="G160" s="5">
        <f>'FY29'!AC160</f>
        <v>880605</v>
      </c>
      <c r="H160" s="10">
        <f>'FY30'!AC160</f>
        <v>952875</v>
      </c>
    </row>
    <row r="161" spans="1:8" x14ac:dyDescent="0.35">
      <c r="A161" s="26" t="s">
        <v>123</v>
      </c>
      <c r="B161" s="47">
        <f>'FY24'!I161</f>
        <v>15405</v>
      </c>
      <c r="C161" s="5">
        <f>'FY25'!I161</f>
        <v>19530</v>
      </c>
      <c r="D161" s="5">
        <f>'FY26'!AC161</f>
        <v>39190</v>
      </c>
      <c r="E161" s="5">
        <f>'FY27'!AC161</f>
        <v>43605</v>
      </c>
      <c r="F161" s="5">
        <f>'FY28'!AC161</f>
        <v>47067.5</v>
      </c>
      <c r="G161" s="5">
        <f>'FY29'!AC161</f>
        <v>56317.5</v>
      </c>
      <c r="H161" s="10">
        <f>'FY30'!AC161</f>
        <v>63480</v>
      </c>
    </row>
    <row r="162" spans="1:8" x14ac:dyDescent="0.35">
      <c r="A162" s="26" t="s">
        <v>124</v>
      </c>
      <c r="B162" s="47">
        <f>'FY24'!I162</f>
        <v>60000</v>
      </c>
      <c r="C162" s="5">
        <f>'FY25'!I162</f>
        <v>65000</v>
      </c>
      <c r="D162" s="5">
        <f>'FY26'!AC162</f>
        <v>67500</v>
      </c>
      <c r="E162" s="5">
        <f>'FY27'!AC162</f>
        <v>70000</v>
      </c>
      <c r="F162" s="5">
        <f>'FY28'!AC162</f>
        <v>73500</v>
      </c>
      <c r="G162" s="5">
        <f>'FY29'!AC162</f>
        <v>77500</v>
      </c>
      <c r="H162" s="10">
        <f>'FY30'!AC162</f>
        <v>81500</v>
      </c>
    </row>
    <row r="163" spans="1:8" x14ac:dyDescent="0.35">
      <c r="A163" s="26" t="s">
        <v>125</v>
      </c>
      <c r="B163" s="47">
        <f>'FY24'!I163</f>
        <v>6500</v>
      </c>
      <c r="C163" s="5">
        <f>'FY25'!I163</f>
        <v>6500</v>
      </c>
      <c r="D163" s="5">
        <f>'FY26'!AC163</f>
        <v>13000</v>
      </c>
      <c r="E163" s="5">
        <f>'FY27'!AC163</f>
        <v>13000</v>
      </c>
      <c r="F163" s="5">
        <f>'FY28'!AC163</f>
        <v>13000</v>
      </c>
      <c r="G163" s="5">
        <f>'FY29'!AC163</f>
        <v>14000</v>
      </c>
      <c r="H163" s="10">
        <f>'FY30'!AC163</f>
        <v>14500</v>
      </c>
    </row>
    <row r="164" spans="1:8" x14ac:dyDescent="0.35">
      <c r="A164" s="26" t="s">
        <v>126</v>
      </c>
      <c r="B164" s="47">
        <f>'FY24'!I164</f>
        <v>24624</v>
      </c>
      <c r="C164" s="5">
        <f>'FY25'!I164</f>
        <v>25620</v>
      </c>
      <c r="D164" s="5">
        <f>'FY26'!AC164</f>
        <v>63040</v>
      </c>
      <c r="E164" s="5">
        <f>'FY27'!AC164</f>
        <v>71840</v>
      </c>
      <c r="F164" s="5">
        <f>'FY28'!AC164</f>
        <v>81940</v>
      </c>
      <c r="G164" s="5">
        <f>'FY29'!AC164</f>
        <v>90390</v>
      </c>
      <c r="H164" s="10">
        <f>'FY30'!AC164</f>
        <v>97690</v>
      </c>
    </row>
    <row r="165" spans="1:8" x14ac:dyDescent="0.35">
      <c r="A165" s="26" t="s">
        <v>127</v>
      </c>
      <c r="B165" s="47">
        <f>'FY24'!I165</f>
        <v>18000</v>
      </c>
      <c r="C165" s="5">
        <f>'FY25'!I165</f>
        <v>18000</v>
      </c>
      <c r="D165" s="5">
        <f>'FY26'!AC165</f>
        <v>36000</v>
      </c>
      <c r="E165" s="5">
        <f>'FY27'!AC165</f>
        <v>45500</v>
      </c>
      <c r="F165" s="5">
        <f>'FY28'!AC165</f>
        <v>41000</v>
      </c>
      <c r="G165" s="5">
        <f>'FY29'!AC165</f>
        <v>42500</v>
      </c>
      <c r="H165" s="10">
        <f>'FY30'!AC165</f>
        <v>42500</v>
      </c>
    </row>
    <row r="166" spans="1:8" x14ac:dyDescent="0.35">
      <c r="A166" s="26" t="s">
        <v>128</v>
      </c>
      <c r="B166" s="47">
        <f>'FY24'!I166</f>
        <v>55813.350000000006</v>
      </c>
      <c r="C166" s="5">
        <f>'FY25'!I166</f>
        <v>58602.15</v>
      </c>
      <c r="D166" s="5">
        <f>'FY26'!AC166</f>
        <v>147147</v>
      </c>
      <c r="E166" s="5">
        <f>'FY27'!AC166</f>
        <v>170632</v>
      </c>
      <c r="F166" s="5">
        <f>'FY28'!AC166</f>
        <v>198030</v>
      </c>
      <c r="G166" s="5">
        <f>'FY29'!AC166</f>
        <v>222085.91250000001</v>
      </c>
      <c r="H166" s="10">
        <f>'FY30'!AC166</f>
        <v>243897.5</v>
      </c>
    </row>
    <row r="167" spans="1:8" x14ac:dyDescent="0.35">
      <c r="A167" s="26" t="s">
        <v>129</v>
      </c>
      <c r="B167" s="47">
        <f>'FY24'!I167</f>
        <v>22325.34</v>
      </c>
      <c r="C167" s="5">
        <f>'FY25'!I167</f>
        <v>23440.86</v>
      </c>
      <c r="D167" s="5">
        <f>'FY26'!AC167</f>
        <v>58858.8</v>
      </c>
      <c r="E167" s="5">
        <f>'FY27'!AC167</f>
        <v>68252.800000000003</v>
      </c>
      <c r="F167" s="5">
        <f>'FY28'!AC167</f>
        <v>79212</v>
      </c>
      <c r="G167" s="5">
        <f>'FY29'!AC167</f>
        <v>88834.364999999991</v>
      </c>
      <c r="H167" s="10">
        <f>'FY30'!AC167</f>
        <v>97559</v>
      </c>
    </row>
    <row r="168" spans="1:8" x14ac:dyDescent="0.35">
      <c r="A168" s="26" t="s">
        <v>131</v>
      </c>
      <c r="B168" s="47">
        <f>'FY24'!I168</f>
        <v>22325.34</v>
      </c>
      <c r="C168" s="5">
        <f>'FY25'!I168</f>
        <v>23440.86</v>
      </c>
      <c r="D168" s="5">
        <f>'FY26'!AC168</f>
        <v>58858.8</v>
      </c>
      <c r="E168" s="5">
        <f>'FY27'!AC168</f>
        <v>68252.800000000003</v>
      </c>
      <c r="F168" s="5">
        <f>'FY28'!AC168</f>
        <v>79212</v>
      </c>
      <c r="G168" s="5">
        <f>'FY29'!AC168</f>
        <v>88834.364999999991</v>
      </c>
      <c r="H168" s="10">
        <f>'FY30'!AC168</f>
        <v>97559</v>
      </c>
    </row>
    <row r="169" spans="1:8" x14ac:dyDescent="0.35">
      <c r="A169" s="69" t="s">
        <v>132</v>
      </c>
      <c r="B169" s="47">
        <f>'FY24'!I169</f>
        <v>0</v>
      </c>
      <c r="C169" s="5">
        <f>'FY25'!I169</f>
        <v>0</v>
      </c>
      <c r="D169" s="5">
        <f>'FY26'!AC169</f>
        <v>0</v>
      </c>
      <c r="E169" s="5">
        <f>'FY27'!AC169</f>
        <v>0</v>
      </c>
      <c r="F169" s="5">
        <f>'FY28'!AC169</f>
        <v>0</v>
      </c>
      <c r="G169" s="5">
        <f>'FY29'!AC169</f>
        <v>0</v>
      </c>
      <c r="H169" s="10">
        <f>'FY30'!AC169</f>
        <v>0</v>
      </c>
    </row>
    <row r="170" spans="1:8" x14ac:dyDescent="0.35">
      <c r="A170" s="62" t="s">
        <v>133</v>
      </c>
      <c r="B170" s="63">
        <f>SUM(B156:B169)</f>
        <v>554333.02999999991</v>
      </c>
      <c r="C170" s="63">
        <f t="shared" ref="C170:G170" si="85">SUM(C156:C169)</f>
        <v>559981.87</v>
      </c>
      <c r="D170" s="63">
        <f t="shared" si="85"/>
        <v>1382461.28</v>
      </c>
      <c r="E170" s="63">
        <f t="shared" si="85"/>
        <v>1651273.602064</v>
      </c>
      <c r="F170" s="63">
        <f t="shared" si="85"/>
        <v>1964585.6491999999</v>
      </c>
      <c r="G170" s="63">
        <f t="shared" si="85"/>
        <v>2184697.1441000002</v>
      </c>
      <c r="H170" s="63">
        <f t="shared" ref="H170" si="86">SUM(H156:H169)</f>
        <v>2425990.65</v>
      </c>
    </row>
    <row r="171" spans="1:8" x14ac:dyDescent="0.35">
      <c r="A171" s="66" t="s">
        <v>134</v>
      </c>
      <c r="B171" s="15" t="str">
        <f t="shared" ref="B171:G171" si="87">B1</f>
        <v>FY24 (23-24)</v>
      </c>
      <c r="C171" s="15" t="str">
        <f t="shared" si="87"/>
        <v>FY25 (24-25)</v>
      </c>
      <c r="D171" s="15" t="str">
        <f t="shared" si="87"/>
        <v>FY26 (25-26)</v>
      </c>
      <c r="E171" s="15" t="str">
        <f t="shared" si="87"/>
        <v>FY27 (26-27)</v>
      </c>
      <c r="F171" s="15" t="str">
        <f t="shared" si="87"/>
        <v>FY28 (27-28)</v>
      </c>
      <c r="G171" s="15" t="str">
        <f t="shared" si="87"/>
        <v>FY29 (28-29)</v>
      </c>
      <c r="H171" s="15" t="str">
        <f t="shared" ref="H171" si="88">H1</f>
        <v>FY30 (29-30)</v>
      </c>
    </row>
    <row r="172" spans="1:8" x14ac:dyDescent="0.35">
      <c r="A172" s="71" t="s">
        <v>135</v>
      </c>
      <c r="B172" s="47">
        <f>'FY24'!I172</f>
        <v>2400</v>
      </c>
      <c r="C172" s="5">
        <f>'FY25'!I172</f>
        <v>2472</v>
      </c>
      <c r="D172" s="5">
        <f>'FY26'!AC172</f>
        <v>8676.7199999999993</v>
      </c>
      <c r="E172" s="5">
        <f>'FY27'!AC172</f>
        <v>11700.346799999999</v>
      </c>
      <c r="F172" s="5">
        <f>'FY28'!AC172</f>
        <v>12000.434003999999</v>
      </c>
      <c r="G172" s="5">
        <f>'FY29'!AC172</f>
        <v>12594.2462256</v>
      </c>
      <c r="H172" s="10">
        <f>'FY30'!AC172</f>
        <v>12944.387212367999</v>
      </c>
    </row>
    <row r="173" spans="1:8" x14ac:dyDescent="0.35">
      <c r="A173" s="26" t="s">
        <v>136</v>
      </c>
      <c r="B173" s="47">
        <f>'FY24'!I173</f>
        <v>16800</v>
      </c>
      <c r="C173" s="5">
        <f>'FY25'!I173</f>
        <v>17304</v>
      </c>
      <c r="D173" s="5">
        <f>'FY26'!AC173</f>
        <v>47141.04</v>
      </c>
      <c r="E173" s="5">
        <f>'FY27'!AC173</f>
        <v>49120.617600000005</v>
      </c>
      <c r="F173" s="5">
        <f>'FY28'!AC173</f>
        <v>50237.773728</v>
      </c>
      <c r="G173" s="5">
        <f>'FY29'!AC173</f>
        <v>52361.987059200008</v>
      </c>
      <c r="H173" s="10">
        <f>'FY30'!AC173</f>
        <v>53739.041870976012</v>
      </c>
    </row>
    <row r="174" spans="1:8" x14ac:dyDescent="0.35">
      <c r="A174" s="26" t="s">
        <v>137</v>
      </c>
      <c r="B174" s="47">
        <f>'FY24'!I174</f>
        <v>0</v>
      </c>
      <c r="C174" s="5">
        <f>'FY25'!I174</f>
        <v>0</v>
      </c>
      <c r="D174" s="5">
        <f>'FY26'!AC174</f>
        <v>0</v>
      </c>
      <c r="E174" s="5">
        <f>'FY27'!AC174</f>
        <v>0</v>
      </c>
      <c r="F174" s="5">
        <f>'FY28'!AC174</f>
        <v>0</v>
      </c>
      <c r="G174" s="5">
        <f>'FY29'!AC174</f>
        <v>0</v>
      </c>
      <c r="H174" s="10">
        <f>'FY30'!AC174</f>
        <v>0</v>
      </c>
    </row>
    <row r="175" spans="1:8" x14ac:dyDescent="0.35">
      <c r="A175" s="26" t="s">
        <v>138</v>
      </c>
      <c r="B175" s="47">
        <f>'FY24'!I175</f>
        <v>1000</v>
      </c>
      <c r="C175" s="5">
        <f>'FY25'!I175</f>
        <v>1100</v>
      </c>
      <c r="D175" s="5">
        <f>'FY26'!AC175</f>
        <v>2300</v>
      </c>
      <c r="E175" s="5">
        <f>'FY27'!AC175</f>
        <v>2900</v>
      </c>
      <c r="F175" s="5">
        <f>'FY28'!AC175</f>
        <v>3200</v>
      </c>
      <c r="G175" s="5">
        <f>'FY29'!AC175</f>
        <v>3700</v>
      </c>
      <c r="H175" s="10">
        <f>'FY30'!AC175</f>
        <v>3900</v>
      </c>
    </row>
    <row r="176" spans="1:8" x14ac:dyDescent="0.35">
      <c r="A176" s="26" t="s">
        <v>139</v>
      </c>
      <c r="B176" s="47">
        <f>'FY24'!I176</f>
        <v>5500</v>
      </c>
      <c r="C176" s="5">
        <f>'FY25'!I176</f>
        <v>5665</v>
      </c>
      <c r="D176" s="5">
        <f>'FY26'!AC176</f>
        <v>11443.3</v>
      </c>
      <c r="E176" s="5">
        <f>'FY27'!AC176</f>
        <v>11844.948499999999</v>
      </c>
      <c r="F176" s="5">
        <f>'FY28'!AC176</f>
        <v>11901.5985</v>
      </c>
      <c r="G176" s="5">
        <f>'FY29'!AC176</f>
        <v>12198.648440000001</v>
      </c>
      <c r="H176" s="10">
        <f>'FY30'!AC176</f>
        <v>12504.900000000001</v>
      </c>
    </row>
    <row r="177" spans="1:8" x14ac:dyDescent="0.35">
      <c r="A177" s="26" t="s">
        <v>140</v>
      </c>
      <c r="B177" s="47">
        <f>'FY24'!I177</f>
        <v>30000</v>
      </c>
      <c r="C177" s="5">
        <f>'FY25'!I177</f>
        <v>30900</v>
      </c>
      <c r="D177" s="5">
        <f>'FY26'!AC177</f>
        <v>71518</v>
      </c>
      <c r="E177" s="5">
        <f>'FY27'!AC177</f>
        <v>91827</v>
      </c>
      <c r="F177" s="5">
        <f>'FY28'!AC177</f>
        <v>102136</v>
      </c>
      <c r="G177" s="5">
        <f>'FY29'!AC177</f>
        <v>107445</v>
      </c>
      <c r="H177" s="10">
        <f>'FY30'!AC177</f>
        <v>109754</v>
      </c>
    </row>
    <row r="178" spans="1:8" x14ac:dyDescent="0.35">
      <c r="A178" s="26" t="s">
        <v>141</v>
      </c>
      <c r="B178" s="47">
        <f>'FY24'!I178</f>
        <v>9745</v>
      </c>
      <c r="C178" s="5">
        <f>'FY25'!I178</f>
        <v>5604.9000000000005</v>
      </c>
      <c r="D178" s="5">
        <f>'FY26'!AC178</f>
        <v>11922.014999999999</v>
      </c>
      <c r="E178" s="5">
        <f>'FY27'!AC178</f>
        <v>12628.212000000001</v>
      </c>
      <c r="F178" s="5">
        <f>'FY28'!AC178</f>
        <v>13438.144274999999</v>
      </c>
      <c r="G178" s="5">
        <f>'FY29'!AC178</f>
        <v>14195.159403900001</v>
      </c>
      <c r="H178" s="10">
        <f>'FY30'!AC178</f>
        <v>14921.34499098</v>
      </c>
    </row>
    <row r="179" spans="1:8" x14ac:dyDescent="0.35">
      <c r="A179" s="26" t="s">
        <v>142</v>
      </c>
      <c r="B179" s="47">
        <f>'FY24'!I179</f>
        <v>0</v>
      </c>
      <c r="C179" s="5">
        <f>'FY25'!I179</f>
        <v>0</v>
      </c>
      <c r="D179" s="5">
        <f>'FY26'!AC179</f>
        <v>30000</v>
      </c>
      <c r="E179" s="5">
        <f>'FY27'!AC179</f>
        <v>33000</v>
      </c>
      <c r="F179" s="5">
        <f>'FY28'!AC179</f>
        <v>48000</v>
      </c>
      <c r="G179" s="5">
        <f>'FY29'!AC179</f>
        <v>51600</v>
      </c>
      <c r="H179" s="10">
        <f>'FY30'!AC179</f>
        <v>56400</v>
      </c>
    </row>
    <row r="180" spans="1:8" x14ac:dyDescent="0.35">
      <c r="A180" s="26" t="s">
        <v>144</v>
      </c>
      <c r="B180" s="47">
        <f>'FY24'!I180</f>
        <v>0</v>
      </c>
      <c r="C180" s="5">
        <f>'FY25'!I180</f>
        <v>0</v>
      </c>
      <c r="D180" s="5">
        <f>'FY26'!AC180</f>
        <v>0</v>
      </c>
      <c r="E180" s="5">
        <f>'FY27'!AC180</f>
        <v>0</v>
      </c>
      <c r="F180" s="5">
        <f>'FY28'!AC180</f>
        <v>0</v>
      </c>
      <c r="G180" s="5">
        <f>'FY29'!AC180</f>
        <v>0</v>
      </c>
      <c r="H180" s="10">
        <f>'FY30'!AC180</f>
        <v>0</v>
      </c>
    </row>
    <row r="181" spans="1:8" x14ac:dyDescent="0.35">
      <c r="A181" s="26" t="s">
        <v>145</v>
      </c>
      <c r="B181" s="47">
        <f>'FY24'!I181</f>
        <v>26750</v>
      </c>
      <c r="C181" s="5">
        <f>'FY25'!I181</f>
        <v>29425.000000000004</v>
      </c>
      <c r="D181" s="5">
        <f>'FY26'!AC181</f>
        <v>72367.5</v>
      </c>
      <c r="E181" s="5">
        <f>'FY27'!AC181</f>
        <v>79604.25</v>
      </c>
      <c r="F181" s="5">
        <f>'FY28'!AC181</f>
        <v>89164.675000000017</v>
      </c>
      <c r="G181" s="5">
        <f>'FY29'!AC181</f>
        <v>98081.142500000016</v>
      </c>
      <c r="H181" s="10">
        <f>'FY30'!AC181</f>
        <v>107889.25675000003</v>
      </c>
    </row>
    <row r="182" spans="1:8" x14ac:dyDescent="0.35">
      <c r="A182" s="26" t="s">
        <v>146</v>
      </c>
      <c r="B182" s="47">
        <f>'FY24'!I182</f>
        <v>165385.79999999999</v>
      </c>
      <c r="C182" s="5">
        <f>'FY25'!I182</f>
        <v>183089.69999999998</v>
      </c>
      <c r="D182" s="5">
        <f>'FY26'!AC182</f>
        <v>463478.4</v>
      </c>
      <c r="E182" s="5">
        <f>'FY27'!AC182</f>
        <v>541728</v>
      </c>
      <c r="F182" s="5">
        <f>'FY28'!AC182</f>
        <v>633213</v>
      </c>
      <c r="G182" s="5">
        <f>'FY29'!AC182</f>
        <v>714891.15</v>
      </c>
      <c r="H182" s="10">
        <f>'FY30'!AC182</f>
        <v>790020</v>
      </c>
    </row>
    <row r="183" spans="1:8" x14ac:dyDescent="0.35">
      <c r="A183" s="26" t="s">
        <v>147</v>
      </c>
      <c r="B183" s="47">
        <f>'FY24'!I183</f>
        <v>266230.8</v>
      </c>
      <c r="C183" s="5">
        <f>'FY25'!I183</f>
        <v>285279.3</v>
      </c>
      <c r="D183" s="5">
        <f>'FY26'!AC183</f>
        <v>716284.8</v>
      </c>
      <c r="E183" s="5">
        <f>'FY27'!AC183</f>
        <v>830649.6</v>
      </c>
      <c r="F183" s="5">
        <f>'FY28'!AC183</f>
        <v>963585</v>
      </c>
      <c r="G183" s="5">
        <f>'FY29'!AC183</f>
        <v>1079941.9499999997</v>
      </c>
      <c r="H183" s="10">
        <f>'FY30'!AC183</f>
        <v>1185030</v>
      </c>
    </row>
    <row r="184" spans="1:8" x14ac:dyDescent="0.35">
      <c r="A184" s="26" t="s">
        <v>148</v>
      </c>
      <c r="B184" s="47">
        <f>'FY24'!I184</f>
        <v>6500</v>
      </c>
      <c r="C184" s="5">
        <f>'FY25'!I184</f>
        <v>6000</v>
      </c>
      <c r="D184" s="5">
        <f>'FY26'!AC184</f>
        <v>12000</v>
      </c>
      <c r="E184" s="5">
        <f>'FY27'!AC184</f>
        <v>15100</v>
      </c>
      <c r="F184" s="5">
        <f>'FY28'!AC184</f>
        <v>14600</v>
      </c>
      <c r="G184" s="5">
        <f>'FY29'!AC184</f>
        <v>15700</v>
      </c>
      <c r="H184" s="10">
        <f>'FY30'!AC184</f>
        <v>14700</v>
      </c>
    </row>
    <row r="185" spans="1:8" x14ac:dyDescent="0.35">
      <c r="A185" s="26" t="s">
        <v>149</v>
      </c>
      <c r="B185" s="47">
        <f>'FY24'!I185</f>
        <v>1500</v>
      </c>
      <c r="C185" s="5">
        <f>'FY25'!I185</f>
        <v>1550</v>
      </c>
      <c r="D185" s="5">
        <f>'FY26'!AC185</f>
        <v>3100</v>
      </c>
      <c r="E185" s="5">
        <f>'FY27'!AC185</f>
        <v>3800</v>
      </c>
      <c r="F185" s="5">
        <f>'FY28'!AC185</f>
        <v>3900</v>
      </c>
      <c r="G185" s="5">
        <f>'FY29'!AC185</f>
        <v>3950</v>
      </c>
      <c r="H185" s="10">
        <f>'FY30'!AC185</f>
        <v>4200</v>
      </c>
    </row>
    <row r="186" spans="1:8" x14ac:dyDescent="0.35">
      <c r="A186" s="26" t="s">
        <v>150</v>
      </c>
      <c r="B186" s="47">
        <f>'FY24'!I186</f>
        <v>1500</v>
      </c>
      <c r="C186" s="5">
        <f>'FY25'!I186</f>
        <v>1550</v>
      </c>
      <c r="D186" s="5">
        <f>'FY26'!AC186</f>
        <v>3100</v>
      </c>
      <c r="E186" s="5">
        <f>'FY27'!AC186</f>
        <v>3800</v>
      </c>
      <c r="F186" s="5">
        <f>'FY28'!AC186</f>
        <v>3900</v>
      </c>
      <c r="G186" s="5">
        <f>'FY29'!AC186</f>
        <v>3950</v>
      </c>
      <c r="H186" s="10">
        <f>'FY30'!AC186</f>
        <v>4200</v>
      </c>
    </row>
    <row r="187" spans="1:8" x14ac:dyDescent="0.35">
      <c r="A187" s="26" t="s">
        <v>151</v>
      </c>
      <c r="B187" s="47">
        <f>'FY24'!I187</f>
        <v>5040</v>
      </c>
      <c r="C187" s="5">
        <f>'FY25'!I187</f>
        <v>5540</v>
      </c>
      <c r="D187" s="5">
        <f>'FY26'!AC187</f>
        <v>12313.75</v>
      </c>
      <c r="E187" s="5">
        <f>'FY27'!AC187</f>
        <v>16953.5</v>
      </c>
      <c r="F187" s="5">
        <f>'FY28'!AC187</f>
        <v>19879</v>
      </c>
      <c r="G187" s="5">
        <f>'FY29'!AC187</f>
        <v>20886.25</v>
      </c>
      <c r="H187" s="10">
        <f>'FY30'!AC187</f>
        <v>22280.5</v>
      </c>
    </row>
    <row r="188" spans="1:8" x14ac:dyDescent="0.35">
      <c r="A188" s="26" t="s">
        <v>152</v>
      </c>
      <c r="B188" s="47">
        <f>'FY24'!I188</f>
        <v>0</v>
      </c>
      <c r="C188" s="5">
        <f>'FY25'!I188</f>
        <v>0</v>
      </c>
      <c r="D188" s="5">
        <f>'FY26'!AC188</f>
        <v>0</v>
      </c>
      <c r="E188" s="5">
        <f>'FY27'!AC188</f>
        <v>0</v>
      </c>
      <c r="F188" s="5">
        <f>'FY28'!AC188</f>
        <v>0</v>
      </c>
      <c r="G188" s="5">
        <f>'FY29'!AC188</f>
        <v>0</v>
      </c>
      <c r="H188" s="10">
        <f>'FY30'!AC188</f>
        <v>0</v>
      </c>
    </row>
    <row r="189" spans="1:8" x14ac:dyDescent="0.35">
      <c r="A189" s="26" t="s">
        <v>181</v>
      </c>
      <c r="B189" s="47">
        <f>'FY24'!I189</f>
        <v>0</v>
      </c>
      <c r="C189" s="5">
        <f>'FY25'!I189</f>
        <v>0</v>
      </c>
      <c r="D189" s="5">
        <f>'FY26'!AC189</f>
        <v>0</v>
      </c>
      <c r="E189" s="5">
        <f>'FY27'!AC189</f>
        <v>0</v>
      </c>
      <c r="F189" s="5">
        <f>'FY28'!AC189</f>
        <v>0</v>
      </c>
      <c r="G189" s="5">
        <f>'FY29'!AC189</f>
        <v>0</v>
      </c>
      <c r="H189" s="10">
        <f>'FY30'!AC189</f>
        <v>0</v>
      </c>
    </row>
    <row r="190" spans="1:8" x14ac:dyDescent="0.35">
      <c r="A190" s="26" t="s">
        <v>153</v>
      </c>
      <c r="B190" s="47">
        <f>'FY24'!I190</f>
        <v>0</v>
      </c>
      <c r="C190" s="5">
        <f>'FY25'!I190</f>
        <v>0</v>
      </c>
      <c r="D190" s="5">
        <f>'FY26'!AC190</f>
        <v>0</v>
      </c>
      <c r="E190" s="5">
        <f>'FY27'!AC190</f>
        <v>0</v>
      </c>
      <c r="F190" s="5">
        <f>'FY28'!AC190</f>
        <v>0</v>
      </c>
      <c r="G190" s="5">
        <f>'FY29'!AC190</f>
        <v>0</v>
      </c>
      <c r="H190" s="10">
        <f>'FY30'!AC190</f>
        <v>0</v>
      </c>
    </row>
    <row r="191" spans="1:8" x14ac:dyDescent="0.35">
      <c r="A191" s="26" t="s">
        <v>253</v>
      </c>
      <c r="B191" s="47">
        <f>'FY24'!I191</f>
        <v>0</v>
      </c>
      <c r="C191" s="5">
        <f>'FY25'!I191</f>
        <v>0</v>
      </c>
      <c r="D191" s="5">
        <f>'FY26'!AC191</f>
        <v>63775</v>
      </c>
      <c r="E191" s="5">
        <f>'FY27'!AC191</f>
        <v>97741</v>
      </c>
      <c r="F191" s="5">
        <f>'FY28'!AC191</f>
        <v>97712</v>
      </c>
      <c r="G191" s="5">
        <f>'FY29'!AC191</f>
        <v>83222</v>
      </c>
      <c r="H191" s="10">
        <f>'FY30'!AC191</f>
        <v>54700</v>
      </c>
    </row>
    <row r="192" spans="1:8" x14ac:dyDescent="0.35">
      <c r="A192" s="26" t="s">
        <v>254</v>
      </c>
      <c r="B192" s="47">
        <f>'FY24'!I192</f>
        <v>27060</v>
      </c>
      <c r="C192" s="5">
        <f>'FY25'!I192</f>
        <v>0</v>
      </c>
      <c r="D192" s="5">
        <f>'FY26'!AC192</f>
        <v>172865</v>
      </c>
      <c r="E192" s="5">
        <f>'FY27'!AC192</f>
        <v>331855</v>
      </c>
      <c r="F192" s="5">
        <f>'FY28'!AC192</f>
        <v>439230</v>
      </c>
      <c r="G192" s="5">
        <f>'FY29'!AC192</f>
        <v>543911</v>
      </c>
      <c r="H192" s="10">
        <f>'FY30'!AC192</f>
        <v>388925</v>
      </c>
    </row>
    <row r="193" spans="1:17" x14ac:dyDescent="0.35">
      <c r="A193" s="26" t="s">
        <v>255</v>
      </c>
      <c r="B193" s="47">
        <f>'FY24'!I193</f>
        <v>6665</v>
      </c>
      <c r="C193" s="5">
        <f>'FY25'!I193</f>
        <v>0</v>
      </c>
      <c r="D193" s="5">
        <f>'FY26'!AC193</f>
        <v>0</v>
      </c>
      <c r="E193" s="5">
        <f>'FY27'!AC193</f>
        <v>0</v>
      </c>
      <c r="F193" s="5">
        <f>'FY28'!AC193</f>
        <v>0</v>
      </c>
      <c r="G193" s="5">
        <f>'FY29'!AC193</f>
        <v>0</v>
      </c>
      <c r="H193" s="10">
        <f>'FY30'!AC193</f>
        <v>0</v>
      </c>
    </row>
    <row r="194" spans="1:17" x14ac:dyDescent="0.35">
      <c r="A194" s="26" t="s">
        <v>275</v>
      </c>
      <c r="B194" s="47">
        <f>'FY24'!I194</f>
        <v>7500</v>
      </c>
      <c r="C194" s="5">
        <f>'FY25'!I194</f>
        <v>10500</v>
      </c>
      <c r="D194" s="5">
        <f>'FY26'!AC194</f>
        <v>18000</v>
      </c>
      <c r="E194" s="5">
        <f>'FY27'!AC194</f>
        <v>22500</v>
      </c>
      <c r="F194" s="5">
        <f>'FY28'!AC194</f>
        <v>30500</v>
      </c>
      <c r="G194" s="5">
        <f>'FY29'!AC194</f>
        <v>31500</v>
      </c>
      <c r="H194" s="10">
        <f>'FY30'!AC194</f>
        <v>40500</v>
      </c>
    </row>
    <row r="195" spans="1:17" x14ac:dyDescent="0.35">
      <c r="A195" s="69" t="s">
        <v>458</v>
      </c>
      <c r="B195" s="47">
        <f>'FY24'!I195</f>
        <v>89301.36</v>
      </c>
      <c r="C195" s="5">
        <f>'FY25'!I195</f>
        <v>210967.74</v>
      </c>
      <c r="D195" s="5">
        <f>'FY26'!AC195</f>
        <v>196044.71249999999</v>
      </c>
      <c r="E195" s="5">
        <f>'FY27'!AC195</f>
        <v>340633.82500000007</v>
      </c>
      <c r="F195" s="5">
        <f>'FY28'!AC195</f>
        <v>329148</v>
      </c>
      <c r="G195" s="5">
        <f>'FY29'!AC195</f>
        <v>289722.87</v>
      </c>
      <c r="H195" s="10">
        <f>'FY30'!AC195</f>
        <v>464228.8</v>
      </c>
      <c r="J195" s="153">
        <f>B195/B74</f>
        <v>0.02</v>
      </c>
      <c r="K195" s="153">
        <f>C195/C74</f>
        <v>4.4999999999999998E-2</v>
      </c>
      <c r="L195" s="153">
        <f>D195/D74</f>
        <v>1.6653814935064935E-2</v>
      </c>
      <c r="M195" s="153">
        <f>E195/E74</f>
        <v>2.4953835227272732E-2</v>
      </c>
      <c r="N195" s="153">
        <f>F195/F74</f>
        <v>2.0776397515527949E-2</v>
      </c>
      <c r="O195" s="153">
        <f t="shared" ref="O195:P195" si="89">G195/G74</f>
        <v>1.6306913996627318E-2</v>
      </c>
      <c r="P195" s="153">
        <f t="shared" si="89"/>
        <v>2.3792207792207792E-2</v>
      </c>
      <c r="Q195" s="153"/>
    </row>
    <row r="196" spans="1:17" x14ac:dyDescent="0.35">
      <c r="A196" s="62" t="s">
        <v>182</v>
      </c>
      <c r="B196" s="63">
        <f>SUM(B172:B195)</f>
        <v>668877.96</v>
      </c>
      <c r="C196" s="63">
        <f t="shared" ref="C196:G196" si="90">SUM(C172:C195)</f>
        <v>796947.6399999999</v>
      </c>
      <c r="D196" s="63">
        <f t="shared" si="90"/>
        <v>1916330.2375</v>
      </c>
      <c r="E196" s="63">
        <f t="shared" si="90"/>
        <v>2497386.2999</v>
      </c>
      <c r="F196" s="63">
        <f t="shared" si="90"/>
        <v>2865745.6255069999</v>
      </c>
      <c r="G196" s="63">
        <f t="shared" si="90"/>
        <v>3139851.4036286999</v>
      </c>
      <c r="H196" s="63">
        <f t="shared" ref="H196" si="91">SUM(H172:H195)</f>
        <v>3340837.2308243238</v>
      </c>
    </row>
    <row r="197" spans="1:17" x14ac:dyDescent="0.35">
      <c r="A197" s="66" t="s">
        <v>154</v>
      </c>
      <c r="B197" s="15" t="str">
        <f t="shared" ref="B197:G197" si="92">B1</f>
        <v>FY24 (23-24)</v>
      </c>
      <c r="C197" s="15" t="str">
        <f t="shared" si="92"/>
        <v>FY25 (24-25)</v>
      </c>
      <c r="D197" s="15" t="str">
        <f t="shared" si="92"/>
        <v>FY26 (25-26)</v>
      </c>
      <c r="E197" s="15" t="str">
        <f t="shared" si="92"/>
        <v>FY27 (26-27)</v>
      </c>
      <c r="F197" s="15" t="str">
        <f t="shared" si="92"/>
        <v>FY28 (27-28)</v>
      </c>
      <c r="G197" s="15" t="str">
        <f t="shared" si="92"/>
        <v>FY29 (28-29)</v>
      </c>
      <c r="H197" s="15" t="str">
        <f t="shared" ref="H197" si="93">H1</f>
        <v>FY30 (29-30)</v>
      </c>
    </row>
    <row r="198" spans="1:17" x14ac:dyDescent="0.35">
      <c r="A198" s="71" t="s">
        <v>155</v>
      </c>
      <c r="B198" s="47">
        <f>'FY24'!I198</f>
        <v>30000</v>
      </c>
      <c r="C198" s="5">
        <f>'FY25'!I198</f>
        <v>31500</v>
      </c>
      <c r="D198" s="5">
        <f>'FY26'!AC198</f>
        <v>105130</v>
      </c>
      <c r="E198" s="5">
        <f>'FY27'!AC198</f>
        <v>108772.6</v>
      </c>
      <c r="F198" s="5">
        <f>'FY28'!AC198</f>
        <v>140928.052</v>
      </c>
      <c r="G198" s="5">
        <f>'FY29'!AC198</f>
        <v>149096.61304</v>
      </c>
      <c r="H198" s="10">
        <f>'FY30'!AC198</f>
        <v>153743.5453008</v>
      </c>
    </row>
    <row r="199" spans="1:17" x14ac:dyDescent="0.35">
      <c r="A199" s="26" t="s">
        <v>156</v>
      </c>
      <c r="B199" s="47">
        <f>'FY24'!I199</f>
        <v>0</v>
      </c>
      <c r="C199" s="5">
        <f>'FY25'!I199</f>
        <v>0</v>
      </c>
      <c r="D199" s="5">
        <f>'FY26'!AC199</f>
        <v>12500</v>
      </c>
      <c r="E199" s="5">
        <f>'FY27'!AC199</f>
        <v>13500</v>
      </c>
      <c r="F199" s="5">
        <f>'FY28'!AC199</f>
        <v>25750</v>
      </c>
      <c r="G199" s="5">
        <f>'FY29'!AC199</f>
        <v>30000</v>
      </c>
      <c r="H199" s="10">
        <f>'FY30'!AC199</f>
        <v>30900</v>
      </c>
    </row>
    <row r="200" spans="1:17" x14ac:dyDescent="0.35">
      <c r="A200" s="26" t="s">
        <v>157</v>
      </c>
      <c r="B200" s="47">
        <f>'FY24'!I200</f>
        <v>0</v>
      </c>
      <c r="C200" s="5">
        <f>'FY25'!I200</f>
        <v>0</v>
      </c>
      <c r="D200" s="5">
        <f>'FY26'!AC200</f>
        <v>12000</v>
      </c>
      <c r="E200" s="5">
        <f>'FY27'!AC200</f>
        <v>13000</v>
      </c>
      <c r="F200" s="5">
        <f>'FY28'!AC200</f>
        <v>30000</v>
      </c>
      <c r="G200" s="5">
        <f>'FY29'!AC200</f>
        <v>40000</v>
      </c>
      <c r="H200" s="10">
        <f>'FY30'!AC200</f>
        <v>41200</v>
      </c>
    </row>
    <row r="201" spans="1:17" x14ac:dyDescent="0.35">
      <c r="A201" s="26" t="s">
        <v>158</v>
      </c>
      <c r="B201" s="47">
        <f>'FY24'!I201</f>
        <v>0</v>
      </c>
      <c r="C201" s="5">
        <f>'FY25'!I201</f>
        <v>0</v>
      </c>
      <c r="D201" s="5">
        <f>'FY26'!AC201</f>
        <v>35000</v>
      </c>
      <c r="E201" s="5">
        <f>'FY27'!AC201</f>
        <v>36000</v>
      </c>
      <c r="F201" s="5">
        <f>'FY28'!AC201</f>
        <v>43350</v>
      </c>
      <c r="G201" s="5">
        <f>'FY29'!AC201</f>
        <v>45000</v>
      </c>
      <c r="H201" s="10">
        <f>'FY30'!AC201</f>
        <v>46350</v>
      </c>
    </row>
    <row r="202" spans="1:17" x14ac:dyDescent="0.35">
      <c r="A202" s="26" t="s">
        <v>159</v>
      </c>
      <c r="B202" s="47">
        <f>'FY24'!I202</f>
        <v>5000</v>
      </c>
      <c r="C202" s="5">
        <f>'FY25'!I202</f>
        <v>5500</v>
      </c>
      <c r="D202" s="5">
        <f>'FY26'!AC202</f>
        <v>13500</v>
      </c>
      <c r="E202" s="5">
        <f>'FY27'!AC202</f>
        <v>14500</v>
      </c>
      <c r="F202" s="5">
        <f>'FY28'!AC202</f>
        <v>18850</v>
      </c>
      <c r="G202" s="5">
        <f>'FY29'!AC202</f>
        <v>21700</v>
      </c>
      <c r="H202" s="10">
        <f>'FY30'!AC202</f>
        <v>22575</v>
      </c>
    </row>
    <row r="203" spans="1:17" x14ac:dyDescent="0.35">
      <c r="A203" s="26" t="s">
        <v>160</v>
      </c>
      <c r="B203" s="47">
        <f>'FY24'!I203</f>
        <v>37895</v>
      </c>
      <c r="C203" s="5">
        <f>'FY25'!I203</f>
        <v>39789.75</v>
      </c>
      <c r="D203" s="5">
        <f>'FY26'!AC203</f>
        <v>115783.4425</v>
      </c>
      <c r="E203" s="5">
        <f>'FY27'!AC203</f>
        <v>137522.78020000001</v>
      </c>
      <c r="F203" s="5">
        <f>'FY28'!AC203</f>
        <v>151151.463606</v>
      </c>
      <c r="G203" s="5">
        <f>'FY29'!AC203</f>
        <v>162218.50751418</v>
      </c>
      <c r="H203" s="10">
        <f>'FY30'!AC203</f>
        <v>177225.0627396054</v>
      </c>
    </row>
    <row r="204" spans="1:17" x14ac:dyDescent="0.35">
      <c r="A204" s="26" t="s">
        <v>162</v>
      </c>
      <c r="B204" s="47">
        <f>'FY24'!I204</f>
        <v>50000</v>
      </c>
      <c r="C204" s="5">
        <f>'FY25'!I204</f>
        <v>51000</v>
      </c>
      <c r="D204" s="5">
        <f>'FY26'!AC204</f>
        <v>77000</v>
      </c>
      <c r="E204" s="5">
        <f>'FY27'!AC204</f>
        <v>98000</v>
      </c>
      <c r="F204" s="5">
        <f>'FY28'!AC204</f>
        <v>129000</v>
      </c>
      <c r="G204" s="5">
        <f>'FY29'!AC204</f>
        <v>140000</v>
      </c>
      <c r="H204" s="10">
        <f>'FY30'!AC204</f>
        <v>156000</v>
      </c>
    </row>
    <row r="205" spans="1:17" x14ac:dyDescent="0.35">
      <c r="A205" s="26" t="s">
        <v>163</v>
      </c>
      <c r="B205" s="47">
        <f>'FY24'!I205</f>
        <v>0</v>
      </c>
      <c r="C205" s="5">
        <f>'FY25'!I205</f>
        <v>0</v>
      </c>
      <c r="D205" s="5">
        <f>'FY26'!AC205</f>
        <v>15000</v>
      </c>
      <c r="E205" s="5">
        <f>'FY27'!AC205</f>
        <v>15000</v>
      </c>
      <c r="F205" s="5">
        <f>'FY28'!AC205</f>
        <v>18000</v>
      </c>
      <c r="G205" s="5">
        <f>'FY29'!AC205</f>
        <v>20000</v>
      </c>
      <c r="H205" s="10">
        <f>'FY30'!AC205</f>
        <v>25000</v>
      </c>
    </row>
    <row r="206" spans="1:17" x14ac:dyDescent="0.35">
      <c r="A206" s="26" t="s">
        <v>164</v>
      </c>
      <c r="B206" s="47">
        <f>'FY24'!I206</f>
        <v>0</v>
      </c>
      <c r="C206" s="5">
        <f>'FY25'!I206</f>
        <v>0</v>
      </c>
      <c r="D206" s="5">
        <f>'FY26'!AC206</f>
        <v>18900</v>
      </c>
      <c r="E206" s="5">
        <f>'FY27'!AC206</f>
        <v>19467</v>
      </c>
      <c r="F206" s="5">
        <f>'FY28'!AC206</f>
        <v>26250</v>
      </c>
      <c r="G206" s="5">
        <f>'FY29'!AC206</f>
        <v>27562.5</v>
      </c>
      <c r="H206" s="10">
        <f>'FY30'!AC206</f>
        <v>28940.625</v>
      </c>
    </row>
    <row r="207" spans="1:17" x14ac:dyDescent="0.35">
      <c r="A207" s="69" t="s">
        <v>165</v>
      </c>
      <c r="B207" s="47">
        <f>'FY24'!I207</f>
        <v>0</v>
      </c>
      <c r="C207" s="5">
        <f>'FY25'!I207</f>
        <v>0</v>
      </c>
      <c r="D207" s="5">
        <f>'FY26'!AC207</f>
        <v>21525</v>
      </c>
      <c r="E207" s="5">
        <f>'FY27'!AC207</f>
        <v>22170.75</v>
      </c>
      <c r="F207" s="5">
        <f>'FY28'!AC207</f>
        <v>30600</v>
      </c>
      <c r="G207" s="5">
        <f>'FY29'!AC207</f>
        <v>32130</v>
      </c>
      <c r="H207" s="10">
        <f>'FY30'!AC207</f>
        <v>33736.5</v>
      </c>
    </row>
    <row r="208" spans="1:17" x14ac:dyDescent="0.35">
      <c r="A208" s="62" t="s">
        <v>183</v>
      </c>
      <c r="B208" s="63">
        <f t="shared" ref="B208" si="94">SUM(B198:B207)</f>
        <v>122895</v>
      </c>
      <c r="C208" s="63">
        <f t="shared" ref="C208:G208" si="95">SUM(C198:C207)</f>
        <v>127789.75</v>
      </c>
      <c r="D208" s="63">
        <f t="shared" si="95"/>
        <v>426338.4425</v>
      </c>
      <c r="E208" s="63">
        <f t="shared" si="95"/>
        <v>477933.13020000001</v>
      </c>
      <c r="F208" s="63">
        <f t="shared" si="95"/>
        <v>613879.51560599997</v>
      </c>
      <c r="G208" s="63">
        <f t="shared" si="95"/>
        <v>667707.62055418</v>
      </c>
      <c r="H208" s="63">
        <f t="shared" ref="H208" si="96">SUM(H198:H207)</f>
        <v>715670.73304040544</v>
      </c>
    </row>
    <row r="209" spans="1:16" x14ac:dyDescent="0.35">
      <c r="A209" s="74"/>
      <c r="B209" s="5"/>
      <c r="C209" s="5"/>
      <c r="D209" s="5"/>
      <c r="E209" s="5"/>
      <c r="F209" s="5"/>
      <c r="G209" s="5"/>
      <c r="H209" s="5"/>
    </row>
    <row r="210" spans="1:16" x14ac:dyDescent="0.35">
      <c r="A210" s="62" t="s">
        <v>166</v>
      </c>
      <c r="B210" s="63">
        <f>B142+B154+B170+B196+B208</f>
        <v>5632767.5899999999</v>
      </c>
      <c r="C210" s="63">
        <f t="shared" ref="C210:G210" si="97">C142+C154+C170+C196+C208</f>
        <v>5783661.9780000001</v>
      </c>
      <c r="D210" s="63">
        <f t="shared" si="97"/>
        <v>12271593.888220001</v>
      </c>
      <c r="E210" s="63">
        <f t="shared" si="97"/>
        <v>15189678.690194799</v>
      </c>
      <c r="F210" s="63">
        <f t="shared" si="97"/>
        <v>17761566.634402674</v>
      </c>
      <c r="G210" s="63">
        <f t="shared" si="97"/>
        <v>19811118.15752108</v>
      </c>
      <c r="H210" s="63">
        <f t="shared" ref="H210" si="98">H142+H154+H170+H196+H208</f>
        <v>22033086.069651864</v>
      </c>
    </row>
    <row r="211" spans="1:16" x14ac:dyDescent="0.35">
      <c r="A211" s="75"/>
      <c r="B211" s="47"/>
      <c r="C211" s="47"/>
      <c r="D211" s="47"/>
      <c r="E211" s="47"/>
      <c r="F211" s="47"/>
      <c r="G211" s="47"/>
      <c r="H211" s="47"/>
    </row>
    <row r="212" spans="1:16" x14ac:dyDescent="0.35">
      <c r="A212" s="38" t="s">
        <v>167</v>
      </c>
      <c r="B212" s="218">
        <f>'FY24'!I212</f>
        <v>560503.98</v>
      </c>
      <c r="C212" s="9">
        <f>'FY25'!I212</f>
        <v>577680</v>
      </c>
      <c r="D212" s="9">
        <f>'FY26'!AC212</f>
        <v>1974625</v>
      </c>
      <c r="E212" s="9">
        <f>'FY27'!AC212</f>
        <v>2552250</v>
      </c>
      <c r="F212" s="9">
        <f>'FY28'!AC212</f>
        <v>2879155</v>
      </c>
      <c r="G212" s="9">
        <f>'FY29'!AC212</f>
        <v>3300525</v>
      </c>
      <c r="H212" s="222">
        <f>'FY30'!AC212</f>
        <v>3544960</v>
      </c>
    </row>
    <row r="213" spans="1:16" x14ac:dyDescent="0.35">
      <c r="A213" s="38" t="s">
        <v>184</v>
      </c>
      <c r="B213" s="218">
        <f>'FY24'!I213</f>
        <v>0</v>
      </c>
      <c r="C213" s="9">
        <f>'FY25'!I213</f>
        <v>0</v>
      </c>
      <c r="D213" s="9">
        <f>'FY26'!AC213</f>
        <v>0</v>
      </c>
      <c r="E213" s="9">
        <f>'FY27'!AC213</f>
        <v>0</v>
      </c>
      <c r="F213" s="9">
        <f>'FY28'!AC213</f>
        <v>0</v>
      </c>
      <c r="G213" s="9">
        <f>'FY29'!AC213</f>
        <v>0</v>
      </c>
      <c r="H213" s="222">
        <f>'FY30'!AC213</f>
        <v>0</v>
      </c>
    </row>
    <row r="214" spans="1:16" x14ac:dyDescent="0.35">
      <c r="A214" s="38" t="s">
        <v>185</v>
      </c>
      <c r="B214" s="218">
        <f>'FY24'!I214</f>
        <v>0</v>
      </c>
      <c r="C214" s="9">
        <f>'FY25'!I214</f>
        <v>0</v>
      </c>
      <c r="D214" s="9">
        <f>'FY26'!AC214</f>
        <v>0</v>
      </c>
      <c r="E214" s="9">
        <f>'FY27'!AC214</f>
        <v>0</v>
      </c>
      <c r="F214" s="9">
        <f>'FY28'!AC214</f>
        <v>0</v>
      </c>
      <c r="G214" s="9">
        <f>'FY29'!AC214</f>
        <v>0</v>
      </c>
      <c r="H214" s="222">
        <f>'FY30'!AC214</f>
        <v>0</v>
      </c>
    </row>
    <row r="215" spans="1:16" x14ac:dyDescent="0.35">
      <c r="A215" s="38" t="s">
        <v>186</v>
      </c>
      <c r="B215" s="218">
        <f>'FY24'!I215</f>
        <v>0</v>
      </c>
      <c r="C215" s="9">
        <f>'FY25'!I215</f>
        <v>0</v>
      </c>
      <c r="D215" s="9">
        <f>'FY26'!AC215</f>
        <v>0</v>
      </c>
      <c r="E215" s="9">
        <f>'FY27'!AC215</f>
        <v>0</v>
      </c>
      <c r="F215" s="9">
        <f>'FY28'!AC215</f>
        <v>0</v>
      </c>
      <c r="G215" s="9">
        <f>'FY29'!AC215</f>
        <v>0</v>
      </c>
      <c r="H215" s="222">
        <f>'FY30'!AC215</f>
        <v>0</v>
      </c>
    </row>
    <row r="216" spans="1:16" x14ac:dyDescent="0.35"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222">
        <f>'FY30'!AC216</f>
        <v>0</v>
      </c>
    </row>
    <row r="217" spans="1:16" ht="15" thickBot="1" x14ac:dyDescent="0.4">
      <c r="A217" s="38"/>
      <c r="B217" s="5">
        <v>0</v>
      </c>
      <c r="C217" s="30"/>
      <c r="D217" s="5">
        <v>0</v>
      </c>
      <c r="E217" s="5">
        <v>0</v>
      </c>
      <c r="F217" s="5">
        <v>0</v>
      </c>
      <c r="G217" s="5">
        <v>0</v>
      </c>
      <c r="H217" s="5">
        <v>0</v>
      </c>
    </row>
    <row r="218" spans="1:16" ht="15" thickBot="1" x14ac:dyDescent="0.4">
      <c r="A218" s="76" t="s">
        <v>168</v>
      </c>
      <c r="B218" s="77">
        <f t="shared" ref="B218" si="99">(B97+B103)-B210-B212-B213-B215-B214</f>
        <v>25225.229999999981</v>
      </c>
      <c r="C218" s="77">
        <f t="shared" ref="C218:G218" si="100">C97-C210-C212-C213-C215-C214</f>
        <v>5064.9819999998435</v>
      </c>
      <c r="D218" s="77">
        <f t="shared" si="100"/>
        <v>226151.75177999958</v>
      </c>
      <c r="E218" s="77">
        <f t="shared" si="100"/>
        <v>122263.40980520286</v>
      </c>
      <c r="F218" s="77">
        <f t="shared" si="100"/>
        <v>41752.565597325563</v>
      </c>
      <c r="G218" s="77">
        <f t="shared" si="100"/>
        <v>60167.182478919625</v>
      </c>
      <c r="H218" s="77">
        <f t="shared" ref="H218" si="101">H97-H210-H212-H213-H215-H214</f>
        <v>74812.180348135531</v>
      </c>
      <c r="J218" s="81" t="b">
        <f>B218='FY24'!I218</f>
        <v>1</v>
      </c>
      <c r="K218" s="81" t="b">
        <f>C218='FY25'!I218</f>
        <v>1</v>
      </c>
      <c r="L218" s="81" t="b">
        <f>D218='FY26'!AC218</f>
        <v>1</v>
      </c>
      <c r="M218" s="81" t="b">
        <f>E218='FY27'!AC218</f>
        <v>1</v>
      </c>
      <c r="N218" s="81" t="b">
        <f>F218='FY28'!AC218</f>
        <v>1</v>
      </c>
      <c r="O218" s="81" t="b">
        <f>G218='FY29'!AC218</f>
        <v>1</v>
      </c>
      <c r="P218" t="b">
        <f>H218='FY30'!AC218</f>
        <v>1</v>
      </c>
    </row>
    <row r="219" spans="1:16" x14ac:dyDescent="0.35">
      <c r="A219" s="78"/>
      <c r="B219" s="79">
        <v>1.6289386761219053E-3</v>
      </c>
      <c r="C219" s="79">
        <f t="shared" ref="C219" si="102">C218/(C97)</f>
        <v>7.9557936396825054E-4</v>
      </c>
      <c r="D219" s="79">
        <v>2.8460980558965995E-2</v>
      </c>
      <c r="E219" s="79">
        <v>1.7115991040953241E-2</v>
      </c>
      <c r="F219" s="79">
        <v>8.7428134123199684E-3</v>
      </c>
      <c r="G219" s="79">
        <v>7.8899752311926887E-3</v>
      </c>
      <c r="H219" s="79">
        <v>7.8899752311926887E-3</v>
      </c>
    </row>
    <row r="220" spans="1:16" x14ac:dyDescent="0.35">
      <c r="B220" s="80"/>
      <c r="C220" s="80"/>
      <c r="D220" s="80"/>
      <c r="E220" s="80"/>
      <c r="F220" s="80"/>
      <c r="G220" s="80"/>
      <c r="H220" s="80"/>
    </row>
    <row r="221" spans="1:16" x14ac:dyDescent="0.35">
      <c r="A221" s="1" t="str">
        <f t="shared" ref="A221" si="103">A1</f>
        <v xml:space="preserve">Mater Academy of Northern Nevada (MANN)  </v>
      </c>
      <c r="B221" s="1" t="str">
        <f t="shared" ref="B221:G221" si="104">B1</f>
        <v>FY24 (23-24)</v>
      </c>
      <c r="C221" s="1" t="str">
        <f t="shared" si="104"/>
        <v>FY25 (24-25)</v>
      </c>
      <c r="D221" s="1" t="str">
        <f t="shared" si="104"/>
        <v>FY26 (25-26)</v>
      </c>
      <c r="E221" s="1" t="str">
        <f t="shared" si="104"/>
        <v>FY27 (26-27)</v>
      </c>
      <c r="F221" s="1" t="str">
        <f t="shared" si="104"/>
        <v>FY28 (27-28)</v>
      </c>
      <c r="G221" s="1" t="str">
        <f t="shared" si="104"/>
        <v>FY29 (28-29)</v>
      </c>
      <c r="H221" s="1" t="str">
        <f t="shared" ref="H221" si="105">H1</f>
        <v>FY30 (29-30)</v>
      </c>
    </row>
    <row r="224" spans="1:16" x14ac:dyDescent="0.35">
      <c r="A224" s="82" t="s">
        <v>169</v>
      </c>
      <c r="B224" s="83">
        <f>B97-B210</f>
        <v>425729.20999999996</v>
      </c>
      <c r="C224" s="83">
        <f>C97-C210</f>
        <v>582744.98199999984</v>
      </c>
      <c r="D224" s="83">
        <f t="shared" ref="D224:G224" si="106">D97-D210</f>
        <v>2200776.7517799996</v>
      </c>
      <c r="E224" s="83">
        <f t="shared" si="106"/>
        <v>2674513.4098052029</v>
      </c>
      <c r="F224" s="83">
        <f t="shared" si="106"/>
        <v>2920907.5655973256</v>
      </c>
      <c r="G224" s="83">
        <f t="shared" si="106"/>
        <v>3360692.1824789196</v>
      </c>
      <c r="H224" s="83">
        <f t="shared" ref="H224" si="107">H97-H210</f>
        <v>3619772.1803481355</v>
      </c>
    </row>
    <row r="225" spans="1:10" x14ac:dyDescent="0.35">
      <c r="A225"/>
      <c r="B225" s="7"/>
      <c r="C225" s="7"/>
      <c r="D225" s="7"/>
      <c r="E225" s="7"/>
      <c r="F225" s="7"/>
      <c r="G225" s="7"/>
      <c r="H225" s="7"/>
    </row>
    <row r="226" spans="1:10" x14ac:dyDescent="0.35">
      <c r="A226" s="84" t="str">
        <f t="shared" ref="A226:C228" si="108">A212</f>
        <v>Scheduled Lease Payment</v>
      </c>
      <c r="B226" s="85">
        <f t="shared" si="108"/>
        <v>560503.98</v>
      </c>
      <c r="C226" s="85">
        <f t="shared" si="108"/>
        <v>577680</v>
      </c>
      <c r="D226" s="85">
        <f t="shared" ref="D226:G226" si="109">D212</f>
        <v>1974625</v>
      </c>
      <c r="E226" s="85">
        <f t="shared" si="109"/>
        <v>2552250</v>
      </c>
      <c r="F226" s="85">
        <f t="shared" si="109"/>
        <v>2879155</v>
      </c>
      <c r="G226" s="85">
        <f t="shared" si="109"/>
        <v>3300525</v>
      </c>
      <c r="H226" s="85">
        <f t="shared" ref="H226" si="110">H212</f>
        <v>3544960</v>
      </c>
    </row>
    <row r="227" spans="1:10" x14ac:dyDescent="0.35">
      <c r="A227" s="84" t="str">
        <f t="shared" si="108"/>
        <v>Scheduled Bond Payment - Principal</v>
      </c>
      <c r="B227" s="85">
        <f t="shared" si="108"/>
        <v>0</v>
      </c>
      <c r="C227" s="85">
        <f t="shared" si="108"/>
        <v>0</v>
      </c>
      <c r="D227" s="85">
        <f t="shared" ref="D227:G227" si="111">D213</f>
        <v>0</v>
      </c>
      <c r="E227" s="85">
        <f t="shared" si="111"/>
        <v>0</v>
      </c>
      <c r="F227" s="85">
        <f t="shared" si="111"/>
        <v>0</v>
      </c>
      <c r="G227" s="85">
        <f t="shared" si="111"/>
        <v>0</v>
      </c>
      <c r="H227" s="85">
        <f t="shared" ref="H227" si="112">H213</f>
        <v>0</v>
      </c>
    </row>
    <row r="228" spans="1:10" x14ac:dyDescent="0.35">
      <c r="A228" s="84" t="str">
        <f t="shared" si="108"/>
        <v>Scheduled Bond Payment - Interest</v>
      </c>
      <c r="B228" s="85">
        <f t="shared" si="108"/>
        <v>0</v>
      </c>
      <c r="C228" s="85">
        <f t="shared" si="108"/>
        <v>0</v>
      </c>
      <c r="D228" s="85">
        <f t="shared" ref="D228:G228" si="113">D214</f>
        <v>0</v>
      </c>
      <c r="E228" s="85">
        <f t="shared" si="113"/>
        <v>0</v>
      </c>
      <c r="F228" s="85">
        <f t="shared" si="113"/>
        <v>0</v>
      </c>
      <c r="G228" s="85">
        <f t="shared" si="113"/>
        <v>0</v>
      </c>
      <c r="H228" s="85">
        <f t="shared" ref="H228" si="114">H214</f>
        <v>0</v>
      </c>
    </row>
    <row r="229" spans="1:10" x14ac:dyDescent="0.35">
      <c r="A229"/>
      <c r="B229" s="85"/>
      <c r="C229" s="85"/>
      <c r="D229" s="85"/>
      <c r="E229" s="85"/>
      <c r="F229" s="85"/>
      <c r="G229" s="85"/>
      <c r="H229" s="85"/>
    </row>
    <row r="230" spans="1:10" x14ac:dyDescent="0.35">
      <c r="A230" s="82" t="s">
        <v>170</v>
      </c>
      <c r="B230" s="86">
        <f>SUM(B226:B228)</f>
        <v>560503.98</v>
      </c>
      <c r="C230" s="86">
        <f>SUM(C226:C228)</f>
        <v>577680</v>
      </c>
      <c r="D230" s="86">
        <f t="shared" ref="D230:G230" si="115">SUM(D226:D228)</f>
        <v>1974625</v>
      </c>
      <c r="E230" s="86">
        <f t="shared" si="115"/>
        <v>2552250</v>
      </c>
      <c r="F230" s="86">
        <f t="shared" si="115"/>
        <v>2879155</v>
      </c>
      <c r="G230" s="86">
        <f t="shared" si="115"/>
        <v>3300525</v>
      </c>
      <c r="H230" s="86">
        <f t="shared" ref="H230" si="116">SUM(H226:H228)</f>
        <v>3544960</v>
      </c>
    </row>
    <row r="231" spans="1:10" x14ac:dyDescent="0.35">
      <c r="A231" s="87" t="s">
        <v>171</v>
      </c>
      <c r="B231" s="88">
        <f>B224/B230</f>
        <v>0.75954716681940415</v>
      </c>
      <c r="C231" s="88">
        <f>C224/C230</f>
        <v>1.0087677987813319</v>
      </c>
      <c r="D231" s="88">
        <f t="shared" ref="D231:G231" si="117">D224/D230</f>
        <v>1.1145289620966004</v>
      </c>
      <c r="E231" s="88">
        <f t="shared" si="117"/>
        <v>1.0479041668352249</v>
      </c>
      <c r="F231" s="88">
        <f t="shared" si="117"/>
        <v>1.0145016734414527</v>
      </c>
      <c r="G231" s="88">
        <f t="shared" si="117"/>
        <v>1.0182295793787108</v>
      </c>
      <c r="H231" s="88">
        <f t="shared" ref="H231" si="118">H224/H230</f>
        <v>1.021103815091887</v>
      </c>
    </row>
    <row r="232" spans="1:10" x14ac:dyDescent="0.35">
      <c r="A232"/>
      <c r="B232" s="7"/>
      <c r="C232" s="7"/>
      <c r="D232" s="7"/>
      <c r="E232" s="7"/>
      <c r="F232" s="7"/>
      <c r="G232" s="7"/>
      <c r="H232" s="7"/>
    </row>
    <row r="233" spans="1:10" x14ac:dyDescent="0.35">
      <c r="A233" s="90" t="s">
        <v>172</v>
      </c>
      <c r="B233" s="91"/>
      <c r="C233" s="91"/>
      <c r="D233" s="91"/>
      <c r="E233" s="91"/>
      <c r="F233" s="91"/>
      <c r="G233" s="91"/>
      <c r="H233" s="91"/>
    </row>
    <row r="234" spans="1:10" x14ac:dyDescent="0.35">
      <c r="A234" t="s">
        <v>505</v>
      </c>
      <c r="B234" s="93">
        <v>1257925</v>
      </c>
      <c r="C234" s="307">
        <f>B237</f>
        <v>1711262.23</v>
      </c>
      <c r="D234" s="307">
        <f t="shared" ref="D234:H234" si="119">C237</f>
        <v>1716327.2119999998</v>
      </c>
      <c r="E234" s="307">
        <f t="shared" si="119"/>
        <v>1942478.9637799994</v>
      </c>
      <c r="F234" s="307">
        <f t="shared" si="119"/>
        <v>2064742.3735852023</v>
      </c>
      <c r="G234" s="307">
        <f t="shared" si="119"/>
        <v>2106494.9391825278</v>
      </c>
      <c r="H234" s="307">
        <f t="shared" si="119"/>
        <v>2166662.1216614475</v>
      </c>
    </row>
    <row r="235" spans="1:10" x14ac:dyDescent="0.35">
      <c r="A235" s="7" t="s">
        <v>174</v>
      </c>
      <c r="B235" s="92">
        <v>428112</v>
      </c>
      <c r="C235" s="308"/>
      <c r="D235" s="308"/>
      <c r="E235" s="308"/>
      <c r="F235" s="308"/>
      <c r="G235" s="308"/>
      <c r="H235" s="308"/>
    </row>
    <row r="236" spans="1:10" x14ac:dyDescent="0.35">
      <c r="A236" s="7" t="s">
        <v>175</v>
      </c>
      <c r="B236" s="92">
        <f>B218</f>
        <v>25225.229999999981</v>
      </c>
      <c r="C236" s="92">
        <f t="shared" ref="C236:G236" si="120">C218</f>
        <v>5064.9819999998435</v>
      </c>
      <c r="D236" s="92">
        <f t="shared" si="120"/>
        <v>226151.75177999958</v>
      </c>
      <c r="E236" s="92">
        <f t="shared" si="120"/>
        <v>122263.40980520286</v>
      </c>
      <c r="F236" s="92">
        <f t="shared" si="120"/>
        <v>41752.565597325563</v>
      </c>
      <c r="G236" s="92">
        <f t="shared" si="120"/>
        <v>60167.182478919625</v>
      </c>
      <c r="H236" s="92">
        <f t="shared" ref="H236" si="121">H218</f>
        <v>74812.180348135531</v>
      </c>
    </row>
    <row r="237" spans="1:10" x14ac:dyDescent="0.35">
      <c r="A237" s="94" t="s">
        <v>176</v>
      </c>
      <c r="B237" s="95">
        <f>SUM(B234:B236)</f>
        <v>1711262.23</v>
      </c>
      <c r="C237" s="95">
        <f>SUM(C234:C236)</f>
        <v>1716327.2119999998</v>
      </c>
      <c r="D237" s="95">
        <f t="shared" ref="D237:G237" si="122">SUM(D234:D236)</f>
        <v>1942478.9637799994</v>
      </c>
      <c r="E237" s="95">
        <f t="shared" si="122"/>
        <v>2064742.3735852023</v>
      </c>
      <c r="F237" s="95">
        <f t="shared" si="122"/>
        <v>2106494.9391825278</v>
      </c>
      <c r="G237" s="95">
        <f t="shared" si="122"/>
        <v>2166662.1216614475</v>
      </c>
      <c r="H237" s="95">
        <f t="shared" ref="H237" si="123">SUM(H234:H236)</f>
        <v>2241474.302009583</v>
      </c>
    </row>
    <row r="238" spans="1:10" x14ac:dyDescent="0.35">
      <c r="A238" s="96" t="s">
        <v>177</v>
      </c>
      <c r="B238" s="97">
        <f>B237/((SUM(B210:B216))/365)</f>
        <v>100.85311242858997</v>
      </c>
      <c r="C238" s="97">
        <f>C237/((SUM(C210:C216))/365)</f>
        <v>98.479131376137431</v>
      </c>
      <c r="D238" s="97">
        <f t="shared" ref="D238:G238" si="124">D237/((SUM(D210:D216))/365)</f>
        <v>49.767929816518958</v>
      </c>
      <c r="E238" s="97">
        <f t="shared" si="124"/>
        <v>42.477398005499715</v>
      </c>
      <c r="F238" s="97">
        <f t="shared" si="124"/>
        <v>37.250182741678799</v>
      </c>
      <c r="G238" s="97">
        <f t="shared" si="124"/>
        <v>34.217890481277735</v>
      </c>
      <c r="H238" s="97">
        <f t="shared" ref="H238" si="125">H237/((SUM(H210:H216))/365)</f>
        <v>31.985950686210227</v>
      </c>
    </row>
    <row r="239" spans="1:10" x14ac:dyDescent="0.35">
      <c r="A239"/>
    </row>
    <row r="240" spans="1:10" x14ac:dyDescent="0.35">
      <c r="I240" s="7"/>
      <c r="J240" s="219" t="s">
        <v>368</v>
      </c>
    </row>
    <row r="241" spans="1:10" x14ac:dyDescent="0.35">
      <c r="A241" s="142" t="s">
        <v>369</v>
      </c>
      <c r="B241" s="153">
        <f>B132/SUM(B210:B215)</f>
        <v>0.41385558037139325</v>
      </c>
      <c r="C241" s="153">
        <f t="shared" ref="C241:G241" si="126">C132/SUM(C210:C215)</f>
        <v>0.42055490952258312</v>
      </c>
      <c r="D241" s="153">
        <f t="shared" si="126"/>
        <v>0.3727568318770586</v>
      </c>
      <c r="E241" s="153">
        <f t="shared" si="126"/>
        <v>0.36708906136340075</v>
      </c>
      <c r="F241" s="153">
        <f t="shared" si="126"/>
        <v>0.3672987895063205</v>
      </c>
      <c r="G241" s="153">
        <f t="shared" si="126"/>
        <v>0.36639237945747866</v>
      </c>
      <c r="H241" s="153">
        <f t="shared" ref="H241" si="127">H132/SUM(H210:H215)</f>
        <v>0.37205457548120668</v>
      </c>
      <c r="I241" s="7"/>
      <c r="J241" s="220">
        <f>AVERAGE(B241:G241)</f>
        <v>0.38465792534970583</v>
      </c>
    </row>
    <row r="242" spans="1:10" x14ac:dyDescent="0.35">
      <c r="A242" s="142" t="s">
        <v>370</v>
      </c>
      <c r="B242" s="153">
        <f>(B141-B140)/SUM(B210:B215)</f>
        <v>0.21272934427449949</v>
      </c>
      <c r="C242" s="153">
        <f t="shared" ref="C242:G242" si="128">(C141-C140)/SUM(C210:C215)</f>
        <v>0.21532392421868318</v>
      </c>
      <c r="D242" s="153">
        <f t="shared" si="128"/>
        <v>0.18682350243970916</v>
      </c>
      <c r="E242" s="153">
        <f t="shared" si="128"/>
        <v>0.18670161323562562</v>
      </c>
      <c r="F242" s="153">
        <f t="shared" si="128"/>
        <v>0.18776372463533808</v>
      </c>
      <c r="G242" s="153">
        <f t="shared" si="128"/>
        <v>0.18919801719761856</v>
      </c>
      <c r="H242" s="153">
        <f t="shared" ref="H242" si="129">(H141-H140)/SUM(H210:H215)</f>
        <v>0.19362575117026815</v>
      </c>
      <c r="I242" s="7"/>
      <c r="J242" s="220">
        <f t="shared" ref="J242:J254" si="130">AVERAGE(B242:G242)</f>
        <v>0.19642335433357902</v>
      </c>
    </row>
    <row r="243" spans="1:10" x14ac:dyDescent="0.35">
      <c r="A243" s="142" t="s">
        <v>123</v>
      </c>
      <c r="B243" s="153">
        <f>B161/SUM(B210:B215)</f>
        <v>2.4873767968808767E-3</v>
      </c>
      <c r="C243" s="153">
        <f t="shared" ref="C243:G243" si="131">C161/SUM(C210:C215)</f>
        <v>3.0701069157329304E-3</v>
      </c>
      <c r="D243" s="153">
        <f t="shared" si="131"/>
        <v>2.7509053670658999E-3</v>
      </c>
      <c r="E243" s="153">
        <f t="shared" si="131"/>
        <v>2.4577373047440219E-3</v>
      </c>
      <c r="F243" s="153">
        <f t="shared" si="131"/>
        <v>2.2803224050825244E-3</v>
      </c>
      <c r="G243" s="153">
        <f t="shared" si="131"/>
        <v>2.4367588066395419E-3</v>
      </c>
      <c r="H243" s="153">
        <f t="shared" ref="H243" si="132">H161/SUM(H210:H215)</f>
        <v>2.4818158442258217E-3</v>
      </c>
      <c r="I243" s="153"/>
      <c r="J243" s="220">
        <f t="shared" si="130"/>
        <v>2.5805345993576323E-3</v>
      </c>
    </row>
    <row r="244" spans="1:10" x14ac:dyDescent="0.35">
      <c r="A244" s="142" t="s">
        <v>371</v>
      </c>
      <c r="B244" s="153">
        <f>(B160+B167+B168)/SUM(B210:B215)</f>
        <v>4.7012419318147231E-2</v>
      </c>
      <c r="C244" s="153">
        <f t="shared" ref="C244:G244" si="133">(C160+C167+C168)/SUM(C210:C215)</f>
        <v>4.6121041914530439E-2</v>
      </c>
      <c r="D244" s="153">
        <f t="shared" si="133"/>
        <v>5.1070224717774573E-2</v>
      </c>
      <c r="E244" s="153">
        <f t="shared" si="133"/>
        <v>4.6977169988323797E-2</v>
      </c>
      <c r="F244" s="153">
        <f t="shared" si="133"/>
        <v>4.6285881711017406E-2</v>
      </c>
      <c r="G244" s="153">
        <f t="shared" si="133"/>
        <v>4.5789636106232996E-2</v>
      </c>
      <c r="H244" s="153">
        <f t="shared" ref="H244" si="134">(H160+H167+H168)/SUM(H210:H215)</f>
        <v>4.488196623283449E-2</v>
      </c>
      <c r="I244" s="7"/>
      <c r="J244" s="220">
        <f t="shared" si="130"/>
        <v>4.7209395626004409E-2</v>
      </c>
    </row>
    <row r="245" spans="1:10" x14ac:dyDescent="0.35">
      <c r="A245" s="142" t="s">
        <v>372</v>
      </c>
      <c r="B245" s="153">
        <f>(B140+B157+B156)/SUM(B210:B215)</f>
        <v>2.1588751355206597E-2</v>
      </c>
      <c r="C245" s="153">
        <f t="shared" ref="C245:G245" si="135">(C140+C157+C156)/SUM(C210:C215)</f>
        <v>1.9742375183464788E-2</v>
      </c>
      <c r="D245" s="153">
        <f t="shared" si="135"/>
        <v>2.9016940090806798E-2</v>
      </c>
      <c r="E245" s="153">
        <f t="shared" si="135"/>
        <v>3.067907731839856E-2</v>
      </c>
      <c r="F245" s="153">
        <f t="shared" si="135"/>
        <v>3.4618903440324353E-2</v>
      </c>
      <c r="G245" s="153">
        <f t="shared" si="135"/>
        <v>3.4624755849070141E-2</v>
      </c>
      <c r="H245" s="153">
        <f t="shared" ref="H245" si="136">(H140+H157+H156)/SUM(H210:H215)</f>
        <v>3.6312396477462504E-2</v>
      </c>
      <c r="I245" s="7"/>
      <c r="J245" s="220">
        <f t="shared" si="130"/>
        <v>2.8378467206211871E-2</v>
      </c>
    </row>
    <row r="246" spans="1:10" x14ac:dyDescent="0.35">
      <c r="A246" s="142" t="s">
        <v>373</v>
      </c>
      <c r="B246" s="153">
        <f>(B191+B192+B193+B146+B177)/SUM(B210:B215)</f>
        <v>3.6123880161127823E-2</v>
      </c>
      <c r="C246" s="153">
        <f t="shared" ref="C246:G246" si="137">(C191+C192+C193+C146+C177)/SUM(C210:C215)</f>
        <v>4.8574656270428855E-3</v>
      </c>
      <c r="D246" s="153">
        <f t="shared" si="137"/>
        <v>2.1630862365508895E-2</v>
      </c>
      <c r="E246" s="153">
        <f t="shared" si="137"/>
        <v>2.9389307617281091E-2</v>
      </c>
      <c r="F246" s="153">
        <f t="shared" si="137"/>
        <v>3.0961998873858386E-2</v>
      </c>
      <c r="G246" s="153">
        <f t="shared" si="137"/>
        <v>3.1783893295399497E-2</v>
      </c>
      <c r="H246" s="153">
        <f t="shared" ref="H246" si="138">(H191+H192+H193+H146+H177)/SUM(H210:H215)</f>
        <v>2.1634920763419045E-2</v>
      </c>
      <c r="I246" s="7"/>
      <c r="J246" s="220">
        <f t="shared" si="130"/>
        <v>2.5791234656703094E-2</v>
      </c>
    </row>
    <row r="247" spans="1:10" x14ac:dyDescent="0.35">
      <c r="A247" s="142" t="s">
        <v>374</v>
      </c>
      <c r="B247" s="153">
        <f>(B144+B147+B148+B149+B150+B151+B152+B153)/SUM(B210:B215)</f>
        <v>3.1514200175788515E-2</v>
      </c>
      <c r="C247" s="153">
        <f t="shared" ref="C247:G247" si="139">(C144+C147+C148+C149+C150+C151+C152+C153)/SUM(C210:C215)</f>
        <v>3.1699286203663364E-2</v>
      </c>
      <c r="D247" s="153">
        <f t="shared" si="139"/>
        <v>3.1601718570551253E-2</v>
      </c>
      <c r="E247" s="153">
        <f t="shared" si="139"/>
        <v>3.3631969241865352E-2</v>
      </c>
      <c r="F247" s="153">
        <f t="shared" si="139"/>
        <v>3.394164275886153E-2</v>
      </c>
      <c r="G247" s="153">
        <f t="shared" si="139"/>
        <v>3.468598033191439E-2</v>
      </c>
      <c r="H247" s="153">
        <f t="shared" ref="H247" si="140">(H144+H147+H148+H149+H150+H151+H152+H153)/SUM(H210:H215)</f>
        <v>3.4686777777473747E-2</v>
      </c>
      <c r="I247" s="7"/>
      <c r="J247" s="220">
        <f t="shared" si="130"/>
        <v>3.2845799547107396E-2</v>
      </c>
    </row>
    <row r="248" spans="1:10" x14ac:dyDescent="0.35">
      <c r="A248" s="142" t="s">
        <v>2</v>
      </c>
      <c r="B248" s="153">
        <f>(B182+B183)/SUM(B210:B215)</f>
        <v>6.9691211683778939E-2</v>
      </c>
      <c r="C248" s="153">
        <f t="shared" ref="C248:G248" si="141">(C182+C183)/SUM(C210:C215)</f>
        <v>7.3627388940855965E-2</v>
      </c>
      <c r="D248" s="153">
        <f t="shared" si="141"/>
        <v>8.2812373532708372E-2</v>
      </c>
      <c r="E248" s="153">
        <f t="shared" si="141"/>
        <v>7.7352221619425968E-2</v>
      </c>
      <c r="F248" s="153">
        <f t="shared" si="141"/>
        <v>7.7361539401730808E-2</v>
      </c>
      <c r="G248" s="153">
        <f t="shared" si="141"/>
        <v>7.7659259783782103E-2</v>
      </c>
      <c r="H248" s="153">
        <f t="shared" ref="H248" si="142">(H182+H183)/SUM(H210:H215)</f>
        <v>7.7216609690267946E-2</v>
      </c>
      <c r="I248" s="7"/>
      <c r="J248" s="220">
        <f t="shared" si="130"/>
        <v>7.6417332493713686E-2</v>
      </c>
    </row>
    <row r="249" spans="1:10" x14ac:dyDescent="0.35">
      <c r="A249" s="142" t="s">
        <v>375</v>
      </c>
      <c r="B249" s="153">
        <f>(B208+B212)/SUM(B210:B215)</f>
        <v>0.11034539213658283</v>
      </c>
      <c r="C249" s="153">
        <f t="shared" ref="C249:G249" si="143">(C208+C212)/SUM(C210:C215)</f>
        <v>0.11089951655480704</v>
      </c>
      <c r="D249" s="153">
        <f t="shared" si="143"/>
        <v>0.1685333814774756</v>
      </c>
      <c r="E249" s="153">
        <f t="shared" si="143"/>
        <v>0.17079220546493637</v>
      </c>
      <c r="F249" s="153">
        <f t="shared" si="143"/>
        <v>0.16923025161019695</v>
      </c>
      <c r="G249" s="153">
        <f t="shared" si="143"/>
        <v>0.17169842029439703</v>
      </c>
      <c r="H249" s="153">
        <f t="shared" ref="H249" si="144">(H208+H212)/SUM(H210:H215)</f>
        <v>0.16657373754970314</v>
      </c>
      <c r="I249" s="7"/>
      <c r="J249" s="220">
        <f t="shared" si="130"/>
        <v>0.15024986125639928</v>
      </c>
    </row>
    <row r="250" spans="1:10" x14ac:dyDescent="0.35">
      <c r="A250" s="142" t="s">
        <v>376</v>
      </c>
      <c r="B250" s="153">
        <f>(B179+B180+B181)/SUM(B210:B215)</f>
        <v>4.3192034609908121E-3</v>
      </c>
      <c r="C250" s="153">
        <f t="shared" ref="C250:G250" si="145">(C179+C180+C181)/SUM(C210:C215)</f>
        <v>4.6255963131306447E-3</v>
      </c>
      <c r="D250" s="153">
        <f t="shared" si="145"/>
        <v>7.1855908436621206E-3</v>
      </c>
      <c r="E250" s="153">
        <f t="shared" si="145"/>
        <v>6.3467874302883158E-3</v>
      </c>
      <c r="F250" s="153">
        <f t="shared" si="145"/>
        <v>6.6453429986373371E-3</v>
      </c>
      <c r="G250" s="153">
        <f t="shared" si="145"/>
        <v>6.4764388009898033E-3</v>
      </c>
      <c r="H250" s="153">
        <f t="shared" ref="H250" si="146">(H179+H180+H181)/SUM(H210:H215)</f>
        <v>6.4230573477982687E-3</v>
      </c>
      <c r="I250" s="7"/>
      <c r="J250" s="220">
        <f t="shared" si="130"/>
        <v>5.9331599746165059E-3</v>
      </c>
    </row>
    <row r="251" spans="1:10" x14ac:dyDescent="0.35">
      <c r="A251" s="142" t="s">
        <v>377</v>
      </c>
      <c r="B251" s="153">
        <f>B185/SUM(B210:B215)</f>
        <v>2.4219832491537263E-4</v>
      </c>
      <c r="C251" s="153">
        <f t="shared" ref="C251:G251" si="147">C185/SUM(C210:C215)</f>
        <v>2.4365927902642305E-4</v>
      </c>
      <c r="D251" s="153">
        <f t="shared" si="147"/>
        <v>2.1760159831345471E-4</v>
      </c>
      <c r="E251" s="153">
        <f t="shared" si="147"/>
        <v>2.1418190019555745E-4</v>
      </c>
      <c r="F251" s="153">
        <f t="shared" si="147"/>
        <v>1.8894688223980126E-4</v>
      </c>
      <c r="G251" s="153">
        <f t="shared" si="147"/>
        <v>1.7090952698941165E-4</v>
      </c>
      <c r="H251" s="153">
        <f t="shared" ref="H251" si="148">H185/SUM(H210:H215)</f>
        <v>1.6420331672571599E-4</v>
      </c>
      <c r="I251" s="7"/>
      <c r="J251" s="220">
        <f t="shared" si="130"/>
        <v>2.129162519466701E-4</v>
      </c>
    </row>
    <row r="252" spans="1:10" x14ac:dyDescent="0.35">
      <c r="A252" s="142" t="s">
        <v>378</v>
      </c>
      <c r="B252" s="153">
        <f>(B162+B163)/SUM(B210:B215)</f>
        <v>1.0737459071248186E-2</v>
      </c>
      <c r="C252" s="153">
        <f t="shared" ref="C252:G252" si="149">(C162+C163)/SUM(C210:C215)</f>
        <v>1.1239766742186613E-2</v>
      </c>
      <c r="D252" s="153">
        <f t="shared" si="149"/>
        <v>5.6506221497526141E-3</v>
      </c>
      <c r="E252" s="153">
        <f t="shared" si="149"/>
        <v>4.6781836095345442E-3</v>
      </c>
      <c r="F252" s="153">
        <f t="shared" si="149"/>
        <v>4.1907449522417461E-3</v>
      </c>
      <c r="G252" s="153">
        <f t="shared" si="149"/>
        <v>3.9590434732990291E-3</v>
      </c>
      <c r="H252" s="153">
        <f t="shared" ref="H252" si="150">(H162+H163)/SUM(H210:H215)</f>
        <v>3.7532186680163653E-3</v>
      </c>
      <c r="I252" s="7"/>
      <c r="J252" s="220">
        <f t="shared" si="130"/>
        <v>6.7426366663771225E-3</v>
      </c>
    </row>
    <row r="253" spans="1:10" x14ac:dyDescent="0.35">
      <c r="A253" s="142" t="s">
        <v>379</v>
      </c>
      <c r="B253" s="153">
        <f>(B164+B165+B172+B173+B176+B178)/SUM(B210:B215)</f>
        <v>1.2443988468601902E-2</v>
      </c>
      <c r="C253" s="153">
        <f t="shared" ref="C253:G253" si="151">(C164+C165+C172+C173+C176+C178)/SUM(C210:C215)</f>
        <v>1.1737444749586452E-2</v>
      </c>
      <c r="D253" s="153">
        <f t="shared" si="151"/>
        <v>1.2510201927851199E-2</v>
      </c>
      <c r="E253" s="153">
        <f t="shared" si="151"/>
        <v>1.1421200504091032E-2</v>
      </c>
      <c r="F253" s="153">
        <f t="shared" si="151"/>
        <v>1.0199156513797549E-2</v>
      </c>
      <c r="G253" s="153">
        <f t="shared" si="151"/>
        <v>9.7024707244031221E-3</v>
      </c>
      <c r="H253" s="153">
        <f t="shared" ref="H253" si="152">(H164+H165+H172+H173+H176+H178)/SUM(H210:H215)</f>
        <v>9.1601865692281549E-3</v>
      </c>
      <c r="I253" s="7"/>
      <c r="J253" s="220">
        <f t="shared" si="130"/>
        <v>1.1335743814721876E-2</v>
      </c>
    </row>
    <row r="254" spans="1:10" x14ac:dyDescent="0.35">
      <c r="A254" s="142" t="s">
        <v>277</v>
      </c>
      <c r="B254" s="153">
        <f>(B166+B175+B184+B186+B187+B194+B195)/SUM(B210:B215)</f>
        <v>2.6908994400838136E-2</v>
      </c>
      <c r="C254" s="153">
        <f t="shared" ref="C254:G254" si="153">(C166+C175+C184+C186+C187+C194+C195)/SUM(C210:C215)</f>
        <v>4.625751783470617E-2</v>
      </c>
      <c r="D254" s="153">
        <f t="shared" si="153"/>
        <v>2.7439243041761367E-2</v>
      </c>
      <c r="E254" s="153">
        <f t="shared" si="153"/>
        <v>3.2269283401888928E-2</v>
      </c>
      <c r="F254" s="153">
        <f t="shared" si="153"/>
        <v>2.903275431035297E-2</v>
      </c>
      <c r="G254" s="153">
        <f t="shared" si="153"/>
        <v>2.5422036351785693E-2</v>
      </c>
      <c r="H254" s="153">
        <f t="shared" ref="H254" si="154">(H166+H175+H184+H186+H187+H194+H195)/SUM(H210:H215)</f>
        <v>3.1030783111370124E-2</v>
      </c>
      <c r="I254" s="7"/>
      <c r="J254" s="220">
        <f t="shared" si="130"/>
        <v>3.1221638223555542E-2</v>
      </c>
    </row>
    <row r="255" spans="1:10" x14ac:dyDescent="0.35">
      <c r="A255"/>
      <c r="B255"/>
      <c r="C255"/>
      <c r="D255"/>
      <c r="I255" s="7"/>
      <c r="J255" s="7"/>
    </row>
    <row r="256" spans="1:10" x14ac:dyDescent="0.35">
      <c r="A256"/>
      <c r="B256" s="221">
        <f>SUM(B241:B255)</f>
        <v>0.99999999999999989</v>
      </c>
      <c r="C256" s="221">
        <f t="shared" ref="C256:J256" si="155">SUM(C241:C255)</f>
        <v>1.0000000000000002</v>
      </c>
      <c r="D256" s="221">
        <f t="shared" si="155"/>
        <v>1</v>
      </c>
      <c r="E256" s="221">
        <f t="shared" si="155"/>
        <v>0.99999999999999989</v>
      </c>
      <c r="F256" s="221">
        <f t="shared" si="155"/>
        <v>0.99999999999999989</v>
      </c>
      <c r="G256" s="221">
        <f t="shared" si="155"/>
        <v>0.99999999999999978</v>
      </c>
      <c r="H256" s="221">
        <f t="shared" ref="H256" si="156">SUM(H241:H255)</f>
        <v>1</v>
      </c>
      <c r="I256" s="7"/>
      <c r="J256" s="221">
        <f t="shared" si="155"/>
        <v>0.99999999999999989</v>
      </c>
    </row>
  </sheetData>
  <pageMargins left="0.7" right="0.7" top="0.75" bottom="0.75" header="0.3" footer="0.3"/>
  <pageSetup scale="51" orientation="portrait" r:id="rId1"/>
  <rowBreaks count="2" manualBreakCount="2">
    <brk id="71" max="7" man="1"/>
    <brk id="15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3" ma:contentTypeDescription="Create a new document." ma:contentTypeScope="" ma:versionID="06ad2133adbc90bc909c318d81f817f8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2a7b192d4806bb36b83043212c72e599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E53BABBE-FB86-468F-932A-3CEC9B38E101}"/>
</file>

<file path=customXml/itemProps2.xml><?xml version="1.0" encoding="utf-8"?>
<ds:datastoreItem xmlns:ds="http://schemas.openxmlformats.org/officeDocument/2006/customXml" ds:itemID="{5C00A9FE-6EB9-4482-9EEA-040F0298EC12}"/>
</file>

<file path=customXml/itemProps3.xml><?xml version="1.0" encoding="utf-8"?>
<ds:datastoreItem xmlns:ds="http://schemas.openxmlformats.org/officeDocument/2006/customXml" ds:itemID="{89B70165-BF3F-4D1B-AAF3-EEED5BD3B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Sheet2</vt:lpstr>
      <vt:lpstr>FY24</vt:lpstr>
      <vt:lpstr>FY25</vt:lpstr>
      <vt:lpstr>FY26</vt:lpstr>
      <vt:lpstr>FY27</vt:lpstr>
      <vt:lpstr>FY28</vt:lpstr>
      <vt:lpstr>FY29</vt:lpstr>
      <vt:lpstr>FY30</vt:lpstr>
      <vt:lpstr>System 6-Year</vt:lpstr>
      <vt:lpstr>B&amp;G Campus 6-Year</vt:lpstr>
      <vt:lpstr>New Campus 6-Year</vt:lpstr>
      <vt:lpstr>Enrollment Tables - Systemwide</vt:lpstr>
      <vt:lpstr>Enrollment Tables - New Campus</vt:lpstr>
      <vt:lpstr>Staffing Tables</vt:lpstr>
      <vt:lpstr>Funding</vt:lpstr>
      <vt:lpstr>Oct 1</vt:lpstr>
      <vt:lpstr>Rent</vt:lpstr>
      <vt:lpstr>FFE2</vt:lpstr>
      <vt:lpstr>SPED</vt:lpstr>
      <vt:lpstr>Updated SPED</vt:lpstr>
      <vt:lpstr>Food</vt:lpstr>
      <vt:lpstr>Sheet1</vt:lpstr>
      <vt:lpstr>Insurance</vt:lpstr>
      <vt:lpstr>Utilities</vt:lpstr>
      <vt:lpstr>'Staffing Tables'!_Toc4075975</vt:lpstr>
      <vt:lpstr>'Enrollment Tables - New Campus'!_Toc4075978</vt:lpstr>
      <vt:lpstr>'Enrollment Tables - Systemwide'!_Toc4075978</vt:lpstr>
      <vt:lpstr>'B&amp;G Campus 6-Year'!Print_Area</vt:lpstr>
      <vt:lpstr>'Enrollment Tables - New Campus'!Print_Area</vt:lpstr>
      <vt:lpstr>'Enrollment Tables - Systemwide'!Print_Area</vt:lpstr>
      <vt:lpstr>'FY24'!Print_Area</vt:lpstr>
      <vt:lpstr>'New Campus 6-Year'!Print_Area</vt:lpstr>
      <vt:lpstr>Sheet2!Print_Area</vt:lpstr>
      <vt:lpstr>'Staffing Tables'!Print_Area</vt:lpstr>
      <vt:lpstr>'System 6-Year'!Print_Area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2023-08-30T12:19:39Z</cp:lastPrinted>
  <dcterms:created xsi:type="dcterms:W3CDTF">2023-01-10T17:38:39Z</dcterms:created>
  <dcterms:modified xsi:type="dcterms:W3CDTF">2023-08-30T15:15:32Z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