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https://d.docs.live.net/369deb86d6690ad6/Desktop/Joe/Business Ideas/Vegas Vista Academy/O180/"/>
    </mc:Choice>
  </mc:AlternateContent>
  <xr:revisionPtr revIDLastSave="7" documentId="8_{7BD7156E-BF9E-408C-9734-43F5DC8EA67A}" xr6:coauthVersionLast="47" xr6:coauthVersionMax="47" xr10:uidLastSave="{84B55696-4E82-4021-B098-0BD7267256A0}"/>
  <bookViews>
    <workbookView xWindow="4185" yWindow="-16320" windowWidth="29040" windowHeight="15720" tabRatio="800" activeTab="2" xr2:uid="{00000000-000D-0000-FFFF-FFFF00000000}"/>
  </bookViews>
  <sheets>
    <sheet name="CSP Budget Summary" sheetId="9" r:id="rId1"/>
    <sheet name="Budget Instructions" sheetId="6" r:id="rId2"/>
    <sheet name="CSP Budget Detail" sheetId="5" r:id="rId3"/>
    <sheet name="Monthly Expense Summary Y1P " sheetId="12" r:id="rId4"/>
    <sheet name="Detailed Monthly Reimbursement" sheetId="13" r:id="rId5"/>
    <sheet name="Definitions" sheetId="11" r:id="rId6"/>
  </sheets>
  <definedNames>
    <definedName name="_xlnm.Print_Area" localSheetId="2">'CSP Budget Detail'!$A$6:$K$260</definedName>
    <definedName name="_xlnm.Print_Area" localSheetId="5">Definitions!$A$6:$C$216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1" i="5" l="1"/>
  <c r="D221" i="5"/>
  <c r="E190" i="5" l="1"/>
  <c r="F258" i="5"/>
  <c r="E258" i="5"/>
  <c r="E197" i="5"/>
  <c r="E289" i="5" l="1"/>
  <c r="D289" i="5"/>
  <c r="C289" i="5"/>
  <c r="C182" i="5"/>
  <c r="E175" i="5"/>
  <c r="C175" i="5"/>
  <c r="C219" i="5"/>
  <c r="C109" i="5"/>
  <c r="C108" i="5"/>
  <c r="C107" i="5"/>
  <c r="C102" i="5"/>
  <c r="F272" i="5" l="1"/>
  <c r="E272" i="5"/>
  <c r="F250" i="5"/>
  <c r="E250" i="5"/>
  <c r="F247" i="5"/>
  <c r="E247" i="5"/>
  <c r="H206" i="5"/>
  <c r="H239" i="5"/>
  <c r="H271" i="5"/>
  <c r="H260" i="5"/>
  <c r="C73" i="5"/>
  <c r="C72" i="5"/>
  <c r="C71" i="5"/>
  <c r="D73" i="5"/>
  <c r="D72" i="5"/>
  <c r="D71" i="5"/>
  <c r="D66" i="5"/>
  <c r="C66" i="5"/>
  <c r="C69" i="5"/>
  <c r="D69" i="5"/>
  <c r="C28" i="5"/>
  <c r="C27" i="5"/>
  <c r="C26" i="5"/>
  <c r="D28" i="5"/>
  <c r="D27" i="5"/>
  <c r="D26" i="5"/>
  <c r="D21" i="5"/>
  <c r="C21" i="5"/>
  <c r="D22" i="5"/>
  <c r="C23" i="5"/>
  <c r="C22" i="5"/>
  <c r="D24" i="5"/>
  <c r="C19" i="5"/>
  <c r="C18" i="5"/>
  <c r="C17" i="5"/>
  <c r="D19" i="5"/>
  <c r="D18" i="5"/>
  <c r="D17" i="5"/>
  <c r="D12" i="5"/>
  <c r="C12" i="5"/>
  <c r="C15" i="5" s="1"/>
  <c r="D15" i="5"/>
  <c r="C13" i="5"/>
  <c r="D51" i="5"/>
  <c r="C51" i="5"/>
  <c r="D50" i="5"/>
  <c r="C50" i="5"/>
  <c r="D49" i="5"/>
  <c r="C49" i="5"/>
  <c r="D48" i="5"/>
  <c r="C48" i="5"/>
  <c r="D55" i="5"/>
  <c r="C55" i="5"/>
  <c r="D54" i="5"/>
  <c r="C54" i="5"/>
  <c r="D53" i="5"/>
  <c r="C53" i="5"/>
  <c r="D105" i="5"/>
  <c r="C105" i="5"/>
  <c r="D104" i="5"/>
  <c r="C104" i="5"/>
  <c r="D103" i="5"/>
  <c r="C103" i="5"/>
  <c r="D102" i="5"/>
  <c r="D109" i="5"/>
  <c r="D108" i="5"/>
  <c r="D107" i="5"/>
  <c r="D99" i="5"/>
  <c r="C99" i="5"/>
  <c r="D98" i="5"/>
  <c r="C98" i="5"/>
  <c r="D94" i="5"/>
  <c r="C94" i="5"/>
  <c r="D96" i="5"/>
  <c r="C96" i="5"/>
  <c r="D95" i="5"/>
  <c r="C95" i="5"/>
  <c r="D100" i="5"/>
  <c r="C100" i="5"/>
  <c r="C93" i="5"/>
  <c r="D93" i="5"/>
  <c r="E227" i="5"/>
  <c r="C67" i="5" l="1"/>
  <c r="C68" i="5"/>
  <c r="D67" i="5"/>
  <c r="D68" i="5"/>
  <c r="C24" i="5"/>
  <c r="D23" i="5"/>
  <c r="D13" i="5"/>
  <c r="D14" i="5"/>
  <c r="C14" i="5"/>
  <c r="F204" i="5" l="1"/>
  <c r="E204" i="5"/>
  <c r="F207" i="5"/>
  <c r="E207" i="5"/>
  <c r="F237" i="5"/>
  <c r="E237" i="5"/>
  <c r="F197" i="5"/>
  <c r="G7" i="5" l="1"/>
  <c r="D9" i="5"/>
  <c r="E269" i="5" l="1"/>
  <c r="F269" i="5"/>
  <c r="H200" i="5"/>
  <c r="F266" i="5"/>
  <c r="F255" i="5"/>
  <c r="E255" i="5"/>
  <c r="F245" i="5"/>
  <c r="E245" i="5"/>
  <c r="C13" i="12"/>
  <c r="D6" i="5"/>
  <c r="C249" i="12"/>
  <c r="C245" i="12"/>
  <c r="C246" i="12"/>
  <c r="C243" i="12"/>
  <c r="C239" i="12"/>
  <c r="C240" i="12"/>
  <c r="C232" i="12"/>
  <c r="C234" i="12"/>
  <c r="D255" i="12"/>
  <c r="C255" i="12" s="1"/>
  <c r="D252" i="12"/>
  <c r="C252" i="12" s="1"/>
  <c r="D249" i="12"/>
  <c r="D244" i="12"/>
  <c r="C244" i="12" s="1"/>
  <c r="D245" i="12"/>
  <c r="D246" i="12"/>
  <c r="D243" i="12"/>
  <c r="D238" i="12"/>
  <c r="C238" i="12" s="1"/>
  <c r="D239" i="12"/>
  <c r="D240" i="12"/>
  <c r="D237" i="12"/>
  <c r="C237" i="12" s="1"/>
  <c r="D232" i="12"/>
  <c r="D233" i="12"/>
  <c r="C233" i="12" s="1"/>
  <c r="D234" i="12"/>
  <c r="D231" i="12"/>
  <c r="C231" i="12" s="1"/>
  <c r="D203" i="12"/>
  <c r="D222" i="12"/>
  <c r="C222" i="12" s="1"/>
  <c r="D220" i="12"/>
  <c r="D221" i="12"/>
  <c r="D219" i="12"/>
  <c r="C219" i="12" s="1"/>
  <c r="D226" i="12"/>
  <c r="C226" i="12" s="1"/>
  <c r="D227" i="12"/>
  <c r="D228" i="12"/>
  <c r="D225" i="12"/>
  <c r="C225" i="12" s="1"/>
  <c r="D13" i="12"/>
  <c r="C227" i="12"/>
  <c r="C228" i="12"/>
  <c r="C220" i="12"/>
  <c r="C221" i="12"/>
  <c r="D182" i="12"/>
  <c r="C182" i="12" s="1"/>
  <c r="D183" i="12"/>
  <c r="C183" i="12" s="1"/>
  <c r="D184" i="12"/>
  <c r="C184" i="12" s="1"/>
  <c r="D185" i="12"/>
  <c r="C185" i="12" s="1"/>
  <c r="D186" i="12"/>
  <c r="C186" i="12" s="1"/>
  <c r="D187" i="12"/>
  <c r="C187" i="12" s="1"/>
  <c r="D188" i="12"/>
  <c r="C188" i="12" s="1"/>
  <c r="D189" i="12"/>
  <c r="C189" i="12" s="1"/>
  <c r="D190" i="12"/>
  <c r="C190" i="12" s="1"/>
  <c r="D191" i="12"/>
  <c r="C191" i="12" s="1"/>
  <c r="D192" i="12"/>
  <c r="C192" i="12" s="1"/>
  <c r="D193" i="12"/>
  <c r="C193" i="12" s="1"/>
  <c r="D194" i="12"/>
  <c r="C194" i="12" s="1"/>
  <c r="D195" i="12"/>
  <c r="C195" i="12" s="1"/>
  <c r="D196" i="12"/>
  <c r="C196" i="12" s="1"/>
  <c r="D197" i="12"/>
  <c r="C197" i="12" s="1"/>
  <c r="D198" i="12"/>
  <c r="C198" i="12" s="1"/>
  <c r="C203" i="12"/>
  <c r="D204" i="12"/>
  <c r="C204" i="12" s="1"/>
  <c r="D205" i="12"/>
  <c r="C205" i="12" s="1"/>
  <c r="D206" i="12"/>
  <c r="C206" i="12" s="1"/>
  <c r="D207" i="12"/>
  <c r="C207" i="12" s="1"/>
  <c r="D208" i="12"/>
  <c r="C208" i="12" s="1"/>
  <c r="D209" i="12"/>
  <c r="C209" i="12" s="1"/>
  <c r="D210" i="12"/>
  <c r="C210" i="12" s="1"/>
  <c r="D211" i="12"/>
  <c r="C211" i="12" s="1"/>
  <c r="D212" i="12"/>
  <c r="C212" i="12" s="1"/>
  <c r="D213" i="12"/>
  <c r="C213" i="12" s="1"/>
  <c r="D214" i="12"/>
  <c r="C214" i="12" s="1"/>
  <c r="D181" i="12"/>
  <c r="C181" i="12" s="1"/>
  <c r="D172" i="12"/>
  <c r="C172" i="12" s="1"/>
  <c r="D173" i="12"/>
  <c r="C173" i="12" s="1"/>
  <c r="D174" i="12"/>
  <c r="C174" i="12" s="1"/>
  <c r="D175" i="12"/>
  <c r="C175" i="12" s="1"/>
  <c r="D176" i="12"/>
  <c r="C176" i="12" s="1"/>
  <c r="D177" i="12"/>
  <c r="C177" i="12" s="1"/>
  <c r="D171" i="12"/>
  <c r="C171" i="12" s="1"/>
  <c r="D14" i="12"/>
  <c r="C14" i="12" s="1"/>
  <c r="D15" i="12"/>
  <c r="C15" i="12" s="1"/>
  <c r="D16" i="12"/>
  <c r="C16" i="12" s="1"/>
  <c r="D17" i="12"/>
  <c r="C17" i="12" s="1"/>
  <c r="D18" i="12"/>
  <c r="C18" i="12" s="1"/>
  <c r="D19" i="12"/>
  <c r="C19" i="12" s="1"/>
  <c r="D20" i="12"/>
  <c r="C20" i="12" s="1"/>
  <c r="D21" i="12"/>
  <c r="C21" i="12" s="1"/>
  <c r="D22" i="12"/>
  <c r="C22" i="12" s="1"/>
  <c r="D23" i="12"/>
  <c r="C23" i="12" s="1"/>
  <c r="D24" i="12"/>
  <c r="C24" i="12" s="1"/>
  <c r="D25" i="12"/>
  <c r="C25" i="12" s="1"/>
  <c r="D26" i="12"/>
  <c r="C26" i="12" s="1"/>
  <c r="D27" i="12"/>
  <c r="C27" i="12" s="1"/>
  <c r="D28" i="12"/>
  <c r="C28" i="12" s="1"/>
  <c r="D29" i="12"/>
  <c r="C29" i="12" s="1"/>
  <c r="D30" i="12"/>
  <c r="C30" i="12" s="1"/>
  <c r="D31" i="12"/>
  <c r="C31" i="12" s="1"/>
  <c r="D32" i="12"/>
  <c r="C32" i="12" s="1"/>
  <c r="D33" i="12"/>
  <c r="C33" i="12" s="1"/>
  <c r="D34" i="12"/>
  <c r="C34" i="12" s="1"/>
  <c r="D35" i="12"/>
  <c r="C35" i="12" s="1"/>
  <c r="D36" i="12"/>
  <c r="C36" i="12" s="1"/>
  <c r="D37" i="12"/>
  <c r="C37" i="12" s="1"/>
  <c r="D38" i="12"/>
  <c r="C38" i="12" s="1"/>
  <c r="D39" i="12"/>
  <c r="C39" i="12" s="1"/>
  <c r="D40" i="12"/>
  <c r="C40" i="12" s="1"/>
  <c r="D41" i="12"/>
  <c r="C41" i="12" s="1"/>
  <c r="D42" i="12"/>
  <c r="C42" i="12" s="1"/>
  <c r="D43" i="12"/>
  <c r="C43" i="12" s="1"/>
  <c r="D44" i="12"/>
  <c r="C44" i="12" s="1"/>
  <c r="D45" i="12"/>
  <c r="C45" i="12" s="1"/>
  <c r="D46" i="12"/>
  <c r="C46" i="12" s="1"/>
  <c r="D47" i="12"/>
  <c r="C47" i="12" s="1"/>
  <c r="D48" i="12"/>
  <c r="C48" i="12" s="1"/>
  <c r="D49" i="12"/>
  <c r="C49" i="12" s="1"/>
  <c r="D50" i="12"/>
  <c r="C50" i="12" s="1"/>
  <c r="D51" i="12"/>
  <c r="C51" i="12" s="1"/>
  <c r="D52" i="12"/>
  <c r="C52" i="12" s="1"/>
  <c r="D53" i="12"/>
  <c r="C53" i="12" s="1"/>
  <c r="D54" i="12"/>
  <c r="C54" i="12" s="1"/>
  <c r="D55" i="12"/>
  <c r="C55" i="12" s="1"/>
  <c r="D56" i="12"/>
  <c r="C56" i="12" s="1"/>
  <c r="D57" i="12"/>
  <c r="C57" i="12" s="1"/>
  <c r="D58" i="12"/>
  <c r="C58" i="12" s="1"/>
  <c r="D59" i="12"/>
  <c r="C59" i="12" s="1"/>
  <c r="D60" i="12"/>
  <c r="C60" i="12" s="1"/>
  <c r="D61" i="12"/>
  <c r="C61" i="12" s="1"/>
  <c r="D62" i="12"/>
  <c r="C62" i="12" s="1"/>
  <c r="D63" i="12"/>
  <c r="C63" i="12" s="1"/>
  <c r="D64" i="12"/>
  <c r="C64" i="12" s="1"/>
  <c r="D65" i="12"/>
  <c r="C65" i="12" s="1"/>
  <c r="D66" i="12"/>
  <c r="C66" i="12" s="1"/>
  <c r="D67" i="12"/>
  <c r="C67" i="12" s="1"/>
  <c r="D68" i="12"/>
  <c r="C68" i="12" s="1"/>
  <c r="D69" i="12"/>
  <c r="C69" i="12" s="1"/>
  <c r="D70" i="12"/>
  <c r="C70" i="12" s="1"/>
  <c r="D71" i="12"/>
  <c r="C71" i="12" s="1"/>
  <c r="D72" i="12"/>
  <c r="C72" i="12" s="1"/>
  <c r="D73" i="12"/>
  <c r="C73" i="12" s="1"/>
  <c r="D74" i="12"/>
  <c r="C74" i="12" s="1"/>
  <c r="D75" i="12"/>
  <c r="C75" i="12" s="1"/>
  <c r="D76" i="12"/>
  <c r="C76" i="12" s="1"/>
  <c r="D77" i="12"/>
  <c r="C77" i="12" s="1"/>
  <c r="D78" i="12"/>
  <c r="C78" i="12" s="1"/>
  <c r="D79" i="12"/>
  <c r="C79" i="12" s="1"/>
  <c r="D80" i="12"/>
  <c r="C80" i="12" s="1"/>
  <c r="D81" i="12"/>
  <c r="C81" i="12" s="1"/>
  <c r="D82" i="12"/>
  <c r="C82" i="12" s="1"/>
  <c r="D83" i="12"/>
  <c r="C83" i="12" s="1"/>
  <c r="D84" i="12"/>
  <c r="C84" i="12" s="1"/>
  <c r="D85" i="12"/>
  <c r="C85" i="12" s="1"/>
  <c r="D86" i="12"/>
  <c r="C86" i="12" s="1"/>
  <c r="D87" i="12"/>
  <c r="C87" i="12" s="1"/>
  <c r="D88" i="12"/>
  <c r="C88" i="12" s="1"/>
  <c r="D89" i="12"/>
  <c r="C89" i="12" s="1"/>
  <c r="D90" i="12"/>
  <c r="C90" i="12" s="1"/>
  <c r="D91" i="12"/>
  <c r="C91" i="12" s="1"/>
  <c r="D92" i="12"/>
  <c r="C92" i="12" s="1"/>
  <c r="D93" i="12"/>
  <c r="C93" i="12" s="1"/>
  <c r="D94" i="12"/>
  <c r="C94" i="12" s="1"/>
  <c r="D95" i="12"/>
  <c r="C95" i="12" s="1"/>
  <c r="D96" i="12"/>
  <c r="C96" i="12" s="1"/>
  <c r="D97" i="12"/>
  <c r="C97" i="12" s="1"/>
  <c r="D98" i="12"/>
  <c r="C98" i="12" s="1"/>
  <c r="D99" i="12"/>
  <c r="C99" i="12" s="1"/>
  <c r="D100" i="12"/>
  <c r="C100" i="12" s="1"/>
  <c r="D101" i="12"/>
  <c r="C101" i="12" s="1"/>
  <c r="D102" i="12"/>
  <c r="C102" i="12" s="1"/>
  <c r="D103" i="12"/>
  <c r="C103" i="12" s="1"/>
  <c r="D104" i="12"/>
  <c r="C104" i="12" s="1"/>
  <c r="D105" i="12"/>
  <c r="C105" i="12" s="1"/>
  <c r="D106" i="12"/>
  <c r="C106" i="12" s="1"/>
  <c r="D107" i="12"/>
  <c r="C107" i="12" s="1"/>
  <c r="D108" i="12"/>
  <c r="C108" i="12" s="1"/>
  <c r="D109" i="12"/>
  <c r="C109" i="12" s="1"/>
  <c r="D110" i="12"/>
  <c r="C110" i="12" s="1"/>
  <c r="D111" i="12"/>
  <c r="C111" i="12" s="1"/>
  <c r="D112" i="12"/>
  <c r="C112" i="12" s="1"/>
  <c r="D113" i="12"/>
  <c r="C113" i="12" s="1"/>
  <c r="D114" i="12"/>
  <c r="C114" i="12" s="1"/>
  <c r="D115" i="12"/>
  <c r="C115" i="12" s="1"/>
  <c r="D116" i="12"/>
  <c r="C116" i="12" s="1"/>
  <c r="D117" i="12"/>
  <c r="C117" i="12" s="1"/>
  <c r="D118" i="12"/>
  <c r="C118" i="12" s="1"/>
  <c r="D119" i="12"/>
  <c r="C119" i="12" s="1"/>
  <c r="D120" i="12"/>
  <c r="C120" i="12" s="1"/>
  <c r="D121" i="12"/>
  <c r="C121" i="12" s="1"/>
  <c r="D122" i="12"/>
  <c r="C122" i="12" s="1"/>
  <c r="D123" i="12"/>
  <c r="C123" i="12" s="1"/>
  <c r="D124" i="12"/>
  <c r="C124" i="12" s="1"/>
  <c r="D125" i="12"/>
  <c r="C125" i="12" s="1"/>
  <c r="D126" i="12"/>
  <c r="C126" i="12" s="1"/>
  <c r="D127" i="12"/>
  <c r="C127" i="12" s="1"/>
  <c r="D128" i="12"/>
  <c r="C128" i="12" s="1"/>
  <c r="D129" i="12"/>
  <c r="C129" i="12" s="1"/>
  <c r="D130" i="12"/>
  <c r="C130" i="12" s="1"/>
  <c r="D131" i="12"/>
  <c r="C131" i="12" s="1"/>
  <c r="D132" i="12"/>
  <c r="C132" i="12" s="1"/>
  <c r="D133" i="12"/>
  <c r="C133" i="12" s="1"/>
  <c r="D134" i="12"/>
  <c r="C134" i="12" s="1"/>
  <c r="D135" i="12"/>
  <c r="C135" i="12" s="1"/>
  <c r="D136" i="12"/>
  <c r="C136" i="12" s="1"/>
  <c r="D137" i="12"/>
  <c r="C137" i="12" s="1"/>
  <c r="D138" i="12"/>
  <c r="C138" i="12" s="1"/>
  <c r="D139" i="12"/>
  <c r="C139" i="12" s="1"/>
  <c r="D140" i="12"/>
  <c r="C140" i="12" s="1"/>
  <c r="D141" i="12"/>
  <c r="C141" i="12" s="1"/>
  <c r="D142" i="12"/>
  <c r="C142" i="12" s="1"/>
  <c r="D143" i="12"/>
  <c r="C143" i="12" s="1"/>
  <c r="D144" i="12"/>
  <c r="C144" i="12" s="1"/>
  <c r="D145" i="12"/>
  <c r="C145" i="12" s="1"/>
  <c r="D146" i="12"/>
  <c r="C146" i="12" s="1"/>
  <c r="D147" i="12"/>
  <c r="C147" i="12" s="1"/>
  <c r="D148" i="12"/>
  <c r="C148" i="12" s="1"/>
  <c r="D149" i="12"/>
  <c r="C149" i="12" s="1"/>
  <c r="D150" i="12"/>
  <c r="C150" i="12" s="1"/>
  <c r="D151" i="12"/>
  <c r="C151" i="12" s="1"/>
  <c r="D152" i="12"/>
  <c r="C152" i="12" s="1"/>
  <c r="D153" i="12"/>
  <c r="C153" i="12" s="1"/>
  <c r="D154" i="12"/>
  <c r="C154" i="12" s="1"/>
  <c r="D155" i="12"/>
  <c r="C155" i="12" s="1"/>
  <c r="D156" i="12"/>
  <c r="C156" i="12" s="1"/>
  <c r="D157" i="12"/>
  <c r="C157" i="12" s="1"/>
  <c r="D158" i="12"/>
  <c r="C158" i="12" s="1"/>
  <c r="D159" i="12"/>
  <c r="C159" i="12" s="1"/>
  <c r="D160" i="12"/>
  <c r="C160" i="12" s="1"/>
  <c r="D161" i="12"/>
  <c r="C161" i="12" s="1"/>
  <c r="D162" i="12"/>
  <c r="C162" i="12" s="1"/>
  <c r="D163" i="12"/>
  <c r="C163" i="12" s="1"/>
  <c r="D164" i="12"/>
  <c r="C164" i="12" s="1"/>
  <c r="D165" i="12"/>
  <c r="C165" i="12" s="1"/>
  <c r="H256" i="12"/>
  <c r="H253" i="12"/>
  <c r="H250" i="12"/>
  <c r="H247" i="12"/>
  <c r="H241" i="12"/>
  <c r="H235" i="12"/>
  <c r="H229" i="12"/>
  <c r="H223" i="12"/>
  <c r="H217" i="12"/>
  <c r="H201" i="12"/>
  <c r="H179" i="12"/>
  <c r="H169" i="12"/>
  <c r="G256" i="12"/>
  <c r="G253" i="12"/>
  <c r="G250" i="12"/>
  <c r="G247" i="12"/>
  <c r="G241" i="12"/>
  <c r="G235" i="12"/>
  <c r="G229" i="12"/>
  <c r="G223" i="12"/>
  <c r="G217" i="12"/>
  <c r="G201" i="12"/>
  <c r="G179" i="12"/>
  <c r="G169" i="12"/>
  <c r="F256" i="12"/>
  <c r="F253" i="12"/>
  <c r="F250" i="12"/>
  <c r="F247" i="12"/>
  <c r="F241" i="12"/>
  <c r="F235" i="12"/>
  <c r="F229" i="12"/>
  <c r="F223" i="12"/>
  <c r="F217" i="12"/>
  <c r="F201" i="12"/>
  <c r="F179" i="12"/>
  <c r="F169" i="12"/>
  <c r="J7" i="13"/>
  <c r="E256" i="12"/>
  <c r="D256" i="12" s="1"/>
  <c r="C256" i="12" s="1"/>
  <c r="E253" i="12"/>
  <c r="D253" i="12" s="1"/>
  <c r="C253" i="12" s="1"/>
  <c r="E250" i="12"/>
  <c r="D250" i="12" s="1"/>
  <c r="E247" i="12"/>
  <c r="E241" i="12"/>
  <c r="D241" i="12" s="1"/>
  <c r="C241" i="12" s="1"/>
  <c r="E235" i="12"/>
  <c r="D235" i="12" s="1"/>
  <c r="C235" i="12" s="1"/>
  <c r="E229" i="12"/>
  <c r="E223" i="12"/>
  <c r="E217" i="12"/>
  <c r="D217" i="12" s="1"/>
  <c r="E201" i="12"/>
  <c r="D201" i="12" s="1"/>
  <c r="C201" i="12" s="1"/>
  <c r="E179" i="12"/>
  <c r="D179" i="12" s="1"/>
  <c r="E169" i="12"/>
  <c r="G304" i="5"/>
  <c r="C308" i="5"/>
  <c r="D304" i="5"/>
  <c r="E304" i="5"/>
  <c r="F304" i="5"/>
  <c r="C304" i="5"/>
  <c r="D299" i="5"/>
  <c r="E299" i="5"/>
  <c r="F299" i="5"/>
  <c r="G299" i="5"/>
  <c r="C299" i="5"/>
  <c r="D293" i="5"/>
  <c r="E293" i="5"/>
  <c r="F293" i="5"/>
  <c r="G293" i="5"/>
  <c r="C293" i="5"/>
  <c r="C250" i="12" s="1"/>
  <c r="D287" i="5"/>
  <c r="E287" i="5"/>
  <c r="F287" i="5"/>
  <c r="G287" i="5"/>
  <c r="C287" i="5"/>
  <c r="D277" i="5"/>
  <c r="G277" i="5"/>
  <c r="C277" i="5"/>
  <c r="D266" i="5"/>
  <c r="E266" i="5"/>
  <c r="G266" i="5"/>
  <c r="C266" i="5"/>
  <c r="D255" i="5"/>
  <c r="G255" i="5"/>
  <c r="C255" i="5"/>
  <c r="D245" i="5"/>
  <c r="G245" i="5"/>
  <c r="C245" i="5"/>
  <c r="D235" i="5"/>
  <c r="E235" i="5"/>
  <c r="F235" i="5"/>
  <c r="G235" i="5"/>
  <c r="C235" i="5"/>
  <c r="D216" i="5"/>
  <c r="E216" i="5"/>
  <c r="G216" i="5"/>
  <c r="C216" i="5"/>
  <c r="D188" i="5"/>
  <c r="E188" i="5"/>
  <c r="F188" i="5"/>
  <c r="G188" i="5"/>
  <c r="C188" i="5"/>
  <c r="D173" i="5"/>
  <c r="E173" i="5"/>
  <c r="F173" i="5"/>
  <c r="G173" i="5"/>
  <c r="C173" i="5"/>
  <c r="C217" i="12" l="1"/>
  <c r="F216" i="5"/>
  <c r="E277" i="5"/>
  <c r="F277" i="5"/>
  <c r="D229" i="12"/>
  <c r="C229" i="12"/>
  <c r="D223" i="12"/>
  <c r="C223" i="12" s="1"/>
  <c r="D247" i="12"/>
  <c r="C247" i="12" s="1"/>
  <c r="C179" i="12"/>
  <c r="G9" i="12"/>
  <c r="H9" i="12"/>
  <c r="F9" i="12"/>
  <c r="D169" i="12"/>
  <c r="C169" i="12" s="1"/>
  <c r="E9" i="12"/>
  <c r="D308" i="5"/>
  <c r="E308" i="5"/>
  <c r="F308" i="5"/>
  <c r="G308" i="5"/>
  <c r="C25" i="9"/>
  <c r="D25" i="9"/>
  <c r="A25" i="9"/>
  <c r="A24" i="9"/>
  <c r="A23" i="9"/>
  <c r="A22" i="9"/>
  <c r="A21" i="9"/>
  <c r="A20" i="9"/>
  <c r="A19" i="9"/>
  <c r="A18" i="9"/>
  <c r="A17" i="9"/>
  <c r="A16" i="9"/>
  <c r="A15" i="9"/>
  <c r="A14" i="9"/>
  <c r="A13" i="9"/>
  <c r="H182" i="5"/>
  <c r="H183" i="5"/>
  <c r="H184" i="5"/>
  <c r="H185" i="5"/>
  <c r="H208" i="5"/>
  <c r="H209" i="5"/>
  <c r="H210" i="5"/>
  <c r="H211" i="5"/>
  <c r="H212" i="5"/>
  <c r="H213" i="5"/>
  <c r="H307" i="5"/>
  <c r="H306" i="5"/>
  <c r="H308" i="5" s="1"/>
  <c r="E25" i="9" s="1"/>
  <c r="H302" i="5"/>
  <c r="H303" i="5"/>
  <c r="H296" i="5"/>
  <c r="H297" i="5"/>
  <c r="H290" i="5"/>
  <c r="H291" i="5"/>
  <c r="H283" i="5"/>
  <c r="H284" i="5"/>
  <c r="H273" i="5"/>
  <c r="H274" i="5"/>
  <c r="H262" i="5"/>
  <c r="H263" i="5"/>
  <c r="H231" i="5"/>
  <c r="H232" i="5"/>
  <c r="H241" i="5"/>
  <c r="H242" i="5"/>
  <c r="H251" i="5"/>
  <c r="H252" i="5"/>
  <c r="H165" i="5"/>
  <c r="H166" i="5"/>
  <c r="H167" i="5"/>
  <c r="H168" i="5"/>
  <c r="H298" i="5" l="1"/>
  <c r="H292" i="5"/>
  <c r="H286" i="5"/>
  <c r="H285" i="5"/>
  <c r="H275" i="5" l="1"/>
  <c r="H276" i="5"/>
  <c r="H265" i="5"/>
  <c r="H264" i="5"/>
  <c r="H253" i="5"/>
  <c r="H254" i="5"/>
  <c r="H243" i="5"/>
  <c r="H244" i="5"/>
  <c r="H172" i="5"/>
  <c r="H187" i="5"/>
  <c r="F6" i="5" l="1"/>
  <c r="F9" i="5" s="1"/>
  <c r="E6" i="5" l="1"/>
  <c r="B7" i="9"/>
  <c r="B5" i="9"/>
  <c r="H201" i="5"/>
  <c r="H202" i="5"/>
  <c r="H203" i="5"/>
  <c r="H204" i="5"/>
  <c r="H205" i="5"/>
  <c r="H207" i="5"/>
  <c r="H214" i="5"/>
  <c r="H194" i="5"/>
  <c r="H195" i="5"/>
  <c r="H196" i="5"/>
  <c r="H197" i="5"/>
  <c r="H198" i="5"/>
  <c r="H199" i="5"/>
  <c r="G6" i="5" l="1"/>
  <c r="G9" i="5" s="1"/>
  <c r="E9" i="5"/>
  <c r="H227" i="5"/>
  <c r="H228" i="5"/>
  <c r="H229" i="5"/>
  <c r="H230" i="5"/>
  <c r="H233" i="5"/>
  <c r="H191" i="5"/>
  <c r="H192" i="5"/>
  <c r="H193" i="5"/>
  <c r="H215" i="5"/>
  <c r="D15" i="9"/>
  <c r="H170" i="5"/>
  <c r="H146" i="5"/>
  <c r="H147" i="5"/>
  <c r="H148" i="5"/>
  <c r="H149" i="5"/>
  <c r="H150" i="5"/>
  <c r="H151" i="5"/>
  <c r="H152" i="5"/>
  <c r="H153" i="5"/>
  <c r="H154" i="5"/>
  <c r="H155" i="5"/>
  <c r="H156" i="5"/>
  <c r="H157" i="5"/>
  <c r="H158" i="5"/>
  <c r="H159" i="5"/>
  <c r="H160" i="5"/>
  <c r="H161" i="5"/>
  <c r="H162" i="5"/>
  <c r="H163" i="5"/>
  <c r="H164" i="5"/>
  <c r="H169"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C15" i="9" l="1"/>
  <c r="D17" i="9"/>
  <c r="D16" i="9"/>
  <c r="D14" i="9"/>
  <c r="D18" i="9" l="1"/>
  <c r="C18" i="9"/>
  <c r="C17" i="9"/>
  <c r="C14" i="9"/>
  <c r="C16" i="9"/>
  <c r="C19" i="9" l="1"/>
  <c r="H171" i="5"/>
  <c r="C20" i="9" l="1"/>
  <c r="D13" i="9"/>
  <c r="C9" i="5"/>
  <c r="D21" i="9" l="1"/>
  <c r="C21" i="9"/>
  <c r="H301" i="5"/>
  <c r="H304" i="5" s="1"/>
  <c r="H295" i="5"/>
  <c r="H299" i="5" s="1"/>
  <c r="H289" i="5"/>
  <c r="H293" i="5" s="1"/>
  <c r="H282" i="5"/>
  <c r="H281" i="5"/>
  <c r="H280" i="5"/>
  <c r="H279" i="5"/>
  <c r="H287" i="5" s="1"/>
  <c r="H272" i="5"/>
  <c r="H270" i="5"/>
  <c r="H269" i="5"/>
  <c r="H261" i="5"/>
  <c r="H259" i="5"/>
  <c r="H258" i="5"/>
  <c r="H266" i="5" s="1"/>
  <c r="H250" i="5"/>
  <c r="H249" i="5"/>
  <c r="H248" i="5"/>
  <c r="H247" i="5"/>
  <c r="H240" i="5"/>
  <c r="H238" i="5"/>
  <c r="H237" i="5"/>
  <c r="H234" i="5"/>
  <c r="H226" i="5"/>
  <c r="H225" i="5"/>
  <c r="H224" i="5"/>
  <c r="H223" i="5"/>
  <c r="H222" i="5"/>
  <c r="H221" i="5"/>
  <c r="H220" i="5"/>
  <c r="H219" i="5"/>
  <c r="H190" i="5"/>
  <c r="H216" i="5" s="1"/>
  <c r="H181" i="5"/>
  <c r="H180" i="5"/>
  <c r="H235" i="5" l="1"/>
  <c r="H277" i="5"/>
  <c r="H255" i="5"/>
  <c r="H245" i="5"/>
  <c r="D22" i="9"/>
  <c r="C22" i="9"/>
  <c r="H12" i="5"/>
  <c r="H173" i="5" s="1"/>
  <c r="H175" i="5"/>
  <c r="H176" i="5"/>
  <c r="H177" i="5"/>
  <c r="H178" i="5"/>
  <c r="H179" i="5"/>
  <c r="H186" i="5"/>
  <c r="H188" i="5" l="1"/>
  <c r="E14" i="9" s="1"/>
  <c r="C23" i="9"/>
  <c r="D23" i="9"/>
  <c r="E13" i="9"/>
  <c r="E24" i="9" l="1"/>
  <c r="E23" i="9"/>
  <c r="E22" i="9"/>
  <c r="E21" i="9"/>
  <c r="E20" i="9"/>
  <c r="E19" i="9"/>
  <c r="E18" i="9"/>
  <c r="E17" i="9"/>
  <c r="E16" i="9"/>
  <c r="D24" i="9"/>
  <c r="C24" i="9"/>
  <c r="H309" i="5"/>
  <c r="B4" i="5" s="1"/>
  <c r="B8" i="9" s="1"/>
  <c r="E15" i="9"/>
  <c r="C13" i="9"/>
  <c r="D20" i="9"/>
  <c r="D19" i="9"/>
  <c r="C26" i="9" l="1"/>
  <c r="E26" i="9"/>
  <c r="D2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tc={36B730FC-3BE5-4341-AA29-EAC8A2EADAF6}</author>
  </authors>
  <commentList>
    <comment ref="C6" authorId="0" shapeId="0" xr:uid="{36B730FC-3BE5-4341-AA29-EAC8A2EADAF6}">
      <text>
        <t>[Threaded comment]
Your version of Excel allows you to read this threaded comment; however, any edits to it will get removed if the file is opened in a newer version of Excel. Learn more: https://go.microsoft.com/fwlink/?linkid=870924
Comment:
    Should this be the end of the $20K fund?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tc={B97606AB-5202-CD47-B224-F2145E28FC02}</author>
  </authors>
  <commentList>
    <comment ref="B8" authorId="0" shapeId="0" xr:uid="{B97606AB-5202-CD47-B224-F2145E28FC02}">
      <text>
        <t>[Threaded comment]
Your version of Excel allows you to read this threaded comment; however, any edits to it will get removed if the file is opened in a newer version of Excel. Learn more: https://go.microsoft.com/fwlink/?linkid=870924
Comment:
    This should match from the GL Code in column A of the Monthly Expense Summary tab.</t>
      </text>
    </comment>
  </commentList>
</comments>
</file>

<file path=xl/sharedStrings.xml><?xml version="1.0" encoding="utf-8"?>
<sst xmlns="http://schemas.openxmlformats.org/spreadsheetml/2006/main" count="1872" uniqueCount="754">
  <si>
    <t>Great Schools for Nevada Charter School Program</t>
  </si>
  <si>
    <t>General Instructions</t>
  </si>
  <si>
    <r>
      <t xml:space="preserve">All information should be entered into the </t>
    </r>
    <r>
      <rPr>
        <sz val="11"/>
        <color rgb="FFD37C07"/>
        <rFont val="Arial"/>
        <family val="2"/>
      </rPr>
      <t>CSP Budget Detail</t>
    </r>
    <r>
      <rPr>
        <sz val="11"/>
        <color theme="1"/>
        <rFont val="Arial"/>
        <family val="2"/>
      </rPr>
      <t xml:space="preserve"> tab. The CSP Budget Summary tab self populates.</t>
    </r>
  </si>
  <si>
    <r>
      <t xml:space="preserve">Enter on the </t>
    </r>
    <r>
      <rPr>
        <sz val="11"/>
        <color rgb="FFD37C07"/>
        <rFont val="Arial"/>
        <family val="2"/>
      </rPr>
      <t>CSP Budget Detail</t>
    </r>
    <r>
      <rPr>
        <sz val="11"/>
        <color theme="1"/>
        <rFont val="Arial"/>
        <family val="2"/>
      </rPr>
      <t xml:space="preserve"> tab:</t>
    </r>
  </si>
  <si>
    <t>Applicant School Name in cell B2</t>
  </si>
  <si>
    <t>Note: a unique Identifier will be assigned and entered by Opportunity 180</t>
  </si>
  <si>
    <t>Note: the Grant Request self populates from budget grand total.</t>
  </si>
  <si>
    <t>The first day of your planning period in cell C6.</t>
  </si>
  <si>
    <t>The last day of your planning period in cell D7.</t>
  </si>
  <si>
    <t>Costs should be entered on the appropriate line to identify each type of expense.</t>
  </si>
  <si>
    <t>Enter implementation costs in the columns (E, F or G) for the applicable years in columns. Your total implementation period cannot exceed 24 months.</t>
  </si>
  <si>
    <t xml:space="preserve">Cost categories are aligned with Nevada Department of Education general ledger expense categories. Detailed information regarding NDE's general ledger accounts and expense allocation guidelines can be found in the NDE Chart of Accounts.  </t>
  </si>
  <si>
    <t xml:space="preserve">http://www.doe.nv.gov/uploadedFiles/ndedoenvgov/content/Business_Support_Services/NDEChartofAccounts.xlsx  </t>
  </si>
  <si>
    <t>General ledger account numbers and account descriptions should be modified as necessary to accurately represent your anticipated expenditures.</t>
  </si>
  <si>
    <t>A narrative description must be entered in column J for each identified expense. The narrative should describe the expense, explain how the expense was calculated, and demonstrate how the expense is justified. Please be sure to include a one-page overall budget narrative with your application package. (Appendix B)</t>
  </si>
  <si>
    <t>Allowable and Unallowable Expenses</t>
  </si>
  <si>
    <r>
      <t xml:space="preserve">An applicant receiving a subgrant under this program may use the subgrant funds only for allowable costs as defined in the ESSA Section 4303(h). 
Examples of </t>
    </r>
    <r>
      <rPr>
        <b/>
        <sz val="11"/>
        <color theme="9" tint="-0.249977111117893"/>
        <rFont val="Arial"/>
        <family val="2"/>
      </rPr>
      <t>allowable costs</t>
    </r>
    <r>
      <rPr>
        <b/>
        <sz val="11"/>
        <color theme="1"/>
        <rFont val="Arial"/>
        <family val="2"/>
      </rPr>
      <t xml:space="preserve"> </t>
    </r>
    <r>
      <rPr>
        <sz val="11"/>
        <color theme="1"/>
        <rFont val="Arial"/>
        <family val="2"/>
      </rPr>
      <t xml:space="preserve">include: </t>
    </r>
  </si>
  <si>
    <t>1. Personnel expenses, including fringe benefits, incurred either before or after the school’s opening, provided that these expenses are associated with initial implementation activities (i.e., as opposed to ongoing operations), such as program and curriculum development and integration, and teacher and staff recruiting.</t>
  </si>
  <si>
    <t>2. Professional development activities related to the school opening or expansion (as opposed to regular, ongoing professional development) including staff training, instruction and curriculum development, and organizational development.</t>
  </si>
  <si>
    <t>3. Travel costs for school leaders, staff, and school board to attend conferences and training, including visits to other charter schools.</t>
  </si>
  <si>
    <t>4. Costs associated with creating and implementing office functions, such as accounting systems, attendance and registration systems, and human resources policies.</t>
  </si>
  <si>
    <t>5. Instructional, staff and administrative computer hardware and software, computer lab equipment, and other instructional equipment.</t>
  </si>
  <si>
    <t>6. Furniture and fixtures, classroom equipment, lab equipment, school library/media center equipment.</t>
  </si>
  <si>
    <t>7. Textbooks, curriculum, library/classroom books, and reference materials (includes electronic media).</t>
  </si>
  <si>
    <t>8. Playground structures and equipment.</t>
  </si>
  <si>
    <t>9. Rental or occupancy costs for the school facility for a reasonable period of time in preparation for the school’s opening.</t>
  </si>
  <si>
    <t>10. Communications and promotional materials.</t>
  </si>
  <si>
    <t>11. Outreach and recruitment.</t>
  </si>
  <si>
    <t>12. First year dues and fees.</t>
  </si>
  <si>
    <r>
      <t xml:space="preserve">Examples of </t>
    </r>
    <r>
      <rPr>
        <b/>
        <sz val="11"/>
        <color rgb="FF920A1A"/>
        <rFont val="Arial"/>
        <family val="2"/>
      </rPr>
      <t>unallowable costs</t>
    </r>
    <r>
      <rPr>
        <sz val="11"/>
        <color rgb="FF920A1A"/>
        <rFont val="Arial"/>
        <family val="2"/>
      </rPr>
      <t xml:space="preserve"> </t>
    </r>
    <r>
      <rPr>
        <sz val="11"/>
        <color theme="1"/>
        <rFont val="Arial"/>
        <family val="2"/>
      </rPr>
      <t xml:space="preserve">include the following: </t>
    </r>
  </si>
  <si>
    <t>1. Facility construction, renovation or other or capital improvement costs, except as described in allowable activities.</t>
  </si>
  <si>
    <t>2. Any recurring costs, such as lease payments, or utilities incurred after the first 18 months of the award.</t>
  </si>
  <si>
    <t>3. Utilities and other facility operating expenses on or after the first day of school.</t>
  </si>
  <si>
    <t>4. Grant oversight expenses.</t>
  </si>
  <si>
    <t>5. Non-educational/non-informative promotional/novelty items for advertising, events, or recruiting.</t>
  </si>
  <si>
    <t>6. Gift certificates, alcoholic beverages, school apparel for staff or students, fines and penalties, lobbying. Student activities.</t>
  </si>
  <si>
    <t>7. Professional dues or memberships.</t>
  </si>
  <si>
    <t>8. Employee hiring/recruitment expenses such as a placement firm or travel for prospective employees.</t>
  </si>
  <si>
    <t>9. Salaries or related fringe benefits after the school opens for essential staff.</t>
  </si>
  <si>
    <t>10. Costs of continuing education credits for professional development coursework.</t>
  </si>
  <si>
    <t>11. Out-of-state travel, unless it can be demonstrated that the goal of the travel is directly related to startup activity and cannot be accomplished in-state (no out-of-country travel is permitted.</t>
  </si>
  <si>
    <t>12. Expenses outside the scope of the school’s charter or K-12 education; i.e., before/after school programs and preschool, activities related to the non-profit organization but not the charter school, etc.</t>
  </si>
  <si>
    <t>13. Funding cannot be redirected for other uses (e.g. traditional public schools that are not charters).</t>
  </si>
  <si>
    <t xml:space="preserve">This list is not exhaustive but is presented to show typical items that cannot be covered with grant funds. </t>
  </si>
  <si>
    <t>The following are additional resources for federal guidance pertaining to allowable costs under the CSP program:</t>
  </si>
  <si>
    <t xml:space="preserve">▪   Section 4303(h) Local Uses of Funds </t>
  </si>
  <si>
    <t>▪   U.S. Department of Education (ED) Charter Schools Program (CSP) Nonregulatory Guidance</t>
  </si>
  <si>
    <t>▪   Office of Management and Budget (OMB) Circular A-21, Cost Principles for Educational Institutions</t>
  </si>
  <si>
    <t>▪   Uniform Guidance</t>
  </si>
  <si>
    <t>▪   CSP ESSA Flexibilities FAQ document</t>
  </si>
  <si>
    <t>Applicant:</t>
  </si>
  <si>
    <t>Unique Identifier:</t>
  </si>
  <si>
    <t>Grant Request:</t>
  </si>
  <si>
    <t>Planning</t>
  </si>
  <si>
    <t>Implementation</t>
  </si>
  <si>
    <t>Total</t>
  </si>
  <si>
    <t>To be completed by Opportunity 180</t>
  </si>
  <si>
    <t>Enter the day your grant begins the planning phase.</t>
  </si>
  <si>
    <t>Enter the last day before the school opens its doors to students.</t>
  </si>
  <si>
    <t>Example plan through 9/30/2024 (18 months planning, 24 months implementation, 42 month total)   Enter the day your grant begins the planning phase; enter the day before the actual school opening date as your planning end date.</t>
  </si>
  <si>
    <t>Maximum planning months: 18; Maximum implementation months: 24</t>
  </si>
  <si>
    <t>GL Account</t>
  </si>
  <si>
    <t>Account Description (modify as necessary for appropriate allocations)</t>
  </si>
  <si>
    <t>Grand total</t>
  </si>
  <si>
    <t>Budget Narrative and Expense Assumptions</t>
  </si>
  <si>
    <t>Basic Definitions</t>
  </si>
  <si>
    <t>Personnel: Salaries and Benefits</t>
  </si>
  <si>
    <t>Costs</t>
  </si>
  <si>
    <t>Please be sure to include a separate, 1 page overall budget narrative with your application</t>
  </si>
  <si>
    <t>100-100-1000-101</t>
  </si>
  <si>
    <t>Salaries - Elementary School Teachers</t>
  </si>
  <si>
    <t>Startup/development/early hires -  certified regular K-6 teacher</t>
  </si>
  <si>
    <t>100-100-1000-211</t>
  </si>
  <si>
    <t>Elementary EE Benefits -  Group Insurance</t>
  </si>
  <si>
    <t xml:space="preserve">Group insurance benefits paid by the school on behalf of elementary school teachers </t>
  </si>
  <si>
    <t>100-100-1000-221</t>
  </si>
  <si>
    <t>Elementary EE Benefits -  Social Security</t>
  </si>
  <si>
    <t xml:space="preserve">Social Security paid by the school on behalf of elementary school teachers </t>
  </si>
  <si>
    <t>100-100-1000-231</t>
  </si>
  <si>
    <t>Elementary EE Benefits -  Retirement Contribution</t>
  </si>
  <si>
    <t xml:space="preserve">Retirement contributions paid by the school on behalf of elementary school teachers </t>
  </si>
  <si>
    <t>100-100-1000-241</t>
  </si>
  <si>
    <t>Elementary EE Benefits -  Medicare Payments</t>
  </si>
  <si>
    <t xml:space="preserve">Medicare payments paid by the school on behalf of elementary school teachers </t>
  </si>
  <si>
    <t>100-100-1000-261</t>
  </si>
  <si>
    <t>Elementary EE Benefits -  Unemployment Compensation</t>
  </si>
  <si>
    <t xml:space="preserve">Unemployment compensation paid by the school on behalf of elementary school teachers </t>
  </si>
  <si>
    <t>100-100-1000-271</t>
  </si>
  <si>
    <t>Elementary EE Benefits -  Worker's Compensation</t>
  </si>
  <si>
    <t xml:space="preserve">Worker's compensation paid by the school on behalf of elementary school teachers </t>
  </si>
  <si>
    <t>100-100-1000-281</t>
  </si>
  <si>
    <t>Elementary EE Benefits -  Health Benefits</t>
  </si>
  <si>
    <t xml:space="preserve">Health benefits paid by the school on behalf of elementary school teachers </t>
  </si>
  <si>
    <t>100-100-1000-291</t>
  </si>
  <si>
    <t>Elementary EE Benefits -  Other Employee Benefits</t>
  </si>
  <si>
    <t xml:space="preserve">Other employee benefits paid by the school on behalf of elementary school teachers </t>
  </si>
  <si>
    <t>100-100-1000-102</t>
  </si>
  <si>
    <t>Salaries - Elementary Instructional Aids or Assistants</t>
  </si>
  <si>
    <t>Startup/development/early hires -  elementary school instructional aids or assistants</t>
  </si>
  <si>
    <t>100-100-1000-212</t>
  </si>
  <si>
    <t>Elementary Instructional Aids or Assistants EE Benefits -  Group Insurance</t>
  </si>
  <si>
    <t>Group insurance benefits paid by the school on behalf of elementary school instructional aids or assistants</t>
  </si>
  <si>
    <t>100-100-1000-222</t>
  </si>
  <si>
    <t>Elementary Instructional Aids or Assistants EE Benefits -  Social Security</t>
  </si>
  <si>
    <t>Social Security paid by the school on behalf of elementary school instructional aids or assistants</t>
  </si>
  <si>
    <t>100-100-1000-232</t>
  </si>
  <si>
    <t>Elementary Instructional Aids or Assistants EE Benefits -  Retirement Contribution</t>
  </si>
  <si>
    <t>Retirement contributions paid by the school on behalf of elementary school instructional aids or assistants</t>
  </si>
  <si>
    <t>100-100-1000-242</t>
  </si>
  <si>
    <t>Elementary Instructional Aids or Assistants EE Benefits -  Medicare Payments</t>
  </si>
  <si>
    <t>Medicare payments paid by the school on behalf of elementary school instructional aids or assistants</t>
  </si>
  <si>
    <t>100-100-1000-262</t>
  </si>
  <si>
    <t>Elementary Instructional Aids or Assistants EE Benefits -  Unemployment Compensation</t>
  </si>
  <si>
    <t>Unemployment compensation paid by the school on behalf of elementary school instructional aids or assistants</t>
  </si>
  <si>
    <t>100-100-1000-272</t>
  </si>
  <si>
    <t>Elementary Instructional Aids or Assistants EE Benefits -  Worker's Compensation</t>
  </si>
  <si>
    <t>Worker's compensation paid by the school on behalf of elementary school instructional aids or assistants</t>
  </si>
  <si>
    <t>100-100-1000-282</t>
  </si>
  <si>
    <t>Elementary Instructional Aids or Assistants EE Benefits -  Health Benefits</t>
  </si>
  <si>
    <t xml:space="preserve">Health benefits paid by the school on behalf of elementary school instructional aids or assistants </t>
  </si>
  <si>
    <t>100-100-1000-292</t>
  </si>
  <si>
    <t>Elementary Instructional Aids or Assistants EE Benefits -  Other Employee Benefits</t>
  </si>
  <si>
    <t>Other employee benefits paid by the school on behalf of elementary school instructional aids or assistants</t>
  </si>
  <si>
    <t>Salaries - Secondary School Teachers</t>
  </si>
  <si>
    <t>Startup/development/early hires -  certified regular 7-12 teacher</t>
  </si>
  <si>
    <t>Secondary EE Benefits -  Group Insurance</t>
  </si>
  <si>
    <t xml:space="preserve">Group insurance benefits paid by the school on behalf of secondary school teachers </t>
  </si>
  <si>
    <t>Secondary EE Benefits -  Social Security</t>
  </si>
  <si>
    <t xml:space="preserve">Social Security paid by the school on behalf of secondary school teachers </t>
  </si>
  <si>
    <t>Secondary EE Benefits -  Retirement Contribution</t>
  </si>
  <si>
    <t xml:space="preserve">Retirement contributions paid by the school on behalf of secondary school teachers </t>
  </si>
  <si>
    <t>Secondary EE Benefits -  Medicare Payments</t>
  </si>
  <si>
    <t xml:space="preserve">Medicare payments paid by the school on behalf of secondary school teachers </t>
  </si>
  <si>
    <t>Secondary EE Benefits -  Unemployment Compensation</t>
  </si>
  <si>
    <t xml:space="preserve">Unemployment compensation paid by the school on behalf of secondary school teachers </t>
  </si>
  <si>
    <t>Secondary EE Benefits -  Worker's Compensation</t>
  </si>
  <si>
    <t xml:space="preserve">Worker's compensation paid by the school on behalf of secondary school teachers </t>
  </si>
  <si>
    <t>Secondary EE Benefits -  Health Benefits</t>
  </si>
  <si>
    <t xml:space="preserve">Health benefits paid by the school on behalf of secondary school teachers </t>
  </si>
  <si>
    <t>Secondary EE Benefits -  Other Employee Benefits</t>
  </si>
  <si>
    <t xml:space="preserve">Other employee benefits paid by the school on behalf of secondary school teachers </t>
  </si>
  <si>
    <t>Salaries - Secondary Instructional Aids or Assistants</t>
  </si>
  <si>
    <t>Startup/development/early hires -  secondary school instructional aids or assistants</t>
  </si>
  <si>
    <t>Secondary Instructional Aids or Assistants EE Benefits -  Group Insurance</t>
  </si>
  <si>
    <t>Group insurance benefits paid by the school on behalf of secondary school instructional aids or assistants</t>
  </si>
  <si>
    <t>Secondary Instructional Aids or Assistants EE Benefits -  Social Security</t>
  </si>
  <si>
    <t>Social Security paid by the school on behalf of secondary school instructional aids or assistants</t>
  </si>
  <si>
    <t>Secondary Instructional Aids or Assistants EE Benefits -  Retirement Contribution</t>
  </si>
  <si>
    <t>Retirement contributions paid by the school on behalf of secondary school instructional aids or assistants</t>
  </si>
  <si>
    <t>Secondary Instructional Aids or Assistants EE Benefits -  Medicare Payments</t>
  </si>
  <si>
    <t>Medicare payments paid by the school on behalf of secondary school instructional aids or assistants</t>
  </si>
  <si>
    <t>Secondary Instructional Aids or Assistants EE Benefits -  Unemployment Compensation</t>
  </si>
  <si>
    <t>Unemployment compensation paid by the school on behalf of secondary school instructional aids or assistants</t>
  </si>
  <si>
    <t>Secondary Instructional Aids or Assistants EE Benefits -  Worker's Compensation</t>
  </si>
  <si>
    <t>Worker's compensation paid by the school on behalf of secondary school instructional aids or assistants</t>
  </si>
  <si>
    <t>Secondary Instructional Aids or Assistants EE Benefits -  Health Benefits</t>
  </si>
  <si>
    <t xml:space="preserve">Health benefits paid by the school on behalf of secondary school instructional aids or assistants </t>
  </si>
  <si>
    <t>Secondary Instructional Aids or Assistants EE Benefits -  Other Employee Benefits</t>
  </si>
  <si>
    <t>Other employee benefits paid by the school on behalf of secondary school instructional aids or assistants</t>
  </si>
  <si>
    <t>100-200-1000-101</t>
  </si>
  <si>
    <t>Salaries - Special Education Teachers</t>
  </si>
  <si>
    <t>Startup/development/early hires -  certified regular Special Education teacher</t>
  </si>
  <si>
    <t>100-200-1000-211</t>
  </si>
  <si>
    <t>Special Education Teachers EE Benefits -  Group Insurance</t>
  </si>
  <si>
    <t xml:space="preserve">Group insurance benefits paid by the school on behalf of Special Education teachers </t>
  </si>
  <si>
    <t>100-200-1000-221</t>
  </si>
  <si>
    <t>Special Education Teachers EE Benefits -  Social Security</t>
  </si>
  <si>
    <t xml:space="preserve">Social Security paid by the school on behalf of Special Education teachers </t>
  </si>
  <si>
    <t>100-200-1000-231</t>
  </si>
  <si>
    <t>Special Education Teachers EE Benefits -  Retirement Contribution</t>
  </si>
  <si>
    <t xml:space="preserve">Retirement contributions paid by the school on behalf of Special Education teachers </t>
  </si>
  <si>
    <t>100-200-1000-241</t>
  </si>
  <si>
    <t>Special Education Teachers EE Benefits -  Medicare Payments</t>
  </si>
  <si>
    <t xml:space="preserve">Medicare payments paid by the school on behalf of Special Education teachers </t>
  </si>
  <si>
    <t>100-200-1000-261</t>
  </si>
  <si>
    <t>Special Education Teachers EE Benefits -  Unemployment Compensation</t>
  </si>
  <si>
    <t xml:space="preserve">Unemployment compensation paid by the school on behalf of Special Education teachers </t>
  </si>
  <si>
    <t>100-200-1000-271</t>
  </si>
  <si>
    <t>Special Education Teachers EE Benefits -  Worker's Compensation</t>
  </si>
  <si>
    <t xml:space="preserve">Worker's compensation paid by the school on behalf of Special Education teachers </t>
  </si>
  <si>
    <t>100-200-1000-281</t>
  </si>
  <si>
    <t>Special Education Teachers EE Benefits -  Health Benefits</t>
  </si>
  <si>
    <t xml:space="preserve">Health benefits paid by the school on behalf of Special Education teachers </t>
  </si>
  <si>
    <t>100-200-1000-291</t>
  </si>
  <si>
    <t>Special Education Teachers EE Benefits -  Other Employee Benefits</t>
  </si>
  <si>
    <t xml:space="preserve">Other employee benefits paid by the school on behalf of Special Education teachers </t>
  </si>
  <si>
    <t>100-100-2100-106</t>
  </si>
  <si>
    <t>Salaries - Support Services Students: Other Licensed Staff</t>
  </si>
  <si>
    <t>Startup/development/early hires -  support services other licensed staff (including counselors, etc.)</t>
  </si>
  <si>
    <t>100-100-2100-216</t>
  </si>
  <si>
    <t>Support Services Students: Other Licensed Staff EE Benefits -  Group Insurance</t>
  </si>
  <si>
    <t>Group insurance benefits paid by the school on behalf of support services students other licensed staff</t>
  </si>
  <si>
    <t>100-100-2100-226</t>
  </si>
  <si>
    <t>Support Services Students: Other Licensed Staff EE Benefits -  Social Security</t>
  </si>
  <si>
    <t>Social Security paid by the school on behalf of support services students other licensed staff</t>
  </si>
  <si>
    <t>100-100-2100-236</t>
  </si>
  <si>
    <t>Support Services Students: Other Licensed Staff EE Benefits -  Retirement Contribution</t>
  </si>
  <si>
    <t>Retirement contributions paid by the school on behalf of support services students other licensed staff</t>
  </si>
  <si>
    <t>100-100-2100-246</t>
  </si>
  <si>
    <t>Support Services Students: Other Licensed Staff EE Benefits -  Medicare Payments</t>
  </si>
  <si>
    <t>Medicare payments paid by the school on behalf of support services students other licensed staff</t>
  </si>
  <si>
    <t>100-100-2100-266</t>
  </si>
  <si>
    <t>Support Services Students: Other Licensed Staff EE Benefits -  Unemployment Compensation</t>
  </si>
  <si>
    <t>Unemployment compensation paid by the school on behalf of support services students other licensed staff</t>
  </si>
  <si>
    <t>100-100-2100-276</t>
  </si>
  <si>
    <t>Support Services Students: Other Licensed Staff EE Benefits -  Worker's Compensation</t>
  </si>
  <si>
    <t xml:space="preserve">Worker's compensation paid by the school on behalf of support services students other licensed staff </t>
  </si>
  <si>
    <t>100-100-2100-286</t>
  </si>
  <si>
    <t>Support Services Students: Other Licensed Staff EE Benefits -  Health Benefits</t>
  </si>
  <si>
    <t>Health benefits paid by the school on behalf of support services students other licensed staff</t>
  </si>
  <si>
    <t>100-100-2100-296</t>
  </si>
  <si>
    <t>Support Services Students: Other Licensed Staff EE Benefits -  Other Employee Benefits</t>
  </si>
  <si>
    <t>Other employee benefits paid by the school on behalf of support services students other licensed staff</t>
  </si>
  <si>
    <t>100-100-2100-107</t>
  </si>
  <si>
    <t>Salaries - Support Services Students: Other Classified / Support Staff</t>
  </si>
  <si>
    <t xml:space="preserve">Startup/development/early hires -  support services students other classified / support staff </t>
  </si>
  <si>
    <t>100-100-2100-217</t>
  </si>
  <si>
    <t>Support Services Students: Other Classified / Support Staff EE Benefits -  Group Insurance</t>
  </si>
  <si>
    <t>Group insurance benefits paid by the school on behalf of support services students other  classified / support staff</t>
  </si>
  <si>
    <t>100-100-2100-227</t>
  </si>
  <si>
    <t>Support Services Students: Other Classified / Support Staff EE Benefits -  Social Security</t>
  </si>
  <si>
    <t>Social Security paid by the school on behalf of support services students other  classified / support staff</t>
  </si>
  <si>
    <t>100-100-2100-237</t>
  </si>
  <si>
    <t>Support Services Students: Other Classified / Support Staff EE Benefits -  Retirement Contribution</t>
  </si>
  <si>
    <t>Retirement contributions paid by the school on behalf of support services students other  classified / support staff</t>
  </si>
  <si>
    <t>100-100-2100-247</t>
  </si>
  <si>
    <t>Support Services Students: Other Classified / Support Staff EE Benefits -  Medicare Payments</t>
  </si>
  <si>
    <t>Medicare payments paid by the school on behalf of support services students other  classified / support staff</t>
  </si>
  <si>
    <t>100-100-2100-267</t>
  </si>
  <si>
    <t>Support Services Students: Other Classified / Support Staff EE Benefits -  Unemployment Compensation</t>
  </si>
  <si>
    <t>Unemployment compensation paid by the school on behalf of support services students other  classified / support staff</t>
  </si>
  <si>
    <t>100-100-2100-277</t>
  </si>
  <si>
    <t>Support Services Students: Other Classified / Support Staff EE Benefits -  Worker's Compensation</t>
  </si>
  <si>
    <t xml:space="preserve">Worker's compensation paid by the school on behalf of support services students other  classified / support staff </t>
  </si>
  <si>
    <t>100-100-2100-287</t>
  </si>
  <si>
    <t>Support Services Students: Other Classified / Support Staff EE Benefits -  Health Benefits</t>
  </si>
  <si>
    <t>Health benefits paid by the school on behalf of support services students other  classified / support staff</t>
  </si>
  <si>
    <t>100-100-2100-297</t>
  </si>
  <si>
    <t>Support Services Students: Other Classified / Support Staff EE Benefits -  Other Employee Benefits</t>
  </si>
  <si>
    <t>Other employee benefits paid by the school on behalf of support services students other  classified / support staff</t>
  </si>
  <si>
    <t>100-100-2200-106</t>
  </si>
  <si>
    <t>Salaries - Support Services Instruction: Other Licensed Staff</t>
  </si>
  <si>
    <t xml:space="preserve">Startup/development/early hires -  support services instruction other licensed staff </t>
  </si>
  <si>
    <t>100-100-2200-216</t>
  </si>
  <si>
    <t>Support Services Instruction: Other Licensed Staff EE Benefits -  Group Insurance</t>
  </si>
  <si>
    <t>Group insurance benefits paid by the school on behalf of support services instruction other licensed staff</t>
  </si>
  <si>
    <t>100-100-2200-226</t>
  </si>
  <si>
    <t>Support Services Instruction: Other Licensed  Staff EE Benefits -  Social Security</t>
  </si>
  <si>
    <t>Social Security paid by the school on behalf of support services instruction other licensed staff</t>
  </si>
  <si>
    <t>100-100-2200-236</t>
  </si>
  <si>
    <t>Support Services Instruction: Other Licensed Staff EE Benefits -  Retirement Contribution</t>
  </si>
  <si>
    <t>Retirement contributions paid by the school on behalf of support services instruction other licensed staff</t>
  </si>
  <si>
    <t>100-100-2200-246</t>
  </si>
  <si>
    <t>Support Services Instruction: Other Licensed Staff EE Benefits -  Medicare Payments</t>
  </si>
  <si>
    <t>Medicare payments paid by the school on behalf of support services instruction other licensed staff</t>
  </si>
  <si>
    <t>100-100-2200-266</t>
  </si>
  <si>
    <t>Support Services Instruction: Other Licensed Staff EE Benefits -  Unemployment Compensation</t>
  </si>
  <si>
    <t>Unemployment compensation paid by the school on behalf of support services instruction other licensed staff</t>
  </si>
  <si>
    <t>100-100-2200-276</t>
  </si>
  <si>
    <t>Support Services Instruction: Other Licensed Staff EE Benefits -  Worker's Compensation</t>
  </si>
  <si>
    <t xml:space="preserve">Worker's compensation paid by the school on behalf of support services instruction other licensed staff </t>
  </si>
  <si>
    <t>100-100-2200-286</t>
  </si>
  <si>
    <t>Support Services Instruction: Other Licensed Staff EE Benefits -  Health Benefits</t>
  </si>
  <si>
    <t>Health benefits paid by the school on behalf of support services instruction other licensed staff</t>
  </si>
  <si>
    <t>100-100-2200-296</t>
  </si>
  <si>
    <t>Support Services Instruction: Other Licensed Staff EE Benefits -  Other Employee Benefits</t>
  </si>
  <si>
    <t>Other employee benefits paid by the school on behalf of support services instruction other licensed staff</t>
  </si>
  <si>
    <t>100-100-2200-107</t>
  </si>
  <si>
    <t>Salaries - Support Services Instruction: Other Classified / Support Staff</t>
  </si>
  <si>
    <t xml:space="preserve">Startup/development/early hires -  support services instruction other classified / support staff </t>
  </si>
  <si>
    <t>100-100-2200-217</t>
  </si>
  <si>
    <t>Support Services Instruction: Other Classified / Support Staff EE Benefits -  Group Insurance</t>
  </si>
  <si>
    <t>Group insurance benefits paid by the school on behalf of support services instruction other  classified / support staff</t>
  </si>
  <si>
    <t>100-100-2200-227</t>
  </si>
  <si>
    <t>Support Services Instruction: Other Classified / Support Staff EE Benefits -  Social Security</t>
  </si>
  <si>
    <t>Social Security paid by the school on behalf of support services instruction other  classified / support staff</t>
  </si>
  <si>
    <t>100-100-2200-237</t>
  </si>
  <si>
    <t>Support Services Instruction: Other Classified / Support Staff EE Benefits -  Retirement Contribution</t>
  </si>
  <si>
    <t>Retirement contributions paid by the school on behalf of support services instruction other  classified / support staff</t>
  </si>
  <si>
    <t>100-100-2200-247</t>
  </si>
  <si>
    <t>Support Services Instruction: Other Classified / Support Staff EE Benefits -  Medicare Payments</t>
  </si>
  <si>
    <t>Medicare payments paid by the school on behalf of support services instruction other  classified / support staff</t>
  </si>
  <si>
    <t>100-100-2200-267</t>
  </si>
  <si>
    <t>Support Services Instruction: Other Classified / Support Staff EE Benefits -  Unemployment Compensation</t>
  </si>
  <si>
    <t>Unemployment compensation paid by the school on behalf of support services instruction other  classified / support staff</t>
  </si>
  <si>
    <t>100-100-2200-277</t>
  </si>
  <si>
    <t>Support Services Instruction: Other Classified / Support Staff EE Benefits -  Worker's Compensation</t>
  </si>
  <si>
    <t xml:space="preserve">Worker's compensation paid by the school on behalf of support services instruction other  classified / support staff </t>
  </si>
  <si>
    <t>100-100-2200-287</t>
  </si>
  <si>
    <t>Support Services Instruction: Other Classified / Support Staff EE Benefits -  Health Benefits</t>
  </si>
  <si>
    <t>Health benefits paid by the school on behalf of support services instruction other  classified / support staff</t>
  </si>
  <si>
    <t>100-100-2200-297</t>
  </si>
  <si>
    <t>Support Services Instruction: Other Classified / Support Staff EE Benefits -  Other Employee Benefits</t>
  </si>
  <si>
    <t>Other employee benefits paid by the school on behalf of support services instruction other  classified / support staff</t>
  </si>
  <si>
    <t>100-100-2300-104</t>
  </si>
  <si>
    <t>Salaries - General Administration: Licensed Administration</t>
  </si>
  <si>
    <t>Startup/development/early hires -  general administration: licensed administration staff</t>
  </si>
  <si>
    <t>100-100-2300-214</t>
  </si>
  <si>
    <t>General Administration: Licensed Administration EE Benefits -  Group Insurance</t>
  </si>
  <si>
    <t>Group insurance benefits paid by the school on behalf of general administration: licensed administration staff</t>
  </si>
  <si>
    <t>100-100-2300-224</t>
  </si>
  <si>
    <t>General Administration: Licensed Administration EE Benefits -  Social Security</t>
  </si>
  <si>
    <t>Social Security paid by the school on behalf of general administration: licensed administration staff</t>
  </si>
  <si>
    <t>100-100-2300-234</t>
  </si>
  <si>
    <t>General Administration: Licensed Administration EE Benefits -  Retirement Contribution</t>
  </si>
  <si>
    <t>Retirement contributions paid by the school on behalf of general administration: licensed administration staff</t>
  </si>
  <si>
    <t>100-100-2300-244</t>
  </si>
  <si>
    <t>General Administration: Licensed Administration EE Benefits -  Medicare Payments</t>
  </si>
  <si>
    <t>Medicare payments paid by the school on behalf of general administration: licensed administration staff</t>
  </si>
  <si>
    <t>100-100-2300-264</t>
  </si>
  <si>
    <t>General Administration: Licensed Administration EE Benefits -  Unemployment Compensation</t>
  </si>
  <si>
    <t>Unemployment compensation paid by the school on behalf of general administration: licensed administration staff</t>
  </si>
  <si>
    <t>100-100-2300-274</t>
  </si>
  <si>
    <t>General Administration: Licensed Administration EE Benefits -  Worker's Compensation</t>
  </si>
  <si>
    <t xml:space="preserve">Worker's compensation paid by the school on behalf of general administration: licensed administration staff </t>
  </si>
  <si>
    <t>100-100-2300-284</t>
  </si>
  <si>
    <t>General Administration: Licensed Administration EE Benefits -  Health Benefits</t>
  </si>
  <si>
    <t>Health benefits paid by the school on behalf of general administration: licensed administration staff</t>
  </si>
  <si>
    <t>100-100-2300-294</t>
  </si>
  <si>
    <t>General Administration: Licensed Administration EE Benefits -  Other Employee Benefits</t>
  </si>
  <si>
    <t>Other employee benefits paid by the school on behalf of general administration: licensed administration staff</t>
  </si>
  <si>
    <t>100-100-2300-105</t>
  </si>
  <si>
    <t>Salaries - General Administration: Non-licensed Administration</t>
  </si>
  <si>
    <t>Startup/development/early hires -  general administration: non-licensed administration staff</t>
  </si>
  <si>
    <t>100-100-2300-215</t>
  </si>
  <si>
    <t>General Administration: Non-licensed Administration EE Benefits -  Group Insurance</t>
  </si>
  <si>
    <t>Group insurance benefits paid by the school on behalf of general administration: non-licensed administration staff</t>
  </si>
  <si>
    <t>100-100-2300-225</t>
  </si>
  <si>
    <t>General Administration: Non-licensed Administration EE Benefits -  Social Security</t>
  </si>
  <si>
    <t>Social Security paid by the school on behalf of general administration: non-licensed administration staff</t>
  </si>
  <si>
    <t>100-100-2300-235</t>
  </si>
  <si>
    <t>General Administration: Non-licensed Administration EE Benefits -  Retirement Contribution</t>
  </si>
  <si>
    <t>Retirement contributions paid by the school on behalf of general administration: non-licensed administration staff</t>
  </si>
  <si>
    <t>100-100-2300-245</t>
  </si>
  <si>
    <t>General Administration: Non-licensed Administration EE Benefits -  Medicare Payments</t>
  </si>
  <si>
    <t>Medicare payments paid by the school on behalf of general administration: non-licensed administration staff</t>
  </si>
  <si>
    <t>100-100-2300-265</t>
  </si>
  <si>
    <t>General Administration: Non-licensed Administration EE Benefits -  Unemployment Compensation</t>
  </si>
  <si>
    <t>Unemployment compensation paid by the school on behalf of general administration: non-licensed administration staff</t>
  </si>
  <si>
    <t>100-100-2300-275</t>
  </si>
  <si>
    <t>General Administration: Non-licensed Administration EE Benefits -  Worker's Compensation</t>
  </si>
  <si>
    <t xml:space="preserve">Worker's compensation paid by the school on behalf of general administration: non-licensed administration staff </t>
  </si>
  <si>
    <t>100-100-2300-285</t>
  </si>
  <si>
    <t>General Administration: Non-licensed Administration EE Benefits -  Health Benefits</t>
  </si>
  <si>
    <t>Health benefits paid by the school on behalf of general administration: non-licensed administration staff</t>
  </si>
  <si>
    <t>100-100-2300-295</t>
  </si>
  <si>
    <t>General Administration: Non-licensed Administration EE Benefits -  Other Employee Benefits</t>
  </si>
  <si>
    <t>Other employee benefits paid by the school on behalf of general administration: non-licensed administration staff</t>
  </si>
  <si>
    <t>100-100-2400-104</t>
  </si>
  <si>
    <t>Salaries - School Administration: Licensed Administration</t>
  </si>
  <si>
    <t>Startup/development/early hires -  school administration: licensed administration staff</t>
  </si>
  <si>
    <t>100-100-2400-214</t>
  </si>
  <si>
    <t>School Administration: Licensed Administration EE Benefits -  Group Insurance</t>
  </si>
  <si>
    <t>Group insurance benefits paid by the school on behalf of school administration: licensed administration staff</t>
  </si>
  <si>
    <t>100-100-2400-224</t>
  </si>
  <si>
    <t>School Administration: Licensed Administration EE Benefits -  Social Security</t>
  </si>
  <si>
    <t>Social Security paid by the school on behalf of school administration: licensed administration staff</t>
  </si>
  <si>
    <t>100-100-2400-234</t>
  </si>
  <si>
    <t>School Administration: Licensed Administration EE Benefits -  Retirement Contribution</t>
  </si>
  <si>
    <t>Retirement contributions paid by the school on behalf of school administration: licensed administration staff</t>
  </si>
  <si>
    <t>100-100-2400-244</t>
  </si>
  <si>
    <t>School Administration: Licensed Administration EE Benefits -  Medicare Payments</t>
  </si>
  <si>
    <t>Medicare payments paid by the school on behalf of school administration: licensed administration staff</t>
  </si>
  <si>
    <t>100-100-2400-264</t>
  </si>
  <si>
    <t>School Administration: Licensed Administration EE Benefits -  Unemployment Compensation</t>
  </si>
  <si>
    <t>Unemployment compensation paid by the school on behalf of school administration: licensed administration staff</t>
  </si>
  <si>
    <t>100-100-2400-274</t>
  </si>
  <si>
    <t>School Administration: Licensed Administration EE Benefits -  Worker's Compensation</t>
  </si>
  <si>
    <t xml:space="preserve">Worker's compensation paid by the school on behalf of school administration: licensed administration staff </t>
  </si>
  <si>
    <t>100-100-2400-284</t>
  </si>
  <si>
    <t>School Administration: Licensed Administration EE Benefits -  Health Benefits</t>
  </si>
  <si>
    <t>Health benefits paid by the school on behalf of school administration: licensed administration staff</t>
  </si>
  <si>
    <t>100-100-2400-294</t>
  </si>
  <si>
    <t>School Administration: Licensed Administration EE Benefits -  Other Employee Benefits</t>
  </si>
  <si>
    <t>Other employee benefits paid by the school on behalf of school administration: licensed administration staff</t>
  </si>
  <si>
    <t>100-100-2400-105</t>
  </si>
  <si>
    <t>Salaries - School Administration: Non-licensed Administration</t>
  </si>
  <si>
    <t>Startup/development/early hires -  school administration: non-licensed administration staff</t>
  </si>
  <si>
    <t>100-100-2400-215</t>
  </si>
  <si>
    <t>School Administration: Non-licensed Administration EE Benefits -  Group Insurance</t>
  </si>
  <si>
    <t>Group insurance benefits paid by the school on behalf of school administration: non-licensed administration staff</t>
  </si>
  <si>
    <t>100-100-2400-225</t>
  </si>
  <si>
    <t>School Administration: Non-licensed Administration EE Benefits -  Social Security</t>
  </si>
  <si>
    <t>Social Security paid by the school on behalf of school administration: non-licensed administration staff</t>
  </si>
  <si>
    <t>100-100-2400-235</t>
  </si>
  <si>
    <t>School Administration: Non-licensed Administration EE Benefits -  Retirement Contribution</t>
  </si>
  <si>
    <t>Retirement contributions paid by the school on behalf of school administration: non-licensed administration staff</t>
  </si>
  <si>
    <t>100-100-2400-245</t>
  </si>
  <si>
    <t>School Administration: Non-licensed Administration EE Benefits -  Medicare Payments</t>
  </si>
  <si>
    <t>Medicare payments paid by the school on behalf of school administration: non-licensed administration staff</t>
  </si>
  <si>
    <t>100-100-2400-265</t>
  </si>
  <si>
    <t>School Administration: Non-licensed Administration EE Benefits -  Unemployment Compensation</t>
  </si>
  <si>
    <t>Unemployment compensation paid by the school on behalf of school administration: non-licensed administration staff</t>
  </si>
  <si>
    <t>100-100-2400-275</t>
  </si>
  <si>
    <t>School Administration: Non-licensed Administration EE Benefits -  Worker's Compensation</t>
  </si>
  <si>
    <t xml:space="preserve">Worker's compensation paid by the school on behalf of school administration: non-licensed administration staff </t>
  </si>
  <si>
    <t>100-100-2400-285</t>
  </si>
  <si>
    <t>School Administration: Non-licensed Administration EE Benefits -  Health Benefits</t>
  </si>
  <si>
    <t>Health benefits paid by the school on behalf of school administration: non-licensed administration staff</t>
  </si>
  <si>
    <t>100-100-2400-295</t>
  </si>
  <si>
    <t>School Administration: Non-licensed Administration EE Benefits -  Other Employee Benefits</t>
  </si>
  <si>
    <t>Other employee benefits paid by the school on behalf of school administration: non-licensed administration staff</t>
  </si>
  <si>
    <t>100-100-2400-107</t>
  </si>
  <si>
    <t>Salaries - School Administration: Other Classified / Support Staff</t>
  </si>
  <si>
    <t>Startup/development/early hires -  school administration: other classified / support staff</t>
  </si>
  <si>
    <t>100-100-2400-217</t>
  </si>
  <si>
    <t>School Administration: Other Classified / Support Staff EE Benefits -  Group Insurance</t>
  </si>
  <si>
    <t>Group insurance benefits paid by the school on behalf of school administration: other classified / support staff</t>
  </si>
  <si>
    <t>100-100-2400-227</t>
  </si>
  <si>
    <t>School Administration: Other Classified / Support Staff EE Benefits -  Social Security</t>
  </si>
  <si>
    <t>Social Security paid by the school on behalf of school administration: other classified / support staff</t>
  </si>
  <si>
    <t>100-100-2400-237</t>
  </si>
  <si>
    <t>School Administration: Other Classified / Support Staff EE Benefits -  Retirement Contribution</t>
  </si>
  <si>
    <t>Retirement contributions paid by the school on behalf of school administration: other classified / support staff</t>
  </si>
  <si>
    <t>100-100-2400-247</t>
  </si>
  <si>
    <t>School Administration: Other Classified / Support Staff EE Benefits -  Medicare Payments</t>
  </si>
  <si>
    <t>Medicare payments paid by the school on behalf of school administration: other classified / support staff</t>
  </si>
  <si>
    <t>100-100-2400-267</t>
  </si>
  <si>
    <t>School Administration: Other Classified / Support Staff EE Benefits -  Unemployment Compensation</t>
  </si>
  <si>
    <t>Unemployment compensation paid by the school on behalf of school administration: other classified / support staff</t>
  </si>
  <si>
    <t>100-100-2400-277</t>
  </si>
  <si>
    <t>School Administration: Other Classified / Support Staff EE Benefits -  Worker's Compensation</t>
  </si>
  <si>
    <t>Worker's compensation paid by the school on behalf of school administration: other classified / support staff</t>
  </si>
  <si>
    <t>100-100-2400-287</t>
  </si>
  <si>
    <t>School Administration: Other Classified / Support Staff EE Benefits -  Health Benefits</t>
  </si>
  <si>
    <t>Health benefits paid by the school on behalf of school administration: other classified / support staff</t>
  </si>
  <si>
    <t>100-100-2400-297</t>
  </si>
  <si>
    <t>School Administration: Other Classified / Support Staff EE Benefits -  Other Employee Benefits</t>
  </si>
  <si>
    <t>Other employee benefits paid by the school on behalf of school administration: other classified / support staff</t>
  </si>
  <si>
    <t>100-100-2500-107</t>
  </si>
  <si>
    <t>Salaries - Central Services: Other Classified / Support Staff</t>
  </si>
  <si>
    <t>Startup/development/early hires -  central services: other classified / support staff (including fiscal, HR, planning and administrative IT)</t>
  </si>
  <si>
    <t>100-100-2500-217</t>
  </si>
  <si>
    <t>Central Services: Other Classified / Support Staff EE Benefits -  Group Insurance</t>
  </si>
  <si>
    <t>Group insurance benefits paid by the school on behalf of central services: other classified / support staff</t>
  </si>
  <si>
    <t>100-100-2500-227</t>
  </si>
  <si>
    <t>Central Services: Other Classified / Support Staff EE Benefits -  Social Security</t>
  </si>
  <si>
    <t>Social Security paid by the school on behalf of central services: other classified / support staff</t>
  </si>
  <si>
    <t>100-100-2500-237</t>
  </si>
  <si>
    <t>Central Services: Other Classified / Support Staff EE Benefits -  Retirement Contribution</t>
  </si>
  <si>
    <t>Retirement contributions paid by the school on behalf of central services: other classified / support staff</t>
  </si>
  <si>
    <t>100-100-2500-247</t>
  </si>
  <si>
    <t>Central Services: Other Classified / Support Staff EE Benefits -  Medicare Payments</t>
  </si>
  <si>
    <t>Medicare payments paid by the school on behalf of central services: other classified / support staff</t>
  </si>
  <si>
    <t>100-100-2500-267</t>
  </si>
  <si>
    <t>Central Services: Other Classified / Support Staff EE Benefits -  Unemployment Compensation</t>
  </si>
  <si>
    <t>Unemployment compensation paid by the school on behalf of central services: other classified / support staff</t>
  </si>
  <si>
    <t>100-100-2500-277</t>
  </si>
  <si>
    <t>Central Services: Other Classified / Support Staff EE Benefits -  Worker's Compensation</t>
  </si>
  <si>
    <t>Worker's compensation paid by the school on behalf of central services: other classified / support staff</t>
  </si>
  <si>
    <t>100-100-2500-287</t>
  </si>
  <si>
    <t>Central Services: Other Classified / Support Staff EE Benefits -  Health Benefits</t>
  </si>
  <si>
    <t>Health benefits paid by the school on behalf of central services: other classified / support staff</t>
  </si>
  <si>
    <t>100-100-2500-297</t>
  </si>
  <si>
    <t>Central Services: Other Classified / Support Staff EE Benefits -  Other Employee Benefits</t>
  </si>
  <si>
    <t>Other employee benefits paid by the school on behalf of central services: other classified / support staff</t>
  </si>
  <si>
    <t>100-100-2600-106</t>
  </si>
  <si>
    <t>Salaries - Operation and Maintenance of Plant Other Licensed Staff</t>
  </si>
  <si>
    <t>Startup/development/early hires -  operation and maintenance of plant: other licensed staff</t>
  </si>
  <si>
    <t>100-100-2600-216</t>
  </si>
  <si>
    <t>Operation and Maintenance of Plant: Other Licensed Staff EE Benefits -  Group Insurance</t>
  </si>
  <si>
    <t>Group insurance benefits paid by the school on behalf of operation and maintenance of plant: other licensed staff</t>
  </si>
  <si>
    <t>100-100-2600-226</t>
  </si>
  <si>
    <t>Operation and Maintenance of Plant: Other Licensed Staff EE Benefits -  Social Security</t>
  </si>
  <si>
    <t>Social Security paid by the school on behalf of operation and maintenance of plant: other licensed staff</t>
  </si>
  <si>
    <t>100-100-2600-236</t>
  </si>
  <si>
    <t>Operation and Maintenance of Plant: Other Licensed Staff EE Benefits -  Retirement Contribution</t>
  </si>
  <si>
    <t>Retirement contributions paid by the school on behalf of operation and maintenance of plant: other licensed staff</t>
  </si>
  <si>
    <t>100-100-2600-246</t>
  </si>
  <si>
    <t>Operation and Maintenance of Plant: Other Licensed Staff EE Benefits -  Medicare Payments</t>
  </si>
  <si>
    <t>Medicare payments paid by the school on behalf of operation and maintenance of plant: other licensed staff</t>
  </si>
  <si>
    <t>100-100-2600-266</t>
  </si>
  <si>
    <t>Operation and Maintenance of Plant: Other Licensed Staff EE Benefits -  Unemployment Compensation</t>
  </si>
  <si>
    <t>Unemployment compensation paid by the school on behalf of operation and maintenance of plant: other licensed staff</t>
  </si>
  <si>
    <t>100-100-2600-276</t>
  </si>
  <si>
    <t>Operation and Maintenance of Plant: Other Licensed Staff EE Benefits -  Worker's Compensation</t>
  </si>
  <si>
    <t>Worker's compensation paid by the school on behalf of operation and maintenance of plant: other licensed staff</t>
  </si>
  <si>
    <t>100-100-2600-286</t>
  </si>
  <si>
    <t>Operation and Maintenance of Plant: Other Licensed Staff EE Benefits -  Health Benefits</t>
  </si>
  <si>
    <t>Health benefits paid by the school on behalf of operation and maintenance of plant: other licensed staff</t>
  </si>
  <si>
    <t>100-100-2600-296</t>
  </si>
  <si>
    <t>Operation and Maintenance of Plant: Other Licensed Staff EE Benefits -  Other Employee Benefits</t>
  </si>
  <si>
    <t>Other employee benefits paid by the school on behalf of operation and maintenance of plant: other licensed staff</t>
  </si>
  <si>
    <t>100-100-2600-107</t>
  </si>
  <si>
    <t>Salaries - Operation and Maintenance of Plant Other Classified / Support Staff</t>
  </si>
  <si>
    <t>Startup/development/early hires -  operation and maintenance of plant: other classified / support staff</t>
  </si>
  <si>
    <t>100-100-2600-217</t>
  </si>
  <si>
    <t>Operation and Maintenance of Plant: Other Classified / Support Staff EE Benefits -  Group Insurance</t>
  </si>
  <si>
    <t>Group insurance benefits paid by the school on behalf of operation and maintenance of plant: other classified / support staff</t>
  </si>
  <si>
    <t>100-100-2600-227</t>
  </si>
  <si>
    <t>Operation and Maintenance of Plant: Other Classified / Support Staff EE Benefits -  Social Security</t>
  </si>
  <si>
    <t>Social Security paid by the school on behalf of operation and maintenance of plant: other classified / support staff</t>
  </si>
  <si>
    <t>100-100-2600-237</t>
  </si>
  <si>
    <t>Operation and Maintenance of Plant: Other Classified / Support Staff EE Benefits -  Retirement Contribution</t>
  </si>
  <si>
    <t>Retirement contributions paid by the school on behalf of operation and maintenance of plant: other classified / support staff</t>
  </si>
  <si>
    <t>100-100-2600-247</t>
  </si>
  <si>
    <t>Operation and Maintenance of Plant: Other Classified / Support Staff EE Benefits -  Medicare Payments</t>
  </si>
  <si>
    <t>Medicare payments paid by the school on behalf of operation and maintenance of plant: other classified / support staff</t>
  </si>
  <si>
    <t>100-100-2600-267</t>
  </si>
  <si>
    <t>Operation and Maintenance of Plant: Other Classified / Support Staff EE Benefits -  Unemployment Compensation</t>
  </si>
  <si>
    <t>Unemployment compensation paid by the school on behalf of operation and maintenance of plant: other classified / support staff</t>
  </si>
  <si>
    <t>100-100-2600-277</t>
  </si>
  <si>
    <t>Operation and Maintenance of Plant: Other Classified / Support Staff EE Benefits -  Worker's Compensation</t>
  </si>
  <si>
    <t>Worker's compensation paid by the school on behalf of operation and maintenance of plant: other classified / support staff</t>
  </si>
  <si>
    <t>100-100-2600-287</t>
  </si>
  <si>
    <t>Operation and Maintenance of Plant: Other Classified / Support Staff EE Benefits -  Health Benefits</t>
  </si>
  <si>
    <t>Health benefits paid by the school on behalf of operation and maintenance of plant: other classified / support staff</t>
  </si>
  <si>
    <t>100-100-2600-297</t>
  </si>
  <si>
    <t>Operation and Maintenance of Plant: Other Classified / Support Staff EE Benefits -  Other Employee Benefits</t>
  </si>
  <si>
    <t>Other employee benefits paid by the school on behalf of operation and maintenance of plant: other classified / support staff</t>
  </si>
  <si>
    <t xml:space="preserve">  </t>
  </si>
  <si>
    <t>Personnel Salaries and Benefits Totals</t>
  </si>
  <si>
    <t>Professional Development</t>
  </si>
  <si>
    <t>100-100-2213-331</t>
  </si>
  <si>
    <t>Training and Development Services - Teachers (Instructional Licensed Personnel)</t>
  </si>
  <si>
    <t>Amounts paid for staff training and development</t>
  </si>
  <si>
    <t>100-100-2213-332</t>
  </si>
  <si>
    <t>Training and Development Services - Instructional Aides or Assistants (Non-Licensed Personnel)</t>
  </si>
  <si>
    <t>100-000-2400-334</t>
  </si>
  <si>
    <t>Training and Development Services - Licensed Administrative Personnel</t>
  </si>
  <si>
    <t>100-000-2400-335</t>
  </si>
  <si>
    <t>Training and Development Services - Non-Licensed Administrative Personnel</t>
  </si>
  <si>
    <t>100-100-2000-336</t>
  </si>
  <si>
    <t>Training and Development Services - Other Licensed Personnel</t>
  </si>
  <si>
    <t>100-100-2000-337</t>
  </si>
  <si>
    <t>Training and Development Services - Other Classified / Support Personnel</t>
  </si>
  <si>
    <t>100-100-2000-339</t>
  </si>
  <si>
    <t>Technology Related Training for Staff</t>
  </si>
  <si>
    <t>Professional Development Totals</t>
  </si>
  <si>
    <t>Supplies</t>
  </si>
  <si>
    <t>100-100-1000-600</t>
  </si>
  <si>
    <t>General Supplies – Elementary School</t>
  </si>
  <si>
    <t>Amounts paid for items of an expendable nature that are consumed, worn out, or deteriorated through use; not capital items; refer to school's capitalization policy (items below capitalization threshold can be expensed here)</t>
  </si>
  <si>
    <t>General Supplies – Secondary School</t>
  </si>
  <si>
    <t>100-200-1000-600</t>
  </si>
  <si>
    <t>General Supplies – Special Education</t>
  </si>
  <si>
    <t>100-000-2400-600</t>
  </si>
  <si>
    <t>General Supplies – Administration</t>
  </si>
  <si>
    <t>100-100-1000-640</t>
  </si>
  <si>
    <t>Books and Periodicals - Elementary School</t>
  </si>
  <si>
    <t>Books and Periodicals - Secondary School</t>
  </si>
  <si>
    <t>100-200-1000-640</t>
  </si>
  <si>
    <t>Books and Periodicals - Special Education</t>
  </si>
  <si>
    <t>100-100-1000-641</t>
  </si>
  <si>
    <t>Textbooks - Elementary School</t>
  </si>
  <si>
    <t>Textbooks - Secondary School</t>
  </si>
  <si>
    <t>100-200-1000-641</t>
  </si>
  <si>
    <t>Textbooks - Special Education</t>
  </si>
  <si>
    <t>100-100-1000-651</t>
  </si>
  <si>
    <t>Software - Educational - Elementary</t>
  </si>
  <si>
    <t>Software - Educational - Secondary</t>
  </si>
  <si>
    <t>100-200-1000-651</t>
  </si>
  <si>
    <t>Software - Educational - Special Education</t>
  </si>
  <si>
    <t>100-000-2400-651</t>
  </si>
  <si>
    <t>Software - Admin / School (General)</t>
  </si>
  <si>
    <t>100-100-1000-652</t>
  </si>
  <si>
    <t>Supplies - Information Technology Related - Elementary School</t>
  </si>
  <si>
    <t>Supplies - Information Technology Related - Secondary School</t>
  </si>
  <si>
    <t>100-200-1000-652</t>
  </si>
  <si>
    <t>Supplies - Information Technology Related - Special Education</t>
  </si>
  <si>
    <t>100-000-2400-652</t>
  </si>
  <si>
    <t>Supplies - Information Technology Related - Administration</t>
  </si>
  <si>
    <t>Supplies Totals</t>
  </si>
  <si>
    <t xml:space="preserve">Professional Services </t>
  </si>
  <si>
    <t>Specify and allocate to appropriate functions:</t>
  </si>
  <si>
    <t>100-000-2300-310</t>
  </si>
  <si>
    <t>Administrative Services</t>
  </si>
  <si>
    <t>Costs of professionals/consultants/contract services used for startup/expansion/replication work in these operational areas
Examples include but are not limited to: Library/Media Services; Board of Education Services, Fiscal, Purchasing, Security
Specify services and allocate to appropriate functions as designated in the NDE Chart of Accounts</t>
  </si>
  <si>
    <t>100-000-2400-310</t>
  </si>
  <si>
    <t>School Administrative Services</t>
  </si>
  <si>
    <t>100-100-1000-320</t>
  </si>
  <si>
    <t>Professional Educational Services</t>
  </si>
  <si>
    <t>100-100-2100-320</t>
  </si>
  <si>
    <t>Professional Educational Services - Support Services Students</t>
  </si>
  <si>
    <t>100-100-2200-320</t>
  </si>
  <si>
    <t>Professional Educational Services - Support Services Instruction</t>
  </si>
  <si>
    <t>100-100-2300-320</t>
  </si>
  <si>
    <t>Professional Educational Services - General Administration</t>
  </si>
  <si>
    <t>100-100-2400-320</t>
  </si>
  <si>
    <t>Professional Educational Services - School Administration</t>
  </si>
  <si>
    <t>100-000-2700-510</t>
  </si>
  <si>
    <t>Student Transportation Services</t>
  </si>
  <si>
    <t>100-000-2400-520</t>
  </si>
  <si>
    <t>Insurance</t>
  </si>
  <si>
    <t>100-000-2400-530</t>
  </si>
  <si>
    <t>Communications Services</t>
  </si>
  <si>
    <t>100-000-2400-550</t>
  </si>
  <si>
    <t>Printing and Binding</t>
  </si>
  <si>
    <t>100-100-1000-580</t>
  </si>
  <si>
    <t>Travel</t>
  </si>
  <si>
    <t>Professional Services Totals</t>
  </si>
  <si>
    <t>Technology - Equipment</t>
  </si>
  <si>
    <t>100-100-1000-734</t>
  </si>
  <si>
    <t>Technology - Student - Elem</t>
  </si>
  <si>
    <t>Amounts paid for technology related costs (capital items in this section) tech supplies that can be expensed based on school's capitalization policy should be included in "Supplies" above.</t>
  </si>
  <si>
    <t>Technology - Student - Secondary</t>
  </si>
  <si>
    <t>100-200-1000-734</t>
  </si>
  <si>
    <t>Technology - Student - Special Education</t>
  </si>
  <si>
    <t>100-000-2400-734</t>
  </si>
  <si>
    <t>Technology - School (General)</t>
  </si>
  <si>
    <t>Technology - Equipment Totals</t>
  </si>
  <si>
    <t>Furniture, Fixtures</t>
  </si>
  <si>
    <t>100-100-1000-733</t>
  </si>
  <si>
    <t>Furniture and Fixtures - Student - Elementary</t>
  </si>
  <si>
    <t>Furniture and fixtures</t>
  </si>
  <si>
    <t>Furniture and Fixtures - Student - Secondary</t>
  </si>
  <si>
    <t>100-200-1000-733</t>
  </si>
  <si>
    <t>Furniture and Fixtures - Student - Special Education</t>
  </si>
  <si>
    <t>100-000-2400-733</t>
  </si>
  <si>
    <t>Furniture and Fixtures - School (general)</t>
  </si>
  <si>
    <t>Furniture, Fixtures Totals</t>
  </si>
  <si>
    <t xml:space="preserve">Other Educational Equipment </t>
  </si>
  <si>
    <t>Equipment - Student - Elementary</t>
  </si>
  <si>
    <t>All other educational equipment, can include music, PE or other equipment as long as it is used for educational (part of a class for a grade) purpose.</t>
  </si>
  <si>
    <t>Equipment - Student - Secondary</t>
  </si>
  <si>
    <t>Equipment - Student - Special Education</t>
  </si>
  <si>
    <t>Equipment - School (general)</t>
  </si>
  <si>
    <t>Other Educational Equipment (Specify) Totals</t>
  </si>
  <si>
    <t>Technology Software</t>
  </si>
  <si>
    <t>Above capitalization threshold</t>
  </si>
  <si>
    <t>100-100-1000-735</t>
  </si>
  <si>
    <t>Amounts above the capitalization threshold paid for cost associated with educational software</t>
  </si>
  <si>
    <t>100-200-1000-735</t>
  </si>
  <si>
    <t>100-000-2400-735</t>
  </si>
  <si>
    <t>Amounts paid above the capitalization threshold for cost associated with software for administration</t>
  </si>
  <si>
    <t>Technology Software Totals</t>
  </si>
  <si>
    <t>Technology Support</t>
  </si>
  <si>
    <t>100-100-2230-350</t>
  </si>
  <si>
    <t>Information Technology Services - Elementary School</t>
  </si>
  <si>
    <t>Amounts paid for all technology activities and services for the purpose of supporting instruction</t>
  </si>
  <si>
    <t>Information Technology Services - Secondary School</t>
  </si>
  <si>
    <t>100-200-2230-350</t>
  </si>
  <si>
    <t>Information Technology Services - Special Education</t>
  </si>
  <si>
    <t>100-000-2230-350</t>
  </si>
  <si>
    <t>Information Technology Services - Administration</t>
  </si>
  <si>
    <t>Technology Support Totals</t>
  </si>
  <si>
    <t>Recruitment Costs</t>
  </si>
  <si>
    <t>100-000-2560-345</t>
  </si>
  <si>
    <t>Recruiting and Community Engagement</t>
  </si>
  <si>
    <t>Amounts paid for cost associated with announcements on social media or in professional publications, newspapers, or broadcasts over radio and television, or cost associated with purchasing materials to recruiting and community engagement</t>
  </si>
  <si>
    <t>Recruitment Costs Totals</t>
  </si>
  <si>
    <t>Facility Costs to Meet Code</t>
  </si>
  <si>
    <t>100-000-4600-450</t>
  </si>
  <si>
    <t xml:space="preserve"> Safety/Code Required Facility Renovation Costs</t>
  </si>
  <si>
    <t>If using CSP funds Under ESEA § 4303(h)(3), grantees may use CSP funds to carry out “necessary renovations to ensure that a new school building complies with applicable statutes and regulations, and minor facilities repairs (excluding construction)," please contact Opportunity 180 for additional guidance.</t>
  </si>
  <si>
    <t>Facility Costs to Meet Code Totals</t>
  </si>
  <si>
    <t>School Bus Acquisition</t>
  </si>
  <si>
    <t>100-000-2650-732</t>
  </si>
  <si>
    <t>School Bus Acquisition Costs</t>
  </si>
  <si>
    <t xml:space="preserve">If using CSP funds Under ESEA § 4303(h)(4) - providing one-time startup costs associated with providing transportation to students to and from the charter school, please contact Opportunity 180 for additional guidance. </t>
  </si>
  <si>
    <t>School Bus Acquisition Totals</t>
  </si>
  <si>
    <t>Blank, complete as needed</t>
  </si>
  <si>
    <t>Totals</t>
  </si>
  <si>
    <t>Grand Total</t>
  </si>
  <si>
    <t>*Please refer to Nevada Department of Education's Chart of Accounts for additional guidance and definitions</t>
  </si>
  <si>
    <t>http://www.doe.nv.gov/uploadedFiles/ndedoenvgov/content/Business_Support_Services/NDEChartofAccounts.xlsx</t>
  </si>
  <si>
    <t>*GL Account</t>
  </si>
  <si>
    <t>*Account Description (modify as necessary)</t>
  </si>
  <si>
    <t>Professional Development:</t>
  </si>
  <si>
    <t>Supplies:</t>
  </si>
  <si>
    <t>Professional Services (specify and allocate to appropriate functions):</t>
  </si>
  <si>
    <t xml:space="preserve">Costs of professionals/consultants/contract services used for startup/expansion/replication work in these operational areas
Examples include but are not limited to: Library/Media Services; Board of Education Services, Fiscal, Purchasing, Security
Specify services and allocate to appropriate functions as designated in the NDE Chart of Accounts http://www.doe.nv.gov/uploadedFiles/ndedoenvgov/content/Business_Support_Services/NDEChartofAccounts.xlsx  </t>
  </si>
  <si>
    <t>Technology (Equipment):</t>
  </si>
  <si>
    <t>Amounts paid for technology related costs (capital items in this section) tech supplies that can be expensed based on school's capitalization policy should be included in the Supplies category above.</t>
  </si>
  <si>
    <t>Furniture, Fixtures:</t>
  </si>
  <si>
    <t>Other Educational Equipment (Specify):</t>
  </si>
  <si>
    <t>Technology Software: (above capitalization threshold)</t>
  </si>
  <si>
    <t>Technology Support:</t>
  </si>
  <si>
    <t>Recruitment Costs:</t>
  </si>
  <si>
    <t>Facility Costs to Meet Code:</t>
  </si>
  <si>
    <t>School Bus Acquisition:</t>
  </si>
  <si>
    <t>CSP REIMBURSEMENT REQUEST</t>
  </si>
  <si>
    <t>School Name:</t>
  </si>
  <si>
    <t>Please fill out all fields:</t>
  </si>
  <si>
    <t>School Contact:</t>
  </si>
  <si>
    <t>greatschoolsfornvcsp@opportunity180.org</t>
  </si>
  <si>
    <t>Email of School CSP Contact:</t>
  </si>
  <si>
    <t>Date Range For the Expenses Below</t>
  </si>
  <si>
    <t xml:space="preserve">Start:  </t>
  </si>
  <si>
    <t>End:</t>
  </si>
  <si>
    <t>Account Description</t>
  </si>
  <si>
    <t>Amount</t>
  </si>
  <si>
    <t>Personnel Salaries and Benefits Totals:</t>
  </si>
  <si>
    <t>Professional Development Totals:</t>
  </si>
  <si>
    <t>Supplies Totals:</t>
  </si>
  <si>
    <t>Professional Services Totals:</t>
  </si>
  <si>
    <t>Technology (Equipment) Totals:</t>
  </si>
  <si>
    <t>Furniture, Fixtures Totals:</t>
  </si>
  <si>
    <t>Other Educational Equipment (Specify) Totals:</t>
  </si>
  <si>
    <t>Technology Software Totals:</t>
  </si>
  <si>
    <t>Technology Support Totals:</t>
  </si>
  <si>
    <t>Recruitment Costs Totals:</t>
  </si>
  <si>
    <t>Facility Costs to Meet Code Totals:</t>
  </si>
  <si>
    <t>School Bus Acquisition Totals:</t>
  </si>
  <si>
    <t>Key</t>
  </si>
  <si>
    <t>= CSP Staff Input Cell</t>
  </si>
  <si>
    <t>= Sub-Grantee Data Input Cell</t>
  </si>
  <si>
    <t>Monthly Expenditure Report</t>
  </si>
  <si>
    <t>Total &gt;</t>
  </si>
  <si>
    <t>GL Code</t>
  </si>
  <si>
    <t>Vendor</t>
  </si>
  <si>
    <t>Expense Description</t>
  </si>
  <si>
    <t>Quantity</t>
  </si>
  <si>
    <t>Invoice Date(s)</t>
  </si>
  <si>
    <t>Invoice Number</t>
  </si>
  <si>
    <t>Payment Date</t>
  </si>
  <si>
    <t>Check Number or Payment ID</t>
  </si>
  <si>
    <t>Payment Amount</t>
  </si>
  <si>
    <t>Total CSP Budget Amount for this Activity</t>
  </si>
  <si>
    <t>*Documentation Description</t>
  </si>
  <si>
    <t>Documentation Uploaded in Basecamp (Y / N)</t>
  </si>
  <si>
    <t>Additional Notes</t>
  </si>
  <si>
    <t xml:space="preserve"> CSP Grant Staff Use - Documentations Matched</t>
  </si>
  <si>
    <t xml:space="preserve">Reimbursement claims for the previous month are due on the 10th (for example claims for August are due September 10th.) If the 10th falls on a weekend, claims are due the Friday before the weekend.  Once submitted the CSP Project Manager and CSP Financial Manager will review materials and follow up with any questions. Once approved CSP staff will draw down funds and make payments to schools when funds withing net 30 days. CSP Management Staff cannot guarantee that workbooks which are submitted after the 10th will be reviewed and reimbursed within the net 30 days. As budget reviews will not occur on a roling basis.                                                                  </t>
  </si>
  <si>
    <t>*Expenditures will NOT be approved unless adequate documentation is submitted. Receipts and invoices must include the date of purchase, the quantity of items purchased, the vendor name, the unit cost, and the total cost. The CSP subgrant is a reimbursement grant. Documentation must indicate that items have been officially purchased or that payment has been made. In the case of personnel time, please provide documentation to show that corresponding budgets have been charged. Please provide contracts, and time and effort reporting were aplicable for staff and salary items. If you are reporting personnel time, please include the number of hours and the rate per hour (if applicable) in the expenditure description column. Please provide a brief description of personnel activities on the Montly Project Update tab.</t>
  </si>
  <si>
    <t>Federal Code of Regulations §200.302 Financial management: (b) The financial management system of each non-Federal entity must provide for the following (see also §§200.333 Retention requirements for records, 200.334 Requests for transfer of records, 200.335 Methods for collection, transmission and storage of information, 200.336 Access to records, and 200.337 Restrictions on public access to records):
(1) Identification, in its accounts, of all Federal awards received and expended and the Federal programs under which they were received. Federal program and Federal award identification must include, as applicable, the CFDA title and number, Federal award identification number and year, name of the Federal agency, and name of the pass-through entity, if any.
(2) Accurate, current, and complete disclosure of the financial results of each Federal award or program in accordance with the reporting requirements set forth in §§200.327 Financial reporting and 200.328 Monitoring and reporting program performance. If a Federal awarding agency requires reporting on an accrual basis from a recipient that maintains its records on other than an accrual basis, the recipient must not be required to establish an accrual accounting system. This recipient may develop accrual data for its reports on the basis of an analysis of the documentation on hand. Similarly, a pass-through entity must not require a subrecipient to establish an accrual accounting system and must allow the subrecipient to develop accrual data for its reports on the basis of an analysis of the documentation on hand.
(3) Records that identify adequately the source and application of funds for federally-funded activities. These records must contain information pertaining to Federal awards, authorizations, obligations, unobligated balances, assets, expenditures, income and interest and be supported by source documentation.
(4) Effective control over, and accountability for, all funds, property, and other assets. The non-Federal entity must adequately safeguard all assets and assure that they are used solely for authorized purposes. See §200.303 Internal controls.
(5) Comparison of expenditures with budget amounts for each Federal award.
(6) Written procedures to implement the requirements of §200.305 Payment.
(7) Written procedures for determining the allowability of costs in accordance with Subpart E—Cost Principles of this part and the terms and conditions of the Federal award.</t>
  </si>
  <si>
    <t>TOTAL SPENT</t>
  </si>
  <si>
    <t>MONTH</t>
  </si>
  <si>
    <t>TOTAL</t>
  </si>
  <si>
    <t>FUNDS REMAINING</t>
  </si>
  <si>
    <t>FUNDS REMAINING Year 1 Planning</t>
  </si>
  <si>
    <t>Great Schools for NV Program</t>
  </si>
  <si>
    <r>
      <t xml:space="preserve">The </t>
    </r>
    <r>
      <rPr>
        <sz val="11"/>
        <color theme="5" tint="-0.249977111117893"/>
        <rFont val="Arial"/>
        <family val="2"/>
      </rPr>
      <t>Monlthy Expense Summary Y1P</t>
    </r>
    <r>
      <rPr>
        <sz val="11"/>
        <color theme="1"/>
        <rFont val="Arial"/>
        <family val="2"/>
      </rPr>
      <t xml:space="preserve">, and </t>
    </r>
    <r>
      <rPr>
        <sz val="11"/>
        <color theme="5" tint="-0.249977111117893"/>
        <rFont val="Arial"/>
        <family val="2"/>
      </rPr>
      <t xml:space="preserve">Detailed Monthly Reimbursement </t>
    </r>
    <r>
      <rPr>
        <sz val="11"/>
        <color theme="1"/>
        <rFont val="Arial"/>
        <family val="2"/>
      </rPr>
      <t xml:space="preserve">tabs are used for monitoring the grant. </t>
    </r>
    <r>
      <rPr>
        <b/>
        <i/>
        <sz val="11"/>
        <color theme="1"/>
        <rFont val="Arial"/>
        <family val="2"/>
      </rPr>
      <t>These tabs are not needed in the application to CSP</t>
    </r>
    <r>
      <rPr>
        <sz val="11"/>
        <color theme="1"/>
        <rFont val="Arial"/>
        <family val="2"/>
      </rPr>
      <t>, they are only needed once the application is awarded.</t>
    </r>
  </si>
  <si>
    <t>Enter planning costs to be expended prior to the end of the fiscal year into column C, the remaining balance of your planning period costs should be entered into column D. Your planning period cannot exceed 18 months.</t>
  </si>
  <si>
    <t>Vegas Vista Academy</t>
  </si>
  <si>
    <t>200 students Yr1; +100 Yr2
- MAP $15/Student/Yr
- iReady $10/Student/Yr
- Infinite Campus $</t>
  </si>
  <si>
    <t>The insurance premium is based on the requirements spelled out under NAC 388A.190. Umbrella liability insurance with a minimum coverage of $3,000,000.  Educators’ legal liability insurance with a minimum coverage of $1,000,000. Employment practices liability insurance with a minimum coverage of $1,000,000. Insurance covering errors and omissions of the sponsor and governing body of the charter school with a minimum coverage of $1,000,000.</t>
  </si>
  <si>
    <t>Estimated medical cost for a family coverage.</t>
  </si>
  <si>
    <t>FICA at 1.45% of salary</t>
  </si>
  <si>
    <t>State Retirement (PERS) at 17.5% of salary</t>
  </si>
  <si>
    <t>Life Insurance at 0.15% of salary</t>
  </si>
  <si>
    <t>Workers' Compensation at $319/employee</t>
  </si>
  <si>
    <t>Unemployment Insurance at $1098/employee</t>
  </si>
  <si>
    <t>This salary reflects 3 months of the Special Ed Teacher during the planning stage of the program.</t>
  </si>
  <si>
    <t>This salary reflects 3 months of the 1xELL/TESOL Teacher, 2xKindergarten Teachers, 2x1st Grade Teachers, 2x2nd Grade Teachers, 2x3rd Grade Teachers, 3xCTE Teachers during the planning stage of the program.</t>
  </si>
  <si>
    <t>This salary reflects 3 months of the 2xTeacher Aide/Assistants during the planning stage of the program.</t>
  </si>
  <si>
    <t>This salary reflects 3 months of the 1xFASA/Health Assistant during the planning stage of the program.</t>
  </si>
  <si>
    <t>Specify: Computer carts</t>
  </si>
  <si>
    <t>200 students Yr1; +100 Yr2
18 FTEs Yr1; +11 Yr2
- Internet setup
- Google Suite for Education ($5/user)</t>
  </si>
  <si>
    <t>This salary reflects 6 months of the Executive Director during the planning stage of the program.</t>
  </si>
  <si>
    <t>This salary reflects 6 months of the Office Mangager the planning stage of the program.</t>
  </si>
  <si>
    <t xml:space="preserve"> Accounting Services (EdTec: $60K Y1) and Legal (Howard &amp; Howard @ $395/hour) for Real Estate inquiries, employment contract templates, employee handbooks, and governance training.</t>
  </si>
  <si>
    <t xml:space="preserve">IB training registration in the summer is estimated at $1,100 per employee, travel at $200 per employee, lodging at $100/day per employee. First year is for the first 18 FTEs and the second year is for the additional 11 employees to prepare for the Fall season.
</t>
  </si>
  <si>
    <t>Travel and lodging for site visits to other high performing charter schools.  Personel includes Executive Director, 5 Board Members, 2 Teachers.  Three schools will be visited which are located in Colorado Springs, CO, Boise, ID, and Brooklyn, NY.  Each visit will be for 2-3 days.  Based on Expedia.com estimates cost for: Colorado Springs, CO is $550/person; Boise, ID is $650/person; and Brooklyn, NY is $650/person.</t>
  </si>
  <si>
    <t>Community Outreach and Engagement Consultant at $25 an hour for 20 hours per week, Starting Aug 1, 2023. Consultant will be experienced in field organizer for human rights, campaign, canvassing, social media, familiarity with the Vegas Latin community, and a bachelors in Communications or Political Science.</t>
  </si>
  <si>
    <t xml:space="preserve">Y1 estimate is based on 18 FTEs 
Y2 estimate is based on 11 additional FTEs 
Teacher's desk and chairs per SchoolOutfitters.com estiamted at $1200/set.
</t>
  </si>
  <si>
    <t xml:space="preserve">Y1 estimate is based on a 4:1 ratio of students to chromebook with 2 spare 
Y2 estimate is based on a 2:1 ratio of students to chromebook
Chroomebook (Lenovo) cost is $200 per Best Buy website.
</t>
  </si>
  <si>
    <t>Y1 estimate is based on 2 Dell laptop bundles for 2 FTEs (Executive Director &amp; Office Manager)
Y2 estimate is based on 1 Dell laptop bundles for 1 additional FTE (Assistant Principal)
Cost of Dell laptop bundle with docking station &amp; monitor is estimated at $1700 per Dell website.</t>
  </si>
  <si>
    <t>Y1 estimate is based on 16 Dell laptop bundles for 16 classroom FTEs; 8 smart whiteboard &amp; 8 HP printers for 8 classrooms.
Y2 estimate is based on 10 Dell laptop bundles for 10 additional classroom FTEs; 4 smart whiteboard &amp; 4 HP printers for 4 additional classrooms.
Cost of Dell laptop bundle with docking station &amp; monitor is estimated at $1700 per Dell website.  Cost of smart whiteboards at $2300 per Amazon.  Cost of HP printer at $250 per Office Depot website.</t>
  </si>
  <si>
    <t>Estimate are based on vendor cost for 
- Bridges in Mathmatics K-3rd in Y1 @ $2200/30 students and 4th-5th in Yr 2 @ $1900/30 students.  Curriculum is in English &amp; Spanish, which aligns with the school’s goal to provide dual-language education. 
- iReady Math &amp; Reading in Y1 at $12,000 for 201-350 students.
- Risas Y Sonrises Spanish Curriculum Package at $1,250/pckg
- Team Building Challenger Kit at $3,000/kit</t>
  </si>
  <si>
    <t>Y1 estimate is based on 8 classrooms 
Y2 estimate is based on 4 additional classroom 
Chromebook charging carts per Amazon that hold between 24-30 chromebooks is estiamted at $500/cart.  Filing cabinets and bookshelves estimated at $362/set from https://www.schooloutfitters.com. PE equipment Cart at $5,300 in Y1 from https://www.schoolspecialty.com. 2 Magnetic dry erase white boards for every classroom at $410/each from https://www.schooloutfitters.com, Overhead Projectors &amp; Document Camera for $1,300 from Amazon.</t>
  </si>
  <si>
    <t>Cost is related to music and art supplies supplies.  $89,728 is related to music supplies  that include wind, stringed, and percussion instruments.  Cost were gathered from Amazon, msteinert.com, usa.yamaha.com, and www.kesslerandsons.com.  $5,435 is related to art supplies gathered from www.schooloutfitters.com.  $5,000 is related to general classroom supplies gathered from www.schoolspecialty.com, www.staples.com &amp; Amazon.</t>
  </si>
  <si>
    <t>Y1 estimate is based on 200 students 
Y2 estimate is based on 100 additional students 
Collaborative desk and chairs per SchoolOutfitters.com estiamted at $300/set.</t>
  </si>
  <si>
    <t>IB consulting services at $500/day for 5 days before the beginning of each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</si>
</sst>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_);[Red]\(&quot;$&quot;#,##0.00\)"/>
    <numFmt numFmtId="44" formatCode="_(&quot;$&quot;* #,##0.00_);_(&quot;$&quot;* \(#,##0.00\);_(&quot;$&quot;* &quot;-&quot;??_);_(@_)"/>
    <numFmt numFmtId="43" formatCode="_(* #,##0.00_);_(* \(#,##0.00\);_(* &quot;-&quot;??_);_(@_)"/>
    <numFmt numFmtId="164" formatCode="&quot;$&quot;#,##0.00"/>
  </numFmts>
  <fonts count="84" x14ac:knownFonts="1">
    <font>
      <sz val="11"/>
      <color theme="1"/>
      <name val="Calibri"/>
      <family val="2"/>
      <scheme val="minor"/>
    </font>
    <font>
      <sz val="12"/>
      <color theme="1"/>
      <name val="Calibri"/>
      <family val="2"/>
      <scheme val="minor"/>
    </font>
    <font>
      <sz val="11"/>
      <color theme="1"/>
      <name val="Arial"/>
      <family val="2"/>
    </font>
    <font>
      <sz val="11"/>
      <color theme="1"/>
      <name val="Arial"/>
      <family val="2"/>
    </font>
    <font>
      <sz val="11"/>
      <color theme="1"/>
      <name val="Calibri"/>
      <family val="2"/>
    </font>
    <font>
      <sz val="11"/>
      <color theme="1"/>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theme="1"/>
      <name val="Calibri"/>
      <family val="2"/>
      <scheme val="min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57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b/>
      <sz val="12"/>
      <color theme="4" tint="-0.499984740745262"/>
      <name val="Calibri"/>
      <family val="2"/>
      <scheme val="minor"/>
    </font>
    <font>
      <sz val="11"/>
      <color theme="9" tint="-0.249977111117893"/>
      <name val="Calibri"/>
      <family val="2"/>
    </font>
    <font>
      <sz val="10"/>
      <color rgb="FFFF0000"/>
      <name val="Arial"/>
      <family val="2"/>
    </font>
    <font>
      <sz val="11"/>
      <color theme="9" tint="-0.249977111117893"/>
      <name val="Calibri"/>
      <family val="2"/>
      <scheme val="minor"/>
    </font>
    <font>
      <sz val="14"/>
      <name val="Times New Roman"/>
      <family val="1"/>
    </font>
    <font>
      <b/>
      <sz val="10"/>
      <name val="Arial"/>
      <family val="2"/>
    </font>
    <font>
      <sz val="14"/>
      <color rgb="FF8E0000"/>
      <name val="Arial"/>
      <family val="2"/>
    </font>
    <font>
      <sz val="14"/>
      <color rgb="FF920A1A"/>
      <name val="Arial"/>
      <family val="2"/>
    </font>
    <font>
      <i/>
      <sz val="20"/>
      <color rgb="FF920A1A"/>
      <name val="Arial"/>
      <family val="2"/>
    </font>
    <font>
      <sz val="11"/>
      <name val="Calibri"/>
      <family val="2"/>
    </font>
    <font>
      <sz val="12"/>
      <color theme="1"/>
      <name val="Arial"/>
      <family val="2"/>
    </font>
    <font>
      <b/>
      <sz val="14"/>
      <name val="Calibri"/>
      <family val="2"/>
      <scheme val="minor"/>
    </font>
    <font>
      <b/>
      <sz val="11"/>
      <color rgb="FFFF0000"/>
      <name val="Calibri"/>
      <family val="2"/>
      <scheme val="minor"/>
    </font>
    <font>
      <u/>
      <sz val="11"/>
      <color theme="1"/>
      <name val="Arial"/>
      <family val="2"/>
    </font>
    <font>
      <sz val="13"/>
      <name val="Times New Roman"/>
      <family val="1"/>
    </font>
    <font>
      <sz val="13"/>
      <color theme="1"/>
      <name val="Times New Roman"/>
      <family val="1"/>
    </font>
    <font>
      <b/>
      <sz val="11"/>
      <color theme="1"/>
      <name val="Arial"/>
      <family val="2"/>
    </font>
    <font>
      <u/>
      <sz val="11"/>
      <color theme="10"/>
      <name val="Calibri"/>
      <family val="2"/>
      <scheme val="minor"/>
    </font>
    <font>
      <u/>
      <sz val="11"/>
      <color theme="10"/>
      <name val="Arial"/>
      <family val="2"/>
    </font>
    <font>
      <u/>
      <sz val="10.5"/>
      <color theme="10"/>
      <name val="Arial"/>
      <family val="2"/>
    </font>
    <font>
      <b/>
      <sz val="11"/>
      <name val="Arial"/>
      <family val="2"/>
    </font>
    <font>
      <sz val="11"/>
      <color rgb="FF920A1A"/>
      <name val="Arial"/>
      <family val="2"/>
    </font>
    <font>
      <sz val="11"/>
      <color rgb="FFD37C07"/>
      <name val="Arial"/>
      <family val="2"/>
    </font>
    <font>
      <b/>
      <sz val="11"/>
      <color rgb="FF920A1A"/>
      <name val="Arial"/>
      <family val="2"/>
    </font>
    <font>
      <b/>
      <sz val="11"/>
      <color theme="9" tint="-0.249977111117893"/>
      <name val="Arial"/>
      <family val="2"/>
    </font>
    <font>
      <b/>
      <sz val="12"/>
      <color theme="1" tint="0.499984740745262"/>
      <name val="Calibri"/>
      <family val="2"/>
      <scheme val="minor"/>
    </font>
    <font>
      <i/>
      <sz val="12"/>
      <name val="Calibri"/>
      <family val="2"/>
      <scheme val="minor"/>
    </font>
    <font>
      <b/>
      <sz val="12"/>
      <color rgb="FFC00000"/>
      <name val="Calibri"/>
      <family val="2"/>
      <scheme val="minor"/>
    </font>
    <font>
      <sz val="12"/>
      <color rgb="FFFFFFFF"/>
      <name val="Calibri"/>
      <family val="2"/>
      <scheme val="minor"/>
    </font>
    <font>
      <b/>
      <sz val="14"/>
      <color theme="1"/>
      <name val="Calibri"/>
      <family val="2"/>
    </font>
    <font>
      <sz val="11"/>
      <color rgb="FF000000"/>
      <name val="Calibri"/>
      <family val="2"/>
    </font>
    <font>
      <b/>
      <i/>
      <sz val="12"/>
      <color theme="4" tint="-0.499984740745262"/>
      <name val="Calibri"/>
      <family val="2"/>
      <scheme val="minor"/>
    </font>
    <font>
      <b/>
      <sz val="11"/>
      <color theme="4" tint="-0.499984740745262"/>
      <name val="Calibri"/>
      <family val="2"/>
      <scheme val="minor"/>
    </font>
    <font>
      <b/>
      <sz val="14"/>
      <color theme="1"/>
      <name val="Calibri"/>
      <family val="2"/>
      <scheme val="minor"/>
    </font>
    <font>
      <b/>
      <sz val="11"/>
      <color theme="4" tint="-0.499984740745262"/>
      <name val="Calibri"/>
      <family val="2"/>
    </font>
    <font>
      <sz val="11"/>
      <color theme="4" tint="-0.499984740745262"/>
      <name val="Calibri"/>
      <family val="2"/>
    </font>
    <font>
      <b/>
      <i/>
      <sz val="11"/>
      <color theme="3"/>
      <name val="Calibri"/>
      <family val="2"/>
    </font>
    <font>
      <b/>
      <i/>
      <sz val="11"/>
      <color theme="4" tint="-0.499984740745262"/>
      <name val="Calibri"/>
      <family val="2"/>
    </font>
    <font>
      <sz val="10"/>
      <color rgb="FF000000"/>
      <name val="Calibri"/>
      <family val="2"/>
    </font>
    <font>
      <b/>
      <sz val="11"/>
      <color rgb="FF000000"/>
      <name val="Calibri"/>
      <family val="2"/>
    </font>
    <font>
      <b/>
      <sz val="14"/>
      <color theme="4" tint="-0.499984740745262"/>
      <name val="Calibri"/>
      <family val="2"/>
      <scheme val="minor"/>
    </font>
    <font>
      <sz val="11"/>
      <color rgb="FF000000"/>
      <name val="Calibri"/>
      <family val="2"/>
      <scheme val="minor"/>
    </font>
    <font>
      <sz val="11"/>
      <color theme="5" tint="-0.249977111117893"/>
      <name val="Arial"/>
      <family val="2"/>
    </font>
    <font>
      <b/>
      <i/>
      <sz val="11"/>
      <color theme="1"/>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rgb="FFFCD9AA"/>
        <bgColor indexed="64"/>
      </patternFill>
    </fill>
    <fill>
      <patternFill patternType="solid">
        <fgColor theme="9" tint="0.79998168889431442"/>
        <bgColor indexed="64"/>
      </patternFill>
    </fill>
    <fill>
      <patternFill patternType="solid">
        <fgColor rgb="FFF2F2F2"/>
        <bgColor indexed="64"/>
      </patternFill>
    </fill>
    <fill>
      <patternFill patternType="solid">
        <fgColor theme="0" tint="-0.249977111117893"/>
        <bgColor indexed="64"/>
      </patternFill>
    </fill>
    <fill>
      <patternFill patternType="solid">
        <fgColor rgb="FFFAC1BD"/>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theme="2"/>
        <bgColor indexed="64"/>
      </patternFill>
    </fill>
    <fill>
      <patternFill patternType="solid">
        <fgColor rgb="FFFAC1BD"/>
        <bgColor rgb="FF688E99"/>
      </patternFill>
    </fill>
    <fill>
      <patternFill patternType="solid">
        <fgColor rgb="FFFAC1BD"/>
        <bgColor rgb="FFEE8B64"/>
      </patternFill>
    </fill>
    <fill>
      <patternFill patternType="solid">
        <fgColor rgb="FFFFFF00"/>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medium">
        <color indexed="64"/>
      </top>
      <bottom style="thin">
        <color indexed="64"/>
      </bottom>
      <diagonal/>
    </border>
    <border>
      <left style="thin">
        <color rgb="FFCCCCCC"/>
      </left>
      <right style="thin">
        <color rgb="FFCCCCCC"/>
      </right>
      <top/>
      <bottom style="thin">
        <color rgb="FF000000"/>
      </bottom>
      <diagonal/>
    </border>
    <border>
      <left/>
      <right/>
      <top/>
      <bottom style="thin">
        <color auto="1"/>
      </bottom>
      <diagonal/>
    </border>
    <border>
      <left style="thin">
        <color indexed="64"/>
      </left>
      <right style="thin">
        <color indexed="64"/>
      </right>
      <top/>
      <bottom/>
      <diagonal/>
    </border>
    <border>
      <left/>
      <right/>
      <top style="thin">
        <color auto="1"/>
      </top>
      <bottom style="double">
        <color auto="1"/>
      </bottom>
      <diagonal/>
    </border>
    <border>
      <left/>
      <right/>
      <top style="thin">
        <color indexed="64"/>
      </top>
      <bottom style="thin">
        <color indexed="64"/>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medium">
        <color indexed="64"/>
      </right>
      <top/>
      <bottom style="medium">
        <color indexed="64"/>
      </bottom>
      <diagonal/>
    </border>
  </borders>
  <cellStyleXfs count="88">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6"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44" fontId="6" fillId="0" borderId="0" applyFont="0" applyFill="0" applyBorder="0" applyAlignment="0" applyProtection="0"/>
    <xf numFmtId="0" fontId="5" fillId="0" borderId="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4" applyNumberFormat="0" applyAlignment="0" applyProtection="0"/>
    <xf numFmtId="0" fontId="32" fillId="6" borderId="5" applyNumberFormat="0" applyAlignment="0" applyProtection="0"/>
    <xf numFmtId="0" fontId="33" fillId="6" borderId="4" applyNumberFormat="0" applyAlignment="0" applyProtection="0"/>
    <xf numFmtId="0" fontId="34" fillId="0" borderId="6" applyNumberFormat="0" applyFill="0" applyAlignment="0" applyProtection="0"/>
    <xf numFmtId="0" fontId="35" fillId="7" borderId="7" applyNumberFormat="0" applyAlignment="0" applyProtection="0"/>
    <xf numFmtId="0" fontId="36" fillId="0" borderId="0" applyNumberFormat="0" applyFill="0" applyBorder="0" applyAlignment="0" applyProtection="0"/>
    <xf numFmtId="0" fontId="5" fillId="8"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3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9"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9"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9"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43" fontId="6" fillId="0" borderId="0" applyFont="0" applyFill="0" applyBorder="0" applyAlignment="0" applyProtection="0"/>
    <xf numFmtId="0" fontId="4" fillId="0" borderId="0"/>
    <xf numFmtId="0" fontId="57" fillId="0" borderId="0" applyNumberFormat="0" applyFill="0" applyBorder="0" applyAlignment="0" applyProtection="0"/>
    <xf numFmtId="0" fontId="70" fillId="0" borderId="0"/>
  </cellStyleXfs>
  <cellXfs count="272">
    <xf numFmtId="0" fontId="0" fillId="0" borderId="0" xfId="0"/>
    <xf numFmtId="0" fontId="23" fillId="0" borderId="10" xfId="0" applyFont="1" applyBorder="1" applyAlignment="1">
      <alignment vertical="top"/>
    </xf>
    <xf numFmtId="0" fontId="23" fillId="0" borderId="10" xfId="0" applyFont="1" applyBorder="1" applyAlignment="1" applyProtection="1">
      <alignment vertical="top" wrapText="1"/>
      <protection locked="0"/>
    </xf>
    <xf numFmtId="0" fontId="40" fillId="0" borderId="13" xfId="0" applyFont="1" applyBorder="1" applyAlignment="1">
      <alignment horizontal="center"/>
    </xf>
    <xf numFmtId="0" fontId="40" fillId="0" borderId="15" xfId="0" applyFont="1" applyBorder="1" applyAlignment="1">
      <alignment horizontal="center"/>
    </xf>
    <xf numFmtId="14" fontId="40" fillId="0" borderId="20" xfId="0" applyNumberFormat="1" applyFont="1" applyBorder="1" applyAlignment="1">
      <alignment horizontal="center"/>
    </xf>
    <xf numFmtId="14" fontId="40" fillId="0" borderId="0" xfId="0" applyNumberFormat="1" applyFont="1" applyAlignment="1">
      <alignment horizontal="center"/>
    </xf>
    <xf numFmtId="0" fontId="24" fillId="0" borderId="0" xfId="0" applyFont="1" applyAlignment="1">
      <alignment horizontal="left" vertical="center"/>
    </xf>
    <xf numFmtId="0" fontId="23" fillId="0" borderId="0" xfId="0" applyFont="1" applyAlignment="1" applyProtection="1">
      <alignment wrapText="1"/>
      <protection locked="0"/>
    </xf>
    <xf numFmtId="0" fontId="0" fillId="0" borderId="0" xfId="0" applyAlignment="1" applyProtection="1">
      <alignment wrapText="1"/>
      <protection locked="0"/>
    </xf>
    <xf numFmtId="0" fontId="24" fillId="0" borderId="0" xfId="43" applyFont="1" applyAlignment="1">
      <alignment horizontal="left" vertical="center"/>
    </xf>
    <xf numFmtId="0" fontId="4" fillId="0" borderId="10" xfId="85" applyBorder="1" applyAlignment="1">
      <alignment horizontal="left" vertical="center"/>
    </xf>
    <xf numFmtId="0" fontId="4" fillId="0" borderId="10" xfId="85" applyBorder="1" applyAlignment="1">
      <alignment vertical="center"/>
    </xf>
    <xf numFmtId="0" fontId="23" fillId="0" borderId="0" xfId="43" applyFont="1"/>
    <xf numFmtId="0" fontId="4" fillId="0" borderId="10" xfId="85" applyBorder="1"/>
    <xf numFmtId="14" fontId="40" fillId="0" borderId="19" xfId="0" applyNumberFormat="1" applyFont="1" applyBorder="1" applyAlignment="1">
      <alignment horizontal="center"/>
    </xf>
    <xf numFmtId="14" fontId="40" fillId="0" borderId="21" xfId="0" applyNumberFormat="1" applyFont="1" applyBorder="1" applyAlignment="1">
      <alignment horizontal="center"/>
    </xf>
    <xf numFmtId="0" fontId="23" fillId="0" borderId="0" xfId="0" applyFont="1"/>
    <xf numFmtId="0" fontId="23" fillId="0" borderId="0" xfId="0" applyFont="1" applyProtection="1">
      <protection locked="0"/>
    </xf>
    <xf numFmtId="14" fontId="40" fillId="0" borderId="22" xfId="0" applyNumberFormat="1" applyFont="1" applyBorder="1" applyAlignment="1">
      <alignment horizontal="center"/>
    </xf>
    <xf numFmtId="0" fontId="40" fillId="0" borderId="18" xfId="0" applyFont="1" applyBorder="1" applyAlignment="1">
      <alignment horizontal="center"/>
    </xf>
    <xf numFmtId="0" fontId="40" fillId="0" borderId="16" xfId="0" applyFont="1" applyBorder="1" applyAlignment="1">
      <alignment horizontal="center"/>
    </xf>
    <xf numFmtId="0" fontId="0" fillId="0" borderId="0" xfId="0" applyProtection="1">
      <protection locked="0"/>
    </xf>
    <xf numFmtId="0" fontId="23" fillId="0" borderId="0" xfId="0" applyFont="1" applyAlignment="1">
      <alignment vertical="top"/>
    </xf>
    <xf numFmtId="0" fontId="23" fillId="0" borderId="10" xfId="0" applyFont="1" applyBorder="1"/>
    <xf numFmtId="43" fontId="0" fillId="0" borderId="0" xfId="84" applyFont="1"/>
    <xf numFmtId="43" fontId="0" fillId="0" borderId="23" xfId="84" applyFont="1" applyBorder="1"/>
    <xf numFmtId="44" fontId="0" fillId="0" borderId="0" xfId="42" applyFont="1" applyAlignment="1" applyProtection="1">
      <protection locked="0"/>
    </xf>
    <xf numFmtId="0" fontId="0" fillId="0" borderId="25" xfId="0" applyBorder="1" applyProtection="1">
      <protection locked="0"/>
    </xf>
    <xf numFmtId="0" fontId="23" fillId="0" borderId="25" xfId="0" applyFont="1" applyBorder="1" applyAlignment="1">
      <alignment vertical="top"/>
    </xf>
    <xf numFmtId="0" fontId="23" fillId="0" borderId="25" xfId="0" applyFont="1" applyBorder="1" applyProtection="1">
      <protection locked="0"/>
    </xf>
    <xf numFmtId="2" fontId="44" fillId="0" borderId="13" xfId="0" applyNumberFormat="1" applyFont="1" applyBorder="1" applyAlignment="1" applyProtection="1">
      <alignment horizontal="center" wrapText="1"/>
      <protection locked="0"/>
    </xf>
    <xf numFmtId="0" fontId="45" fillId="0" borderId="0" xfId="0" applyFont="1" applyAlignment="1">
      <alignment horizontal="center"/>
    </xf>
    <xf numFmtId="0" fontId="46" fillId="0" borderId="0" xfId="0" applyFont="1" applyProtection="1">
      <protection locked="0"/>
    </xf>
    <xf numFmtId="0" fontId="48" fillId="0" borderId="0" xfId="0" applyFont="1"/>
    <xf numFmtId="0" fontId="4" fillId="0" borderId="25" xfId="85" applyBorder="1"/>
    <xf numFmtId="0" fontId="23" fillId="0" borderId="25" xfId="0" applyFont="1" applyBorder="1" applyAlignment="1" applyProtection="1">
      <alignment horizontal="left" vertical="center"/>
      <protection locked="0"/>
    </xf>
    <xf numFmtId="0" fontId="23" fillId="0" borderId="10" xfId="0" applyFont="1" applyBorder="1" applyProtection="1">
      <protection locked="0"/>
    </xf>
    <xf numFmtId="0" fontId="23" fillId="0" borderId="25" xfId="0" applyFont="1" applyBorder="1"/>
    <xf numFmtId="0" fontId="49" fillId="0" borderId="10" xfId="85" applyFont="1" applyBorder="1"/>
    <xf numFmtId="0" fontId="4" fillId="0" borderId="24" xfId="85" applyBorder="1"/>
    <xf numFmtId="0" fontId="24" fillId="34" borderId="25" xfId="43" applyFont="1" applyFill="1" applyBorder="1" applyAlignment="1">
      <alignment horizontal="left" vertical="center"/>
    </xf>
    <xf numFmtId="0" fontId="52" fillId="0" borderId="0" xfId="0" applyFont="1"/>
    <xf numFmtId="0" fontId="3" fillId="0" borderId="0" xfId="0" applyFont="1"/>
    <xf numFmtId="0" fontId="53" fillId="0" borderId="0" xfId="0" applyFont="1"/>
    <xf numFmtId="0" fontId="23" fillId="0" borderId="25" xfId="0" applyFont="1" applyBorder="1" applyAlignment="1" applyProtection="1">
      <alignment vertical="top" wrapText="1"/>
      <protection locked="0"/>
    </xf>
    <xf numFmtId="0" fontId="0" fillId="0" borderId="25" xfId="0" applyBorder="1" applyAlignment="1" applyProtection="1">
      <alignment wrapText="1"/>
      <protection locked="0"/>
    </xf>
    <xf numFmtId="164" fontId="54" fillId="0" borderId="31" xfId="0" applyNumberFormat="1" applyFont="1" applyBorder="1" applyAlignment="1">
      <alignment horizontal="center"/>
    </xf>
    <xf numFmtId="0" fontId="47" fillId="0" borderId="0" xfId="0" applyFont="1"/>
    <xf numFmtId="14" fontId="40" fillId="34" borderId="20" xfId="0" applyNumberFormat="1" applyFont="1" applyFill="1" applyBorder="1" applyAlignment="1">
      <alignment horizontal="left"/>
    </xf>
    <xf numFmtId="14" fontId="40" fillId="35" borderId="20" xfId="0" applyNumberFormat="1" applyFont="1" applyFill="1" applyBorder="1" applyAlignment="1">
      <alignment horizontal="left"/>
    </xf>
    <xf numFmtId="0" fontId="0" fillId="35" borderId="0" xfId="0" applyFill="1" applyProtection="1">
      <protection locked="0"/>
    </xf>
    <xf numFmtId="14" fontId="40" fillId="35" borderId="19" xfId="0" applyNumberFormat="1" applyFont="1" applyFill="1" applyBorder="1" applyAlignment="1">
      <alignment horizontal="center"/>
    </xf>
    <xf numFmtId="0" fontId="0" fillId="34" borderId="0" xfId="0" applyFill="1" applyProtection="1">
      <protection locked="0"/>
    </xf>
    <xf numFmtId="14" fontId="40" fillId="34" borderId="20" xfId="0" applyNumberFormat="1" applyFont="1" applyFill="1" applyBorder="1" applyAlignment="1" applyProtection="1">
      <alignment horizontal="center"/>
      <protection locked="0"/>
    </xf>
    <xf numFmtId="14" fontId="40" fillId="0" borderId="20" xfId="0" applyNumberFormat="1" applyFont="1" applyBorder="1" applyAlignment="1" applyProtection="1">
      <alignment horizontal="center"/>
      <protection locked="0"/>
    </xf>
    <xf numFmtId="0" fontId="54" fillId="0" borderId="26" xfId="0" applyFont="1" applyBorder="1" applyAlignment="1" applyProtection="1">
      <alignment horizontal="center"/>
      <protection locked="0"/>
    </xf>
    <xf numFmtId="0" fontId="47" fillId="0" borderId="0" xfId="0" quotePrefix="1" applyFont="1" applyAlignment="1">
      <alignment horizontal="left"/>
    </xf>
    <xf numFmtId="0" fontId="51" fillId="0" borderId="0" xfId="0" applyFont="1"/>
    <xf numFmtId="44" fontId="38" fillId="0" borderId="0" xfId="42" applyFont="1" applyAlignment="1" applyProtection="1"/>
    <xf numFmtId="44" fontId="24" fillId="0" borderId="0" xfId="42" applyFont="1" applyAlignment="1" applyProtection="1">
      <alignment horizontal="left" vertical="center"/>
    </xf>
    <xf numFmtId="44" fontId="0" fillId="0" borderId="0" xfId="42" applyFont="1" applyAlignment="1" applyProtection="1"/>
    <xf numFmtId="0" fontId="0" fillId="0" borderId="29" xfId="0" applyBorder="1" applyProtection="1">
      <protection locked="0"/>
    </xf>
    <xf numFmtId="0" fontId="4" fillId="0" borderId="11" xfId="85" applyBorder="1"/>
    <xf numFmtId="0" fontId="4" fillId="0" borderId="24" xfId="85" applyBorder="1" applyAlignment="1">
      <alignment horizontal="left" vertical="center"/>
    </xf>
    <xf numFmtId="0" fontId="4" fillId="0" borderId="25" xfId="85" applyBorder="1" applyAlignment="1">
      <alignment horizontal="left" vertical="center"/>
    </xf>
    <xf numFmtId="0" fontId="4" fillId="0" borderId="24" xfId="85" applyBorder="1" applyAlignment="1">
      <alignment vertical="center"/>
    </xf>
    <xf numFmtId="0" fontId="4" fillId="0" borderId="25" xfId="85" applyBorder="1" applyAlignment="1">
      <alignment vertical="center"/>
    </xf>
    <xf numFmtId="0" fontId="41" fillId="0" borderId="10" xfId="85" applyFont="1" applyBorder="1" applyAlignment="1" applyProtection="1">
      <alignment vertical="center"/>
      <protection locked="0"/>
    </xf>
    <xf numFmtId="0" fontId="41" fillId="0" borderId="24" xfId="85" applyFont="1" applyBorder="1" applyAlignment="1" applyProtection="1">
      <alignment vertical="center"/>
      <protection locked="0"/>
    </xf>
    <xf numFmtId="0" fontId="41" fillId="0" borderId="25" xfId="85" applyFont="1" applyBorder="1" applyAlignment="1" applyProtection="1">
      <alignment vertical="center"/>
      <protection locked="0"/>
    </xf>
    <xf numFmtId="164" fontId="45" fillId="0" borderId="0" xfId="0" applyNumberFormat="1" applyFont="1" applyAlignment="1">
      <alignment horizontal="center"/>
    </xf>
    <xf numFmtId="0" fontId="46" fillId="0" borderId="0" xfId="0" applyFont="1"/>
    <xf numFmtId="0" fontId="58" fillId="0" borderId="0" xfId="86" applyFont="1" applyProtection="1"/>
    <xf numFmtId="0" fontId="60" fillId="0" borderId="0" xfId="0" applyFont="1" applyAlignment="1">
      <alignment horizontal="center"/>
    </xf>
    <xf numFmtId="0" fontId="40" fillId="0" borderId="14" xfId="0" applyFont="1" applyBorder="1" applyAlignment="1">
      <alignment horizontal="center"/>
    </xf>
    <xf numFmtId="0" fontId="38" fillId="0" borderId="0" xfId="85" applyFont="1"/>
    <xf numFmtId="0" fontId="24" fillId="0" borderId="0" xfId="43" applyFont="1"/>
    <xf numFmtId="0" fontId="65" fillId="34" borderId="25" xfId="43" applyFont="1" applyFill="1" applyBorder="1" applyAlignment="1" applyProtection="1">
      <alignment horizontal="left" vertical="center"/>
      <protection locked="0"/>
    </xf>
    <xf numFmtId="0" fontId="4" fillId="34" borderId="24" xfId="85" applyFill="1" applyBorder="1" applyAlignment="1">
      <alignment vertical="center"/>
    </xf>
    <xf numFmtId="0" fontId="0" fillId="34" borderId="24" xfId="0" applyFill="1" applyBorder="1" applyProtection="1">
      <protection locked="0"/>
    </xf>
    <xf numFmtId="0" fontId="4" fillId="34" borderId="24" xfId="85" applyFill="1" applyBorder="1"/>
    <xf numFmtId="44" fontId="0" fillId="0" borderId="10" xfId="0" applyNumberFormat="1" applyBorder="1"/>
    <xf numFmtId="0" fontId="4" fillId="0" borderId="0" xfId="85"/>
    <xf numFmtId="0" fontId="0" fillId="0" borderId="0" xfId="43" applyFont="1"/>
    <xf numFmtId="0" fontId="66" fillId="0" borderId="0" xfId="43" applyFont="1" applyAlignment="1">
      <alignment horizontal="left" vertical="center"/>
    </xf>
    <xf numFmtId="0" fontId="4" fillId="34" borderId="11" xfId="85" applyFill="1" applyBorder="1"/>
    <xf numFmtId="0" fontId="42" fillId="33" borderId="27" xfId="0" applyFont="1" applyFill="1" applyBorder="1"/>
    <xf numFmtId="0" fontId="4" fillId="34" borderId="10" xfId="85" applyFill="1" applyBorder="1"/>
    <xf numFmtId="0" fontId="4" fillId="0" borderId="12" xfId="85" applyBorder="1"/>
    <xf numFmtId="0" fontId="4" fillId="34" borderId="24" xfId="85" applyFill="1" applyBorder="1" applyAlignment="1">
      <alignment horizontal="left" vertical="center"/>
    </xf>
    <xf numFmtId="0" fontId="55" fillId="0" borderId="0" xfId="0" applyFont="1"/>
    <xf numFmtId="0" fontId="50" fillId="0" borderId="0" xfId="0" applyFont="1"/>
    <xf numFmtId="0" fontId="50" fillId="0" borderId="28" xfId="0" applyFont="1" applyBorder="1" applyAlignment="1">
      <alignment horizontal="right"/>
    </xf>
    <xf numFmtId="44" fontId="50" fillId="0" borderId="0" xfId="0" applyNumberFormat="1" applyFont="1"/>
    <xf numFmtId="0" fontId="50" fillId="0" borderId="0" xfId="43" applyFont="1" applyAlignment="1">
      <alignment horizontal="left" vertical="center"/>
    </xf>
    <xf numFmtId="0" fontId="50" fillId="0" borderId="0" xfId="43" applyFont="1"/>
    <xf numFmtId="44" fontId="50" fillId="0" borderId="30" xfId="0" applyNumberFormat="1" applyFont="1" applyBorder="1"/>
    <xf numFmtId="0" fontId="43" fillId="0" borderId="0" xfId="43" applyFont="1" applyProtection="1">
      <protection locked="0"/>
    </xf>
    <xf numFmtId="0" fontId="65" fillId="0" borderId="0" xfId="43" applyFont="1" applyProtection="1">
      <protection locked="0"/>
    </xf>
    <xf numFmtId="0" fontId="23" fillId="0" borderId="10" xfId="0" applyFont="1" applyBorder="1" applyAlignment="1">
      <alignment horizontal="left" vertical="center"/>
    </xf>
    <xf numFmtId="0" fontId="23" fillId="0" borderId="10" xfId="0" applyFont="1" applyBorder="1" applyAlignment="1" applyProtection="1">
      <alignment horizontal="left" vertical="center" wrapText="1"/>
      <protection locked="0"/>
    </xf>
    <xf numFmtId="0" fontId="23" fillId="0" borderId="25" xfId="0" applyFont="1" applyBorder="1" applyAlignment="1">
      <alignment horizontal="left" vertical="center"/>
    </xf>
    <xf numFmtId="0" fontId="23" fillId="0" borderId="25" xfId="0" applyFont="1" applyBorder="1" applyAlignment="1">
      <alignment horizontal="left" vertical="center" wrapText="1"/>
    </xf>
    <xf numFmtId="0" fontId="2" fillId="0" borderId="0" xfId="0" applyFont="1"/>
    <xf numFmtId="0" fontId="2" fillId="0" borderId="0" xfId="0" applyFont="1" applyAlignment="1">
      <alignment horizontal="left" vertical="center" wrapText="1"/>
    </xf>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horizontal="left" vertical="center"/>
    </xf>
    <xf numFmtId="0" fontId="2" fillId="0" borderId="0" xfId="0" applyFont="1" applyAlignment="1">
      <alignment horizontal="left" vertical="center" indent="5"/>
    </xf>
    <xf numFmtId="0" fontId="2" fillId="0" borderId="0" xfId="0" applyFont="1" applyAlignment="1">
      <alignment vertical="center"/>
    </xf>
    <xf numFmtId="0" fontId="2" fillId="0" borderId="0" xfId="0" applyFont="1" applyAlignment="1">
      <alignment horizontal="left" vertical="center" indent="2"/>
    </xf>
    <xf numFmtId="44" fontId="4" fillId="0" borderId="10" xfId="42" applyFont="1" applyBorder="1" applyAlignment="1" applyProtection="1">
      <protection locked="0"/>
    </xf>
    <xf numFmtId="44" fontId="4" fillId="0" borderId="10" xfId="42" applyFont="1" applyBorder="1" applyAlignment="1" applyProtection="1"/>
    <xf numFmtId="44" fontId="4" fillId="0" borderId="25" xfId="42" applyFont="1" applyBorder="1" applyAlignment="1" applyProtection="1">
      <protection locked="0"/>
    </xf>
    <xf numFmtId="44" fontId="4" fillId="34" borderId="25" xfId="42" applyFont="1" applyFill="1" applyBorder="1" applyAlignment="1"/>
    <xf numFmtId="44" fontId="4" fillId="34" borderId="25" xfId="42" applyFont="1" applyFill="1" applyBorder="1" applyAlignment="1" applyProtection="1"/>
    <xf numFmtId="44" fontId="4" fillId="0" borderId="0" xfId="42" applyFont="1" applyBorder="1" applyAlignment="1" applyProtection="1"/>
    <xf numFmtId="0" fontId="0" fillId="37" borderId="0" xfId="0" applyFill="1"/>
    <xf numFmtId="0" fontId="0" fillId="37" borderId="0" xfId="43" applyFont="1" applyFill="1" applyProtection="1">
      <protection locked="0"/>
    </xf>
    <xf numFmtId="0" fontId="57" fillId="0" borderId="0" xfId="86"/>
    <xf numFmtId="0" fontId="67" fillId="0" borderId="0" xfId="43" applyFont="1" applyAlignment="1">
      <alignment horizontal="right" vertical="center" wrapText="1"/>
    </xf>
    <xf numFmtId="14" fontId="40" fillId="0" borderId="0" xfId="43" applyNumberFormat="1" applyFont="1" applyAlignment="1">
      <alignment horizontal="center" wrapText="1"/>
    </xf>
    <xf numFmtId="0" fontId="68" fillId="0" borderId="0" xfId="43" applyFont="1" applyProtection="1">
      <protection locked="0"/>
    </xf>
    <xf numFmtId="0" fontId="40" fillId="0" borderId="0" xfId="43" applyFont="1" applyAlignment="1">
      <alignment vertical="center" wrapText="1"/>
    </xf>
    <xf numFmtId="14" fontId="67" fillId="0" borderId="32" xfId="43" applyNumberFormat="1" applyFont="1" applyBorder="1" applyAlignment="1">
      <alignment horizontal="center"/>
    </xf>
    <xf numFmtId="0" fontId="1" fillId="0" borderId="0" xfId="43" applyFont="1" applyProtection="1">
      <protection locked="0"/>
    </xf>
    <xf numFmtId="14" fontId="40" fillId="0" borderId="33" xfId="43" applyNumberFormat="1" applyFont="1" applyBorder="1" applyAlignment="1">
      <alignment horizontal="center"/>
    </xf>
    <xf numFmtId="0" fontId="40" fillId="0" borderId="34" xfId="43" applyFont="1" applyBorder="1" applyAlignment="1">
      <alignment horizontal="center"/>
    </xf>
    <xf numFmtId="0" fontId="40" fillId="0" borderId="13" xfId="43" applyFont="1" applyBorder="1" applyAlignment="1">
      <alignment horizontal="center" wrapText="1"/>
    </xf>
    <xf numFmtId="0" fontId="69" fillId="0" borderId="25" xfId="85" applyFont="1" applyBorder="1"/>
    <xf numFmtId="164" fontId="69" fillId="0" borderId="25" xfId="85" applyNumberFormat="1" applyFont="1" applyBorder="1" applyProtection="1">
      <protection locked="0"/>
    </xf>
    <xf numFmtId="0" fontId="5" fillId="0" borderId="0" xfId="43" applyProtection="1">
      <protection locked="0"/>
    </xf>
    <xf numFmtId="0" fontId="40" fillId="38" borderId="10" xfId="43" applyFont="1" applyFill="1" applyBorder="1" applyAlignment="1">
      <alignment horizontal="center"/>
    </xf>
    <xf numFmtId="0" fontId="40" fillId="38" borderId="10" xfId="43" applyFont="1" applyFill="1" applyBorder="1" applyAlignment="1">
      <alignment horizontal="center" wrapText="1"/>
    </xf>
    <xf numFmtId="0" fontId="1" fillId="0" borderId="10" xfId="43" applyFont="1" applyBorder="1"/>
    <xf numFmtId="0" fontId="24" fillId="0" borderId="10" xfId="43" applyFont="1" applyBorder="1" applyAlignment="1">
      <alignment horizontal="left" vertical="center"/>
    </xf>
    <xf numFmtId="164" fontId="24" fillId="39" borderId="10" xfId="43" applyNumberFormat="1" applyFont="1" applyFill="1" applyBorder="1" applyAlignment="1">
      <alignment horizontal="left" vertical="center" wrapText="1"/>
    </xf>
    <xf numFmtId="164" fontId="4" fillId="0" borderId="10" xfId="42" applyNumberFormat="1" applyFont="1" applyBorder="1" applyProtection="1">
      <protection locked="0"/>
    </xf>
    <xf numFmtId="164" fontId="4" fillId="0" borderId="10" xfId="42" applyNumberFormat="1" applyFont="1" applyFill="1" applyBorder="1" applyProtection="1">
      <protection locked="0"/>
    </xf>
    <xf numFmtId="164" fontId="24" fillId="0" borderId="10" xfId="42" applyNumberFormat="1" applyFont="1" applyFill="1" applyBorder="1" applyAlignment="1">
      <alignment horizontal="left" vertical="center" wrapText="1"/>
    </xf>
    <xf numFmtId="164" fontId="0" fillId="0" borderId="10" xfId="0" applyNumberFormat="1" applyBorder="1"/>
    <xf numFmtId="0" fontId="38" fillId="40" borderId="10" xfId="85" applyFont="1" applyFill="1" applyBorder="1"/>
    <xf numFmtId="0" fontId="24" fillId="40" borderId="10" xfId="43" applyFont="1" applyFill="1" applyBorder="1" applyAlignment="1">
      <alignment horizontal="left" vertical="center"/>
    </xf>
    <xf numFmtId="164" fontId="24" fillId="40" borderId="10" xfId="0" applyNumberFormat="1" applyFont="1" applyFill="1" applyBorder="1"/>
    <xf numFmtId="0" fontId="38" fillId="0" borderId="10" xfId="85" applyFont="1" applyBorder="1"/>
    <xf numFmtId="0" fontId="0" fillId="0" borderId="10" xfId="43" applyFont="1" applyBorder="1"/>
    <xf numFmtId="0" fontId="42" fillId="33" borderId="10" xfId="0" applyFont="1" applyFill="1" applyBorder="1"/>
    <xf numFmtId="0" fontId="38" fillId="40" borderId="10" xfId="85" applyFont="1" applyFill="1" applyBorder="1" applyAlignment="1">
      <alignment horizontal="left" vertical="center"/>
    </xf>
    <xf numFmtId="0" fontId="38" fillId="40" borderId="10" xfId="85" applyFont="1" applyFill="1" applyBorder="1" applyAlignment="1">
      <alignment vertical="center"/>
    </xf>
    <xf numFmtId="0" fontId="24" fillId="0" borderId="10" xfId="43" applyFont="1" applyBorder="1"/>
    <xf numFmtId="0" fontId="70" fillId="41" borderId="0" xfId="87" applyFill="1"/>
    <xf numFmtId="0" fontId="70" fillId="41" borderId="0" xfId="87" applyFill="1" applyAlignment="1">
      <alignment wrapText="1"/>
    </xf>
    <xf numFmtId="0" fontId="71" fillId="35" borderId="35" xfId="87" applyFont="1" applyFill="1" applyBorder="1" applyAlignment="1">
      <alignment horizontal="center" vertical="center"/>
    </xf>
    <xf numFmtId="0" fontId="73" fillId="42" borderId="34" xfId="87" applyFont="1" applyFill="1" applyBorder="1" applyAlignment="1">
      <alignment horizontal="center"/>
    </xf>
    <xf numFmtId="0" fontId="74" fillId="43" borderId="15" xfId="87" applyFont="1" applyFill="1" applyBorder="1" applyAlignment="1">
      <alignment vertical="top"/>
    </xf>
    <xf numFmtId="0" fontId="75" fillId="38" borderId="18" xfId="87" applyFont="1" applyFill="1" applyBorder="1"/>
    <xf numFmtId="0" fontId="70" fillId="38" borderId="18" xfId="87" applyFill="1" applyBorder="1" applyAlignment="1">
      <alignment horizontal="left" vertical="top"/>
    </xf>
    <xf numFmtId="0" fontId="70" fillId="38" borderId="18" xfId="87" applyFill="1" applyBorder="1" applyAlignment="1">
      <alignment horizontal="left" vertical="top" wrapText="1"/>
    </xf>
    <xf numFmtId="0" fontId="70" fillId="38" borderId="16" xfId="87" applyFill="1" applyBorder="1"/>
    <xf numFmtId="0" fontId="70" fillId="41" borderId="39" xfId="87" applyFill="1" applyBorder="1"/>
    <xf numFmtId="0" fontId="70" fillId="41" borderId="40" xfId="87" applyFill="1" applyBorder="1"/>
    <xf numFmtId="0" fontId="76" fillId="41" borderId="0" xfId="87" applyFont="1" applyFill="1" applyAlignment="1">
      <alignment horizontal="right"/>
    </xf>
    <xf numFmtId="44" fontId="27" fillId="41" borderId="40" xfId="87" applyNumberFormat="1" applyFont="1" applyFill="1" applyBorder="1"/>
    <xf numFmtId="0" fontId="70" fillId="41" borderId="40" xfId="87" applyFill="1" applyBorder="1" applyAlignment="1">
      <alignment wrapText="1"/>
    </xf>
    <xf numFmtId="0" fontId="70" fillId="41" borderId="41" xfId="87" applyFill="1" applyBorder="1"/>
    <xf numFmtId="0" fontId="74" fillId="44" borderId="42" xfId="87" applyFont="1" applyFill="1" applyBorder="1" applyAlignment="1">
      <alignment horizontal="center" vertical="center" wrapText="1"/>
    </xf>
    <xf numFmtId="0" fontId="74" fillId="44" borderId="43" xfId="87" applyFont="1" applyFill="1" applyBorder="1" applyAlignment="1">
      <alignment horizontal="center" vertical="center" wrapText="1"/>
    </xf>
    <xf numFmtId="0" fontId="74" fillId="44" borderId="44" xfId="87" applyFont="1" applyFill="1" applyBorder="1" applyAlignment="1">
      <alignment horizontal="center" vertical="center" wrapText="1"/>
    </xf>
    <xf numFmtId="0" fontId="77" fillId="44" borderId="45" xfId="87" applyFont="1" applyFill="1" applyBorder="1" applyAlignment="1">
      <alignment horizontal="center" vertical="center" wrapText="1"/>
    </xf>
    <xf numFmtId="0" fontId="70" fillId="42" borderId="42" xfId="87" applyFill="1" applyBorder="1"/>
    <xf numFmtId="0" fontId="70" fillId="42" borderId="43" xfId="87" applyFill="1" applyBorder="1"/>
    <xf numFmtId="0" fontId="70" fillId="42" borderId="43" xfId="87" applyFill="1" applyBorder="1" applyAlignment="1">
      <alignment horizontal="left"/>
    </xf>
    <xf numFmtId="14" fontId="70" fillId="42" borderId="43" xfId="87" applyNumberFormat="1" applyFill="1" applyBorder="1"/>
    <xf numFmtId="0" fontId="49" fillId="42" borderId="43" xfId="87" applyFont="1" applyFill="1" applyBorder="1"/>
    <xf numFmtId="44" fontId="70" fillId="42" borderId="43" xfId="87" applyNumberFormat="1" applyFill="1" applyBorder="1"/>
    <xf numFmtId="44" fontId="70" fillId="42" borderId="43" xfId="87" applyNumberFormat="1" applyFill="1" applyBorder="1" applyAlignment="1">
      <alignment horizontal="center" vertical="center" wrapText="1"/>
    </xf>
    <xf numFmtId="0" fontId="4" fillId="42" borderId="43" xfId="87" applyFont="1" applyFill="1" applyBorder="1" applyAlignment="1">
      <alignment horizontal="left" wrapText="1"/>
    </xf>
    <xf numFmtId="0" fontId="4" fillId="42" borderId="43" xfId="87" applyFont="1" applyFill="1" applyBorder="1" applyAlignment="1">
      <alignment horizontal="left"/>
    </xf>
    <xf numFmtId="0" fontId="4" fillId="35" borderId="45" xfId="87" applyFont="1" applyFill="1" applyBorder="1" applyAlignment="1">
      <alignment horizontal="left"/>
    </xf>
    <xf numFmtId="0" fontId="49" fillId="42" borderId="0" xfId="87" applyFont="1" applyFill="1"/>
    <xf numFmtId="164" fontId="70" fillId="42" borderId="43" xfId="87" applyNumberFormat="1" applyFill="1" applyBorder="1"/>
    <xf numFmtId="0" fontId="49" fillId="42" borderId="46" xfId="87" applyFont="1" applyFill="1" applyBorder="1"/>
    <xf numFmtId="8" fontId="78" fillId="42" borderId="43" xfId="87" applyNumberFormat="1" applyFont="1" applyFill="1" applyBorder="1" applyAlignment="1">
      <alignment horizontal="right" wrapText="1"/>
    </xf>
    <xf numFmtId="0" fontId="70" fillId="42" borderId="47" xfId="87" applyFill="1" applyBorder="1"/>
    <xf numFmtId="14" fontId="70" fillId="42" borderId="47" xfId="87" applyNumberFormat="1" applyFill="1" applyBorder="1"/>
    <xf numFmtId="8" fontId="70" fillId="42" borderId="47" xfId="87" applyNumberFormat="1" applyFill="1" applyBorder="1" applyAlignment="1">
      <alignment horizontal="right" wrapText="1"/>
    </xf>
    <xf numFmtId="44" fontId="70" fillId="42" borderId="47" xfId="87" applyNumberFormat="1" applyFill="1" applyBorder="1"/>
    <xf numFmtId="0" fontId="70" fillId="42" borderId="48" xfId="87" applyFill="1" applyBorder="1"/>
    <xf numFmtId="0" fontId="70" fillId="42" borderId="49" xfId="87" applyFill="1" applyBorder="1"/>
    <xf numFmtId="0" fontId="79" fillId="42" borderId="49" xfId="87" applyFont="1" applyFill="1" applyBorder="1"/>
    <xf numFmtId="44" fontId="79" fillId="42" borderId="49" xfId="87" applyNumberFormat="1" applyFont="1" applyFill="1" applyBorder="1"/>
    <xf numFmtId="0" fontId="4" fillId="42" borderId="49" xfId="87" applyFont="1" applyFill="1" applyBorder="1" applyAlignment="1">
      <alignment horizontal="left"/>
    </xf>
    <xf numFmtId="0" fontId="70" fillId="35" borderId="50" xfId="87" applyFill="1" applyBorder="1"/>
    <xf numFmtId="0" fontId="70" fillId="41" borderId="15" xfId="87" applyFill="1" applyBorder="1"/>
    <xf numFmtId="0" fontId="70" fillId="41" borderId="18" xfId="87" applyFill="1" applyBorder="1"/>
    <xf numFmtId="0" fontId="79" fillId="41" borderId="18" xfId="87" applyFont="1" applyFill="1" applyBorder="1"/>
    <xf numFmtId="44" fontId="79" fillId="41" borderId="18" xfId="87" applyNumberFormat="1" applyFont="1" applyFill="1" applyBorder="1"/>
    <xf numFmtId="0" fontId="70" fillId="41" borderId="18" xfId="87" applyFill="1" applyBorder="1" applyAlignment="1">
      <alignment wrapText="1"/>
    </xf>
    <xf numFmtId="0" fontId="4" fillId="41" borderId="18" xfId="87" applyFont="1" applyFill="1" applyBorder="1" applyAlignment="1">
      <alignment horizontal="left"/>
    </xf>
    <xf numFmtId="0" fontId="70" fillId="41" borderId="16" xfId="87" applyFill="1" applyBorder="1"/>
    <xf numFmtId="0" fontId="49" fillId="41" borderId="0" xfId="87" applyFont="1" applyFill="1"/>
    <xf numFmtId="0" fontId="70" fillId="41" borderId="17" xfId="87" applyFill="1" applyBorder="1"/>
    <xf numFmtId="0" fontId="70" fillId="41" borderId="20" xfId="87" applyFill="1" applyBorder="1"/>
    <xf numFmtId="0" fontId="79" fillId="41" borderId="13" xfId="87" applyFont="1" applyFill="1" applyBorder="1" applyAlignment="1">
      <alignment vertical="top" wrapText="1"/>
    </xf>
    <xf numFmtId="0" fontId="70" fillId="41" borderId="51" xfId="87" applyFill="1" applyBorder="1"/>
    <xf numFmtId="0" fontId="24" fillId="36" borderId="0" xfId="0" applyFont="1" applyFill="1" applyAlignment="1">
      <alignment wrapText="1"/>
    </xf>
    <xf numFmtId="0" fontId="40" fillId="0" borderId="0" xfId="43" applyFont="1" applyAlignment="1">
      <alignment horizontal="center" wrapText="1"/>
    </xf>
    <xf numFmtId="0" fontId="80" fillId="0" borderId="10" xfId="43" applyFont="1" applyBorder="1" applyAlignment="1">
      <alignment horizontal="center" wrapText="1"/>
    </xf>
    <xf numFmtId="0" fontId="69" fillId="0" borderId="10" xfId="85" applyFont="1" applyBorder="1" applyAlignment="1">
      <alignment horizontal="center"/>
    </xf>
    <xf numFmtId="164" fontId="4" fillId="0" borderId="10" xfId="85" applyNumberFormat="1" applyBorder="1"/>
    <xf numFmtId="164" fontId="81" fillId="0" borderId="10" xfId="0" applyNumberFormat="1" applyFont="1" applyBorder="1"/>
    <xf numFmtId="164" fontId="24" fillId="40" borderId="10" xfId="43" applyNumberFormat="1" applyFont="1" applyFill="1" applyBorder="1" applyAlignment="1">
      <alignment horizontal="left" vertical="center"/>
    </xf>
    <xf numFmtId="164" fontId="24" fillId="40" borderId="10" xfId="0" applyNumberFormat="1" applyFont="1" applyFill="1" applyBorder="1" applyAlignment="1">
      <alignment horizontal="left"/>
    </xf>
    <xf numFmtId="44" fontId="4" fillId="0" borderId="10" xfId="85" applyNumberFormat="1" applyBorder="1"/>
    <xf numFmtId="44" fontId="24" fillId="40" borderId="10" xfId="43" applyNumberFormat="1" applyFont="1" applyFill="1" applyBorder="1" applyAlignment="1">
      <alignment horizontal="left" vertical="center"/>
    </xf>
    <xf numFmtId="44" fontId="24" fillId="40" borderId="10" xfId="42" applyFont="1" applyFill="1" applyBorder="1" applyAlignment="1">
      <alignment horizontal="left" vertical="center"/>
    </xf>
    <xf numFmtId="0" fontId="69" fillId="0" borderId="10" xfId="85" applyFont="1" applyBorder="1" applyAlignment="1">
      <alignment horizontal="center" wrapText="1"/>
    </xf>
    <xf numFmtId="44" fontId="4" fillId="0" borderId="10" xfId="85" applyNumberFormat="1" applyBorder="1" applyAlignment="1">
      <alignment horizontal="left" vertical="center"/>
    </xf>
    <xf numFmtId="44" fontId="4" fillId="0" borderId="10" xfId="85" applyNumberFormat="1" applyBorder="1" applyAlignment="1">
      <alignment vertical="center"/>
    </xf>
    <xf numFmtId="43" fontId="40" fillId="0" borderId="0" xfId="84" applyFont="1" applyAlignment="1">
      <alignment horizontal="center"/>
    </xf>
    <xf numFmtId="44" fontId="4" fillId="0" borderId="10" xfId="42" applyFont="1" applyFill="1" applyBorder="1" applyAlignment="1" applyProtection="1">
      <protection locked="0"/>
    </xf>
    <xf numFmtId="44" fontId="4" fillId="0" borderId="10" xfId="42" applyFont="1" applyFill="1" applyBorder="1" applyAlignment="1" applyProtection="1"/>
    <xf numFmtId="0" fontId="54" fillId="0" borderId="28" xfId="0" applyFont="1" applyBorder="1" applyAlignment="1">
      <alignment horizontal="left"/>
    </xf>
    <xf numFmtId="164" fontId="54" fillId="0" borderId="28" xfId="0" applyNumberFormat="1" applyFont="1" applyBorder="1" applyAlignment="1">
      <alignment horizontal="left"/>
    </xf>
    <xf numFmtId="0" fontId="2" fillId="0" borderId="0" xfId="0" applyFont="1" applyAlignment="1">
      <alignment horizontal="left" vertical="center" wrapText="1"/>
    </xf>
    <xf numFmtId="0" fontId="2" fillId="0" borderId="0" xfId="0" applyFont="1" applyAlignment="1">
      <alignment horizontal="left" wrapText="1"/>
    </xf>
    <xf numFmtId="0" fontId="2" fillId="45" borderId="0" xfId="0" applyFont="1" applyFill="1" applyAlignment="1">
      <alignment horizontal="left" vertical="center" wrapText="1"/>
    </xf>
    <xf numFmtId="0" fontId="58" fillId="0" borderId="0" xfId="86"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wrapText="1"/>
    </xf>
    <xf numFmtId="0" fontId="59" fillId="0" borderId="0" xfId="86" applyFont="1" applyAlignment="1">
      <alignment horizontal="left" vertical="center"/>
    </xf>
    <xf numFmtId="0" fontId="2" fillId="0" borderId="0" xfId="0" applyFont="1" applyAlignment="1">
      <alignment horizontal="left" vertical="center"/>
    </xf>
    <xf numFmtId="0" fontId="40" fillId="0" borderId="0" xfId="0" applyFont="1" applyAlignment="1">
      <alignment horizontal="left" vertical="center" wrapText="1"/>
    </xf>
    <xf numFmtId="0" fontId="40" fillId="0" borderId="17" xfId="0" applyFont="1" applyBorder="1" applyAlignment="1">
      <alignment horizontal="left" vertical="center" wrapText="1"/>
    </xf>
    <xf numFmtId="0" fontId="23" fillId="0" borderId="10" xfId="0" applyFont="1" applyBorder="1" applyAlignment="1">
      <alignment horizontal="left" vertical="center" wrapText="1"/>
    </xf>
    <xf numFmtId="0" fontId="23" fillId="0" borderId="10" xfId="0" applyFont="1" applyBorder="1" applyAlignment="1">
      <alignment horizontal="left" vertical="center"/>
    </xf>
    <xf numFmtId="0" fontId="23" fillId="0" borderId="10" xfId="0" applyFont="1" applyBorder="1" applyAlignment="1" applyProtection="1">
      <alignment horizontal="left" vertical="center" wrapText="1"/>
      <protection locked="0"/>
    </xf>
    <xf numFmtId="0" fontId="23" fillId="0" borderId="12" xfId="0" applyFont="1" applyBorder="1" applyAlignment="1">
      <alignment horizontal="left" vertical="center"/>
    </xf>
    <xf numFmtId="0" fontId="23" fillId="0" borderId="29" xfId="0" applyFont="1" applyBorder="1" applyAlignment="1">
      <alignment horizontal="left" vertical="center"/>
    </xf>
    <xf numFmtId="0" fontId="23" fillId="0" borderId="25" xfId="0" applyFont="1" applyBorder="1" applyAlignment="1">
      <alignment horizontal="left" vertical="center"/>
    </xf>
    <xf numFmtId="0" fontId="23" fillId="0" borderId="12" xfId="0" applyFont="1" applyBorder="1" applyAlignment="1">
      <alignment horizontal="left" vertical="center" wrapText="1"/>
    </xf>
    <xf numFmtId="0" fontId="23" fillId="0" borderId="29" xfId="0" applyFont="1" applyBorder="1" applyAlignment="1">
      <alignment horizontal="left" vertical="center" wrapText="1"/>
    </xf>
    <xf numFmtId="0" fontId="23" fillId="0" borderId="25" xfId="0" applyFont="1" applyBorder="1" applyAlignment="1">
      <alignment horizontal="left" vertical="center" wrapText="1"/>
    </xf>
    <xf numFmtId="0" fontId="23" fillId="0" borderId="10" xfId="0" applyFont="1" applyBorder="1" applyAlignment="1" applyProtection="1">
      <alignment horizontal="left" vertical="center"/>
      <protection locked="0"/>
    </xf>
    <xf numFmtId="0" fontId="67" fillId="0" borderId="0" xfId="43" applyFont="1" applyAlignment="1">
      <alignment horizontal="right" vertical="center" wrapText="1"/>
    </xf>
    <xf numFmtId="0" fontId="75" fillId="41" borderId="15" xfId="87" applyFont="1" applyFill="1" applyBorder="1" applyAlignment="1">
      <alignment horizontal="left" vertical="top" wrapText="1"/>
    </xf>
    <xf numFmtId="0" fontId="75" fillId="41" borderId="18" xfId="87" applyFont="1" applyFill="1" applyBorder="1" applyAlignment="1">
      <alignment horizontal="left" vertical="top" wrapText="1"/>
    </xf>
    <xf numFmtId="0" fontId="75" fillId="41" borderId="16" xfId="87" applyFont="1" applyFill="1" applyBorder="1" applyAlignment="1">
      <alignment horizontal="left" vertical="top" wrapText="1"/>
    </xf>
    <xf numFmtId="0" fontId="71" fillId="38" borderId="15" xfId="87" applyFont="1" applyFill="1" applyBorder="1" applyAlignment="1">
      <alignment horizontal="center" vertical="center"/>
    </xf>
    <xf numFmtId="0" fontId="71" fillId="38" borderId="18" xfId="87" applyFont="1" applyFill="1" applyBorder="1" applyAlignment="1">
      <alignment horizontal="center" vertical="center"/>
    </xf>
    <xf numFmtId="0" fontId="71" fillId="38" borderId="16" xfId="87" applyFont="1" applyFill="1" applyBorder="1" applyAlignment="1">
      <alignment horizontal="center" vertical="center"/>
    </xf>
    <xf numFmtId="0" fontId="72" fillId="41" borderId="26" xfId="87" quotePrefix="1" applyFont="1" applyFill="1" applyBorder="1" applyAlignment="1">
      <alignment horizontal="left" vertical="center"/>
    </xf>
    <xf numFmtId="0" fontId="0" fillId="0" borderId="36" xfId="0" applyBorder="1"/>
    <xf numFmtId="0" fontId="72" fillId="41" borderId="37" xfId="87" quotePrefix="1" applyFont="1" applyFill="1" applyBorder="1"/>
    <xf numFmtId="0" fontId="0" fillId="0" borderId="38" xfId="0" applyBorder="1"/>
    <xf numFmtId="0" fontId="75" fillId="41" borderId="34" xfId="87" applyFont="1" applyFill="1" applyBorder="1" applyAlignment="1">
      <alignment horizontal="left" vertical="top" wrapText="1"/>
    </xf>
    <xf numFmtId="0" fontId="75" fillId="41" borderId="13" xfId="87" applyFont="1" applyFill="1" applyBorder="1" applyAlignment="1">
      <alignment horizontal="left" vertical="top" wrapText="1"/>
    </xf>
    <xf numFmtId="0" fontId="75" fillId="41" borderId="51" xfId="87" applyFont="1" applyFill="1" applyBorder="1" applyAlignment="1">
      <alignment horizontal="left" vertical="top" wrapText="1"/>
    </xf>
    <xf numFmtId="0" fontId="1" fillId="0" borderId="10" xfId="0" applyFont="1" applyFill="1" applyBorder="1" applyAlignment="1" applyProtection="1">
      <alignment vertical="top" wrapText="1"/>
      <protection locked="0"/>
    </xf>
    <xf numFmtId="0" fontId="23" fillId="0" borderId="10" xfId="0" applyFont="1" applyFill="1" applyBorder="1" applyAlignment="1" applyProtection="1">
      <alignment vertical="top" wrapText="1"/>
      <protection locked="0"/>
    </xf>
    <xf numFmtId="0" fontId="23" fillId="0" borderId="10" xfId="0" applyFont="1" applyFill="1" applyBorder="1" applyAlignment="1" applyProtection="1">
      <alignment horizontal="left" vertical="top" wrapText="1"/>
      <protection locked="0"/>
    </xf>
    <xf numFmtId="0" fontId="23" fillId="0" borderId="25" xfId="0" applyFont="1" applyFill="1" applyBorder="1" applyAlignment="1" applyProtection="1">
      <alignment vertical="top" wrapText="1"/>
      <protection locked="0"/>
    </xf>
    <xf numFmtId="0" fontId="23" fillId="0" borderId="0" xfId="0" applyFont="1" applyFill="1" applyAlignment="1" applyProtection="1">
      <alignment wrapText="1"/>
      <protection locked="0"/>
    </xf>
    <xf numFmtId="0" fontId="23" fillId="0" borderId="0" xfId="0" applyFont="1" applyFill="1" applyAlignment="1" applyProtection="1">
      <alignment vertical="top" wrapText="1"/>
      <protection locked="0"/>
    </xf>
    <xf numFmtId="0" fontId="23" fillId="0" borderId="12" xfId="0" applyFont="1" applyFill="1" applyBorder="1" applyAlignment="1" applyProtection="1">
      <alignment vertical="top" wrapText="1"/>
      <protection locked="0"/>
    </xf>
    <xf numFmtId="0" fontId="0" fillId="0" borderId="0" xfId="0" applyFill="1" applyAlignment="1" applyProtection="1">
      <alignment wrapText="1"/>
      <protection locked="0"/>
    </xf>
    <xf numFmtId="44" fontId="4" fillId="0" borderId="25" xfId="42" applyFont="1" applyFill="1" applyBorder="1" applyAlignment="1" applyProtection="1">
      <protection locked="0"/>
    </xf>
    <xf numFmtId="0" fontId="66" fillId="0" borderId="0" xfId="43" applyFont="1" applyFill="1" applyAlignment="1">
      <alignment horizontal="left" vertical="center"/>
    </xf>
    <xf numFmtId="44" fontId="24" fillId="0" borderId="0" xfId="42" applyFont="1" applyFill="1" applyAlignment="1" applyProtection="1">
      <alignment horizontal="left" vertical="center"/>
    </xf>
    <xf numFmtId="0" fontId="4" fillId="0" borderId="10" xfId="85" applyFill="1" applyBorder="1"/>
    <xf numFmtId="0" fontId="0" fillId="0" borderId="0" xfId="0" applyFill="1" applyProtection="1">
      <protection locked="0"/>
    </xf>
  </cellXfs>
  <cellStyles count="88">
    <cellStyle name="20% - Accent1" xfId="19" builtinId="30" customBuiltin="1"/>
    <cellStyle name="20% - Accent1 2" xfId="61" xr:uid="{00000000-0005-0000-0000-000001000000}"/>
    <cellStyle name="20% - Accent2" xfId="23" builtinId="34" customBuiltin="1"/>
    <cellStyle name="20% - Accent2 2" xfId="65" xr:uid="{00000000-0005-0000-0000-000003000000}"/>
    <cellStyle name="20% - Accent3" xfId="27" builtinId="38" customBuiltin="1"/>
    <cellStyle name="20% - Accent3 2" xfId="69" xr:uid="{00000000-0005-0000-0000-000005000000}"/>
    <cellStyle name="20% - Accent4" xfId="31" builtinId="42" customBuiltin="1"/>
    <cellStyle name="20% - Accent4 2" xfId="73" xr:uid="{00000000-0005-0000-0000-000007000000}"/>
    <cellStyle name="20% - Accent5" xfId="35" builtinId="46" customBuiltin="1"/>
    <cellStyle name="20% - Accent5 2" xfId="77" xr:uid="{00000000-0005-0000-0000-000009000000}"/>
    <cellStyle name="20% - Accent6" xfId="39" builtinId="50" customBuiltin="1"/>
    <cellStyle name="20% - Accent6 2" xfId="81" xr:uid="{00000000-0005-0000-0000-00000B000000}"/>
    <cellStyle name="40% - Accent1" xfId="20" builtinId="31" customBuiltin="1"/>
    <cellStyle name="40% - Accent1 2" xfId="62" xr:uid="{00000000-0005-0000-0000-00000D000000}"/>
    <cellStyle name="40% - Accent2" xfId="24" builtinId="35" customBuiltin="1"/>
    <cellStyle name="40% - Accent2 2" xfId="66" xr:uid="{00000000-0005-0000-0000-00000F000000}"/>
    <cellStyle name="40% - Accent3" xfId="28" builtinId="39" customBuiltin="1"/>
    <cellStyle name="40% - Accent3 2" xfId="70" xr:uid="{00000000-0005-0000-0000-000011000000}"/>
    <cellStyle name="40% - Accent4" xfId="32" builtinId="43" customBuiltin="1"/>
    <cellStyle name="40% - Accent4 2" xfId="74" xr:uid="{00000000-0005-0000-0000-000013000000}"/>
    <cellStyle name="40% - Accent5" xfId="36" builtinId="47" customBuiltin="1"/>
    <cellStyle name="40% - Accent5 2" xfId="78" xr:uid="{00000000-0005-0000-0000-000015000000}"/>
    <cellStyle name="40% - Accent6" xfId="40" builtinId="51" customBuiltin="1"/>
    <cellStyle name="40% - Accent6 2" xfId="82" xr:uid="{00000000-0005-0000-0000-000017000000}"/>
    <cellStyle name="60% - Accent1" xfId="21" builtinId="32" customBuiltin="1"/>
    <cellStyle name="60% - Accent1 2" xfId="63" xr:uid="{00000000-0005-0000-0000-000019000000}"/>
    <cellStyle name="60% - Accent2" xfId="25" builtinId="36" customBuiltin="1"/>
    <cellStyle name="60% - Accent2 2" xfId="67" xr:uid="{00000000-0005-0000-0000-00001B000000}"/>
    <cellStyle name="60% - Accent3" xfId="29" builtinId="40" customBuiltin="1"/>
    <cellStyle name="60% - Accent3 2" xfId="71" xr:uid="{00000000-0005-0000-0000-00001D000000}"/>
    <cellStyle name="60% - Accent4" xfId="33" builtinId="44" customBuiltin="1"/>
    <cellStyle name="60% - Accent4 2" xfId="75" xr:uid="{00000000-0005-0000-0000-00001F000000}"/>
    <cellStyle name="60% - Accent5" xfId="37" builtinId="48" customBuiltin="1"/>
    <cellStyle name="60% - Accent5 2" xfId="79" xr:uid="{00000000-0005-0000-0000-000021000000}"/>
    <cellStyle name="60% - Accent6" xfId="41" builtinId="52" customBuiltin="1"/>
    <cellStyle name="60% - Accent6 2" xfId="83" xr:uid="{00000000-0005-0000-0000-000023000000}"/>
    <cellStyle name="Accent1" xfId="18" builtinId="29" customBuiltin="1"/>
    <cellStyle name="Accent1 2" xfId="60" xr:uid="{00000000-0005-0000-0000-000025000000}"/>
    <cellStyle name="Accent2" xfId="22" builtinId="33" customBuiltin="1"/>
    <cellStyle name="Accent2 2" xfId="64" xr:uid="{00000000-0005-0000-0000-000027000000}"/>
    <cellStyle name="Accent3" xfId="26" builtinId="37" customBuiltin="1"/>
    <cellStyle name="Accent3 2" xfId="68" xr:uid="{00000000-0005-0000-0000-000029000000}"/>
    <cellStyle name="Accent4" xfId="30" builtinId="41" customBuiltin="1"/>
    <cellStyle name="Accent4 2" xfId="72" xr:uid="{00000000-0005-0000-0000-00002B000000}"/>
    <cellStyle name="Accent5" xfId="34" builtinId="45" customBuiltin="1"/>
    <cellStyle name="Accent5 2" xfId="76" xr:uid="{00000000-0005-0000-0000-00002D000000}"/>
    <cellStyle name="Accent6" xfId="38" builtinId="49" customBuiltin="1"/>
    <cellStyle name="Accent6 2" xfId="80" xr:uid="{00000000-0005-0000-0000-00002F000000}"/>
    <cellStyle name="Bad" xfId="7" builtinId="27" customBuiltin="1"/>
    <cellStyle name="Bad 2" xfId="49" xr:uid="{00000000-0005-0000-0000-000031000000}"/>
    <cellStyle name="Calculation" xfId="11" builtinId="22" customBuiltin="1"/>
    <cellStyle name="Calculation 2" xfId="53" xr:uid="{00000000-0005-0000-0000-000033000000}"/>
    <cellStyle name="Check Cell" xfId="13" builtinId="23" customBuiltin="1"/>
    <cellStyle name="Check Cell 2" xfId="55" xr:uid="{00000000-0005-0000-0000-000035000000}"/>
    <cellStyle name="Comma" xfId="84" builtinId="3"/>
    <cellStyle name="Currency" xfId="42" builtinId="4"/>
    <cellStyle name="Explanatory Text" xfId="16" builtinId="53" customBuiltin="1"/>
    <cellStyle name="Explanatory Text 2" xfId="58" xr:uid="{00000000-0005-0000-0000-000039000000}"/>
    <cellStyle name="Good" xfId="6" builtinId="26" customBuiltin="1"/>
    <cellStyle name="Good 2" xfId="48" xr:uid="{00000000-0005-0000-0000-00003B000000}"/>
    <cellStyle name="Heading 1" xfId="2" builtinId="16" customBuiltin="1"/>
    <cellStyle name="Heading 1 2" xfId="44" xr:uid="{00000000-0005-0000-0000-00003D000000}"/>
    <cellStyle name="Heading 2" xfId="3" builtinId="17" customBuiltin="1"/>
    <cellStyle name="Heading 2 2" xfId="45" xr:uid="{00000000-0005-0000-0000-00003F000000}"/>
    <cellStyle name="Heading 3" xfId="4" builtinId="18" customBuiltin="1"/>
    <cellStyle name="Heading 3 2" xfId="46" xr:uid="{00000000-0005-0000-0000-000041000000}"/>
    <cellStyle name="Heading 4" xfId="5" builtinId="19" customBuiltin="1"/>
    <cellStyle name="Heading 4 2" xfId="47" xr:uid="{00000000-0005-0000-0000-000043000000}"/>
    <cellStyle name="Hyperlink" xfId="86" builtinId="8"/>
    <cellStyle name="Input" xfId="9" builtinId="20" customBuiltin="1"/>
    <cellStyle name="Input 2" xfId="51" xr:uid="{00000000-0005-0000-0000-000046000000}"/>
    <cellStyle name="Linked Cell" xfId="12" builtinId="24" customBuiltin="1"/>
    <cellStyle name="Linked Cell 2" xfId="54" xr:uid="{00000000-0005-0000-0000-000048000000}"/>
    <cellStyle name="Neutral" xfId="8" builtinId="28" customBuiltin="1"/>
    <cellStyle name="Neutral 2" xfId="50" xr:uid="{00000000-0005-0000-0000-00004A000000}"/>
    <cellStyle name="Normal" xfId="0" builtinId="0"/>
    <cellStyle name="Normal 2" xfId="43" xr:uid="{00000000-0005-0000-0000-00004C000000}"/>
    <cellStyle name="Normal 2 2" xfId="85" xr:uid="{00000000-0005-0000-0000-00004D000000}"/>
    <cellStyle name="Normal 3" xfId="87" xr:uid="{28CEF195-FBD1-E347-BE8F-BED0F83F4511}"/>
    <cellStyle name="Note" xfId="15" builtinId="10" customBuiltin="1"/>
    <cellStyle name="Note 2" xfId="57" xr:uid="{00000000-0005-0000-0000-00004F000000}"/>
    <cellStyle name="Output" xfId="10" builtinId="21" customBuiltin="1"/>
    <cellStyle name="Output 2" xfId="52" xr:uid="{00000000-0005-0000-0000-000051000000}"/>
    <cellStyle name="Title" xfId="1" builtinId="15" customBuiltin="1"/>
    <cellStyle name="Total" xfId="17" builtinId="25" customBuiltin="1"/>
    <cellStyle name="Total 2" xfId="59" xr:uid="{00000000-0005-0000-0000-000054000000}"/>
    <cellStyle name="Warning Text" xfId="14" builtinId="11" customBuiltin="1"/>
    <cellStyle name="Warning Text 2" xfId="56" xr:uid="{00000000-0005-0000-0000-000056000000}"/>
  </cellStyles>
  <dxfs count="0"/>
  <tableStyles count="1" defaultTableStyle="TableStyleMedium2" defaultPivotStyle="PivotStyleLight16">
    <tableStyle name="Table Style 1" pivot="0" count="0" xr9:uid="{00000000-0011-0000-FFFF-FFFF00000000}"/>
  </tableStyles>
  <colors>
    <mruColors>
      <color rgb="FFD37C07"/>
      <color rgb="FFFCD9AA"/>
      <color rgb="FFF9B251"/>
      <color rgb="FF920A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xdr:colOff>
      <xdr:row>0</xdr:row>
      <xdr:rowOff>26670</xdr:rowOff>
    </xdr:from>
    <xdr:to>
      <xdr:col>2</xdr:col>
      <xdr:colOff>270510</xdr:colOff>
      <xdr:row>1</xdr:row>
      <xdr:rowOff>45720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4290" y="26670"/>
          <a:ext cx="2594610" cy="5448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45720</xdr:rowOff>
    </xdr:from>
    <xdr:to>
      <xdr:col>2</xdr:col>
      <xdr:colOff>2175510</xdr:colOff>
      <xdr:row>0</xdr:row>
      <xdr:rowOff>590550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40030" y="45720"/>
          <a:ext cx="2594610" cy="5448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42867</xdr:colOff>
      <xdr:row>0</xdr:row>
      <xdr:rowOff>42867</xdr:rowOff>
    </xdr:from>
    <xdr:to>
      <xdr:col>1</xdr:col>
      <xdr:colOff>1153164</xdr:colOff>
      <xdr:row>0</xdr:row>
      <xdr:rowOff>587697</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2867" y="42867"/>
          <a:ext cx="2594610" cy="544830"/>
        </a:xfrm>
        <a:prstGeom prst="rect">
          <a:avLst/>
        </a:prstGeom>
      </xdr:spPr>
    </xdr:pic>
    <xdr:clientData/>
  </xdr:twoCellAnchor>
  <xdr:twoCellAnchor>
    <xdr:from>
      <xdr:col>2</xdr:col>
      <xdr:colOff>628650</xdr:colOff>
      <xdr:row>2</xdr:row>
      <xdr:rowOff>195262</xdr:rowOff>
    </xdr:from>
    <xdr:to>
      <xdr:col>2</xdr:col>
      <xdr:colOff>1071562</xdr:colOff>
      <xdr:row>4</xdr:row>
      <xdr:rowOff>133349</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flipH="1">
          <a:off x="7434263" y="1409700"/>
          <a:ext cx="442912" cy="4429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842962</xdr:colOff>
      <xdr:row>4</xdr:row>
      <xdr:rowOff>28575</xdr:rowOff>
    </xdr:from>
    <xdr:to>
      <xdr:col>4</xdr:col>
      <xdr:colOff>157161</xdr:colOff>
      <xdr:row>6</xdr:row>
      <xdr:rowOff>19050</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a:xfrm flipH="1">
          <a:off x="8777287" y="1747838"/>
          <a:ext cx="442912" cy="4429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42867</xdr:colOff>
      <xdr:row>0</xdr:row>
      <xdr:rowOff>42867</xdr:rowOff>
    </xdr:from>
    <xdr:to>
      <xdr:col>1</xdr:col>
      <xdr:colOff>1156339</xdr:colOff>
      <xdr:row>0</xdr:row>
      <xdr:rowOff>587697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42867" y="42867"/>
          <a:ext cx="2595562" cy="54483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seph Muna" id="{8A2F1585-BE48-48E5-900D-52E6BD7DD539}" userId="369deb86d6690ad6" providerId="Windows Live"/>
  <person displayName="Aisha Heredia" id="{90A718C3-C657-E047-8FB8-C1911F257E54}" userId="S::aisha@opportunity180.org::72e1e18c-567b-4932-a0b0-8a09dedc961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3-06-05T23:20:17.71" personId="{8A2F1585-BE48-48E5-900D-52E6BD7DD539}" id="{36B730FC-3BE5-4341-AA29-EAC8A2EADAF6}">
    <text>Should this be the end of the $20K fund?</text>
  </threadedComment>
</ThreadedComments>
</file>

<file path=xl/threadedComments/threadedComment2.xml><?xml version="1.0" encoding="utf-8"?>
<ThreadedComments xmlns="http://schemas.microsoft.com/office/spreadsheetml/2018/threadedcomments" xmlns:x="http://schemas.openxmlformats.org/spreadsheetml/2006/main">
  <threadedComment ref="B8" dT="2021-04-28T21:09:42.14" personId="{90A718C3-C657-E047-8FB8-C1911F257E54}" id="{B97606AB-5202-CD47-B224-F2145E28FC02}">
    <text>This should match from the GL Code in column A of the Monthly Expense Summary tab.</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whitehouse.gov/sites/whitehouse.gov/files/omb/circulars/A21/a21_2004.pdf" TargetMode="External"/><Relationship Id="rId7" Type="http://schemas.openxmlformats.org/officeDocument/2006/relationships/printerSettings" Target="../printerSettings/printerSettings2.bin"/><Relationship Id="rId2" Type="http://schemas.openxmlformats.org/officeDocument/2006/relationships/hyperlink" Target="https://www2.ed.gov/programs/charter/fy14cspnonregguidance.doc" TargetMode="External"/><Relationship Id="rId1" Type="http://schemas.openxmlformats.org/officeDocument/2006/relationships/hyperlink" Target="https://oese.ed.gov/files/2019/11/Statute-for-website.pdf" TargetMode="External"/><Relationship Id="rId6" Type="http://schemas.openxmlformats.org/officeDocument/2006/relationships/hyperlink" Target="http://www.doe.nv.gov/uploadedFiles/ndedoenvgov/content/Business_Support_Services/NDEChartofAccounts.xlsx" TargetMode="External"/><Relationship Id="rId5" Type="http://schemas.openxmlformats.org/officeDocument/2006/relationships/hyperlink" Target="https://oese.ed.gov/files/2019/11/CSP-ESSA-Flexibilities-FAQ-2017.pdf" TargetMode="External"/><Relationship Id="rId4" Type="http://schemas.openxmlformats.org/officeDocument/2006/relationships/hyperlink" Target="https://www2.ed.gov/policy/fund/guid/uniform-guidance/index.html"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hyperlink" Target="mailto:greatschoolsfornvcsp@opportunity180.org" TargetMode="Externa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doe.nv.gov/uploadedFiles/ndedoenvgov/content/Business_Support_Services/NDEChartofAccount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sheetPr>
  <dimension ref="A1:E31"/>
  <sheetViews>
    <sheetView workbookViewId="0">
      <selection activeCell="C13" sqref="C13"/>
    </sheetView>
  </sheetViews>
  <sheetFormatPr defaultColWidth="8.81640625" defaultRowHeight="14.5" x14ac:dyDescent="0.35"/>
  <cols>
    <col min="1" max="1" width="19.453125" customWidth="1"/>
    <col min="2" max="2" width="13" customWidth="1"/>
    <col min="3" max="4" width="15.453125" customWidth="1"/>
    <col min="5" max="5" width="18.453125" customWidth="1"/>
  </cols>
  <sheetData>
    <row r="1" spans="1:5" ht="41.5" customHeight="1" x14ac:dyDescent="0.35"/>
    <row r="3" spans="1:5" ht="17.5" x14ac:dyDescent="0.35">
      <c r="A3" s="57" t="s">
        <v>0</v>
      </c>
    </row>
    <row r="5" spans="1:5" ht="19.5" customHeight="1" x14ac:dyDescent="0.35">
      <c r="A5" s="57" t="s">
        <v>50</v>
      </c>
      <c r="B5" s="223" t="str">
        <f>'CSP Budget Detail'!B2</f>
        <v>Vegas Vista Academy</v>
      </c>
      <c r="C5" s="223"/>
      <c r="D5" s="223"/>
    </row>
    <row r="6" spans="1:5" ht="16.5" x14ac:dyDescent="0.35">
      <c r="B6" s="91"/>
      <c r="C6" s="91"/>
      <c r="D6" s="91"/>
    </row>
    <row r="7" spans="1:5" ht="17.5" x14ac:dyDescent="0.35">
      <c r="A7" s="48" t="s">
        <v>51</v>
      </c>
      <c r="B7" s="223" t="str">
        <f>'CSP Budget Detail'!B3</f>
        <v>To be completed by Opportunity 180</v>
      </c>
      <c r="C7" s="223"/>
      <c r="D7" s="223"/>
    </row>
    <row r="8" spans="1:5" ht="17.5" x14ac:dyDescent="0.35">
      <c r="A8" s="48" t="s">
        <v>52</v>
      </c>
      <c r="B8" s="224">
        <f>'CSP Budget Detail'!B4</f>
        <v>1020288</v>
      </c>
      <c r="C8" s="224"/>
      <c r="D8" s="224"/>
    </row>
    <row r="11" spans="1:5" ht="15.5" x14ac:dyDescent="0.35">
      <c r="A11" s="92"/>
      <c r="C11" s="93" t="s">
        <v>53</v>
      </c>
      <c r="D11" s="93" t="s">
        <v>54</v>
      </c>
      <c r="E11" s="93" t="s">
        <v>55</v>
      </c>
    </row>
    <row r="12" spans="1:5" ht="15.5" x14ac:dyDescent="0.35">
      <c r="A12" s="92"/>
      <c r="C12" s="92"/>
      <c r="D12" s="92"/>
      <c r="E12" s="92"/>
    </row>
    <row r="13" spans="1:5" ht="15.5" x14ac:dyDescent="0.35">
      <c r="A13" s="92" t="str">
        <f>'CSP Budget Detail'!B11</f>
        <v>Personnel: Salaries and Benefits</v>
      </c>
      <c r="B13" s="92"/>
      <c r="C13" s="94">
        <f>'CSP Budget Detail'!C173+'CSP Budget Detail'!D173</f>
        <v>344834.99999999994</v>
      </c>
      <c r="D13" s="94">
        <f>SUM('CSP Budget Detail'!E173:'CSP Budget Detail'!G173)</f>
        <v>0</v>
      </c>
      <c r="E13" s="94">
        <f>'CSP Budget Detail'!H173</f>
        <v>344835</v>
      </c>
    </row>
    <row r="14" spans="1:5" ht="15.5" x14ac:dyDescent="0.35">
      <c r="A14" s="92" t="str">
        <f>'CSP Budget Detail'!B174</f>
        <v>Professional Development</v>
      </c>
      <c r="B14" s="92"/>
      <c r="C14" s="94">
        <f>'CSP Budget Detail'!C188+'CSP Budget Detail'!D188</f>
        <v>43600</v>
      </c>
      <c r="D14" s="94">
        <f>SUM('CSP Budget Detail'!E188:'CSP Budget Detail'!G188)</f>
        <v>17600</v>
      </c>
      <c r="E14" s="94">
        <f>'CSP Budget Detail'!H188</f>
        <v>61200</v>
      </c>
    </row>
    <row r="15" spans="1:5" ht="15.5" x14ac:dyDescent="0.35">
      <c r="A15" s="92" t="str">
        <f>'CSP Budget Detail'!B189</f>
        <v>Supplies</v>
      </c>
      <c r="B15" s="92"/>
      <c r="C15" s="94">
        <f>'CSP Budget Detail'!C216+'CSP Budget Detail'!D216</f>
        <v>0</v>
      </c>
      <c r="D15" s="94">
        <f>SUM('CSP Budget Detail'!E216:'CSP Budget Detail'!G216)</f>
        <v>215513</v>
      </c>
      <c r="E15" s="94">
        <f>'CSP Budget Detail'!H216</f>
        <v>215513</v>
      </c>
    </row>
    <row r="16" spans="1:5" ht="15.5" x14ac:dyDescent="0.35">
      <c r="A16" s="95" t="str">
        <f>'CSP Budget Detail'!B217</f>
        <v xml:space="preserve">Professional Services </v>
      </c>
      <c r="B16" s="92"/>
      <c r="C16" s="94">
        <f>'CSP Budget Detail'!C235+'CSP Budget Detail'!D235</f>
        <v>72770</v>
      </c>
      <c r="D16" s="94">
        <f>SUM('CSP Budget Detail'!E235:'CSP Budget Detail'!G235)</f>
        <v>71961</v>
      </c>
      <c r="E16" s="94">
        <f>'CSP Budget Detail'!H235</f>
        <v>144731</v>
      </c>
    </row>
    <row r="17" spans="1:5" ht="15.5" x14ac:dyDescent="0.35">
      <c r="A17" s="95" t="str">
        <f>'CSP Budget Detail'!B236</f>
        <v>Technology - Equipment</v>
      </c>
      <c r="B17" s="92"/>
      <c r="C17" s="94">
        <f>'CSP Budget Detail'!C245+'CSP Budget Detail'!D245</f>
        <v>0</v>
      </c>
      <c r="D17" s="94">
        <f>SUM('CSP Budget Detail'!E245:'CSP Budget Detail'!G245)</f>
        <v>30400</v>
      </c>
      <c r="E17" s="94">
        <f>'CSP Budget Detail'!H245</f>
        <v>30400</v>
      </c>
    </row>
    <row r="18" spans="1:5" ht="15.5" x14ac:dyDescent="0.35">
      <c r="A18" s="95" t="str">
        <f>'CSP Budget Detail'!B246</f>
        <v>Furniture, Fixtures</v>
      </c>
      <c r="B18" s="92"/>
      <c r="C18" s="94">
        <f>'CSP Budget Detail'!C255+'CSP Budget Detail'!D255</f>
        <v>0</v>
      </c>
      <c r="D18" s="94">
        <f>SUM('CSP Budget Detail'!E255:'CSP Budget Detail'!G255)</f>
        <v>124800</v>
      </c>
      <c r="E18" s="94">
        <f>'CSP Budget Detail'!H255</f>
        <v>124800</v>
      </c>
    </row>
    <row r="19" spans="1:5" ht="15.5" x14ac:dyDescent="0.35">
      <c r="A19" s="95" t="str">
        <f>'CSP Budget Detail'!B256</f>
        <v xml:space="preserve">Other Educational Equipment </v>
      </c>
      <c r="B19" s="92"/>
      <c r="C19" s="94">
        <f>'CSP Budget Detail'!C266+'CSP Budget Detail'!D266</f>
        <v>0</v>
      </c>
      <c r="D19" s="94">
        <f>SUM('CSP Budget Detail'!E266:'CSP Budget Detail'!G266)</f>
        <v>36164</v>
      </c>
      <c r="E19" s="94">
        <f>'CSP Budget Detail'!H266</f>
        <v>36164</v>
      </c>
    </row>
    <row r="20" spans="1:5" ht="15.5" x14ac:dyDescent="0.35">
      <c r="A20" s="95" t="str">
        <f>'CSP Budget Detail'!B267</f>
        <v>Technology Software</v>
      </c>
      <c r="B20" s="92"/>
      <c r="C20" s="94">
        <f>'CSP Budget Detail'!C277+'CSP Budget Detail'!D277</f>
        <v>0</v>
      </c>
      <c r="D20" s="94">
        <f>SUM('CSP Budget Detail'!E277:'CSP Budget Detail'!G277)</f>
        <v>11645</v>
      </c>
      <c r="E20" s="94">
        <f>'CSP Budget Detail'!H277</f>
        <v>11645</v>
      </c>
    </row>
    <row r="21" spans="1:5" ht="15.5" x14ac:dyDescent="0.35">
      <c r="A21" s="95" t="str">
        <f>'CSP Budget Detail'!B278</f>
        <v>Technology Support</v>
      </c>
      <c r="B21" s="92"/>
      <c r="C21" s="94">
        <f>'CSP Budget Detail'!C287+'CSP Budget Detail'!D287</f>
        <v>0</v>
      </c>
      <c r="D21" s="94">
        <f>SUM('CSP Budget Detail'!E287:'CSP Budget Detail'!G287)</f>
        <v>0</v>
      </c>
      <c r="E21" s="94">
        <f>'CSP Budget Detail'!H287</f>
        <v>0</v>
      </c>
    </row>
    <row r="22" spans="1:5" ht="15.5" x14ac:dyDescent="0.35">
      <c r="A22" s="95" t="str">
        <f>'CSP Budget Detail'!B288</f>
        <v>Recruitment Costs</v>
      </c>
      <c r="B22" s="92"/>
      <c r="C22" s="94">
        <f>'CSP Budget Detail'!C293+'CSP Budget Detail'!D293</f>
        <v>26500</v>
      </c>
      <c r="D22" s="94">
        <f>SUM('CSP Budget Detail'!E293:'CSP Budget Detail'!G293)</f>
        <v>24500</v>
      </c>
      <c r="E22" s="94">
        <f>'CSP Budget Detail'!H293</f>
        <v>51000</v>
      </c>
    </row>
    <row r="23" spans="1:5" ht="15.5" x14ac:dyDescent="0.35">
      <c r="A23" s="95" t="str">
        <f>'CSP Budget Detail'!B294</f>
        <v>Facility Costs to Meet Code</v>
      </c>
      <c r="B23" s="92"/>
      <c r="C23" s="94">
        <f>'CSP Budget Detail'!C299+'CSP Budget Detail'!D299</f>
        <v>0</v>
      </c>
      <c r="D23" s="94">
        <f>SUM('CSP Budget Detail'!E299:'CSP Budget Detail'!G299)</f>
        <v>0</v>
      </c>
      <c r="E23" s="94">
        <f>'CSP Budget Detail'!H299</f>
        <v>0</v>
      </c>
    </row>
    <row r="24" spans="1:5" ht="15.5" x14ac:dyDescent="0.35">
      <c r="A24" s="96" t="str">
        <f>'CSP Budget Detail'!B300</f>
        <v>School Bus Acquisition</v>
      </c>
      <c r="B24" s="92"/>
      <c r="C24" s="94">
        <f>'CSP Budget Detail'!C304+'CSP Budget Detail'!D304</f>
        <v>0</v>
      </c>
      <c r="D24" s="94">
        <f>SUM('CSP Budget Detail'!E304:'CSP Budget Detail'!G304)</f>
        <v>0</v>
      </c>
      <c r="E24" s="94">
        <f>'CSP Budget Detail'!H304</f>
        <v>0</v>
      </c>
    </row>
    <row r="25" spans="1:5" ht="15.5" x14ac:dyDescent="0.35">
      <c r="A25" s="92" t="str">
        <f>'CSP Budget Detail'!B305</f>
        <v>Blank, complete as needed</v>
      </c>
      <c r="B25" s="92"/>
      <c r="C25" s="94">
        <f>'CSP Budget Detail'!C308+'CSP Budget Detail'!D308</f>
        <v>0</v>
      </c>
      <c r="D25" s="94">
        <f>SUM('CSP Budget Detail'!E308:G308)</f>
        <v>0</v>
      </c>
      <c r="E25" s="94">
        <f>'CSP Budget Detail'!H308</f>
        <v>0</v>
      </c>
    </row>
    <row r="26" spans="1:5" ht="16" thickBot="1" x14ac:dyDescent="0.4">
      <c r="A26" s="92"/>
      <c r="B26" s="92"/>
      <c r="C26" s="97">
        <f>SUM(C13:C25)</f>
        <v>487704.99999999994</v>
      </c>
      <c r="D26" s="97">
        <f t="shared" ref="D26:E26" si="0">SUM(D13:D25)</f>
        <v>532583</v>
      </c>
      <c r="E26" s="97">
        <f t="shared" si="0"/>
        <v>1020288</v>
      </c>
    </row>
    <row r="27" spans="1:5" ht="16" thickTop="1" x14ac:dyDescent="0.35">
      <c r="A27" s="92"/>
      <c r="B27" s="92"/>
      <c r="C27" s="92"/>
      <c r="D27" s="92"/>
    </row>
    <row r="28" spans="1:5" ht="15.5" x14ac:dyDescent="0.35">
      <c r="A28" s="92"/>
      <c r="B28" s="92"/>
      <c r="C28" s="92"/>
      <c r="D28" s="92"/>
    </row>
    <row r="29" spans="1:5" ht="15.5" x14ac:dyDescent="0.35">
      <c r="A29" s="92"/>
      <c r="B29" s="92"/>
      <c r="C29" s="92"/>
      <c r="D29" s="92"/>
    </row>
    <row r="30" spans="1:5" ht="15.5" x14ac:dyDescent="0.35">
      <c r="A30" s="92"/>
      <c r="B30" s="92"/>
      <c r="C30" s="92"/>
      <c r="D30" s="92"/>
    </row>
    <row r="31" spans="1:5" ht="15.5" x14ac:dyDescent="0.35">
      <c r="A31" s="92"/>
      <c r="B31" s="92"/>
      <c r="C31" s="92"/>
      <c r="D31" s="92"/>
    </row>
  </sheetData>
  <sheetProtection algorithmName="SHA-512" hashValue="KSvnM2piOuAlSHBkkrCh9GN3H3eGXrgXIE2mM8+GJlRzYDRmyzYv55aCwTzUx8+j8sImDs5aIuOnR4+T4ScoJA==" saltValue="+eyrqfdvIJGd6u7+g2sQlg==" spinCount="100000" sheet="1" objects="1" scenarios="1"/>
  <mergeCells count="3">
    <mergeCell ref="B5:D5"/>
    <mergeCell ref="B7:D7"/>
    <mergeCell ref="B8:D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CD9AA"/>
  </sheetPr>
  <dimension ref="B1:I66"/>
  <sheetViews>
    <sheetView zoomScale="90" zoomScaleNormal="90" workbookViewId="0">
      <selection activeCell="B16" sqref="B16:C16"/>
    </sheetView>
  </sheetViews>
  <sheetFormatPr defaultColWidth="8.81640625" defaultRowHeight="14.5" x14ac:dyDescent="0.35"/>
  <cols>
    <col min="1" max="1" width="1.453125" customWidth="1"/>
    <col min="2" max="2" width="6.36328125" customWidth="1"/>
    <col min="3" max="3" width="104.453125" customWidth="1"/>
    <col min="13" max="13" width="9" customWidth="1"/>
  </cols>
  <sheetData>
    <row r="1" spans="2:4" ht="50.75" customHeight="1" x14ac:dyDescent="0.35">
      <c r="D1" s="42"/>
    </row>
    <row r="2" spans="2:4" ht="30.5" customHeight="1" x14ac:dyDescent="0.35">
      <c r="B2" s="48" t="s">
        <v>0</v>
      </c>
    </row>
    <row r="3" spans="2:4" ht="18" customHeight="1" x14ac:dyDescent="0.35"/>
    <row r="4" spans="2:4" s="43" customFormat="1" ht="15" customHeight="1" x14ac:dyDescent="0.3">
      <c r="B4" s="44" t="s">
        <v>1</v>
      </c>
      <c r="C4" s="104"/>
      <c r="D4" s="104"/>
    </row>
    <row r="5" spans="2:4" s="43" customFormat="1" ht="33.5" customHeight="1" x14ac:dyDescent="0.3">
      <c r="B5" s="225" t="s">
        <v>2</v>
      </c>
      <c r="C5" s="225"/>
      <c r="D5" s="104"/>
    </row>
    <row r="6" spans="2:4" s="43" customFormat="1" ht="15" customHeight="1" x14ac:dyDescent="0.3">
      <c r="B6" s="108" t="s">
        <v>3</v>
      </c>
      <c r="C6" s="105"/>
      <c r="D6" s="104"/>
    </row>
    <row r="7" spans="2:4" s="43" customFormat="1" ht="20" customHeight="1" x14ac:dyDescent="0.3">
      <c r="B7" s="104"/>
      <c r="C7" s="104" t="s">
        <v>4</v>
      </c>
      <c r="D7" s="104"/>
    </row>
    <row r="8" spans="2:4" s="43" customFormat="1" ht="15" customHeight="1" x14ac:dyDescent="0.3">
      <c r="B8" s="104"/>
      <c r="C8" s="104" t="s">
        <v>5</v>
      </c>
      <c r="D8" s="104"/>
    </row>
    <row r="9" spans="2:4" s="43" customFormat="1" ht="15" customHeight="1" x14ac:dyDescent="0.3">
      <c r="B9" s="104"/>
      <c r="C9" s="104" t="s">
        <v>6</v>
      </c>
      <c r="D9" s="104"/>
    </row>
    <row r="10" spans="2:4" s="43" customFormat="1" ht="15" customHeight="1" x14ac:dyDescent="0.3">
      <c r="B10" s="104"/>
      <c r="C10" s="104" t="s">
        <v>7</v>
      </c>
      <c r="D10" s="104"/>
    </row>
    <row r="11" spans="2:4" s="43" customFormat="1" ht="15" customHeight="1" x14ac:dyDescent="0.3">
      <c r="B11" s="104"/>
      <c r="C11" s="106" t="s">
        <v>8</v>
      </c>
      <c r="D11" s="104"/>
    </row>
    <row r="12" spans="2:4" s="43" customFormat="1" ht="29" customHeight="1" x14ac:dyDescent="0.3">
      <c r="B12" s="230" t="s">
        <v>722</v>
      </c>
      <c r="C12" s="230"/>
      <c r="D12" s="104"/>
    </row>
    <row r="13" spans="2:4" s="43" customFormat="1" ht="12" customHeight="1" x14ac:dyDescent="0.3">
      <c r="B13" s="104"/>
      <c r="C13" s="104"/>
      <c r="D13" s="104"/>
    </row>
    <row r="14" spans="2:4" s="43" customFormat="1" ht="15" customHeight="1" x14ac:dyDescent="0.3">
      <c r="B14" s="104" t="s">
        <v>9</v>
      </c>
      <c r="C14" s="104"/>
      <c r="D14" s="104"/>
    </row>
    <row r="15" spans="2:4" s="43" customFormat="1" ht="5" customHeight="1" x14ac:dyDescent="0.3">
      <c r="B15" s="104"/>
      <c r="C15" s="104"/>
      <c r="D15" s="104"/>
    </row>
    <row r="16" spans="2:4" s="43" customFormat="1" ht="48" customHeight="1" x14ac:dyDescent="0.3">
      <c r="B16" s="225" t="s">
        <v>723</v>
      </c>
      <c r="C16" s="225"/>
      <c r="D16" s="104"/>
    </row>
    <row r="17" spans="2:9" s="43" customFormat="1" ht="5" customHeight="1" x14ac:dyDescent="0.3">
      <c r="B17" s="107"/>
      <c r="C17" s="107"/>
      <c r="D17" s="104"/>
    </row>
    <row r="18" spans="2:9" s="43" customFormat="1" ht="37.5" customHeight="1" x14ac:dyDescent="0.3">
      <c r="B18" s="225" t="s">
        <v>10</v>
      </c>
      <c r="C18" s="225"/>
      <c r="D18" s="104"/>
      <c r="E18" s="104"/>
      <c r="F18" s="104"/>
      <c r="G18" s="104"/>
      <c r="H18" s="104"/>
      <c r="I18" s="104"/>
    </row>
    <row r="19" spans="2:9" s="43" customFormat="1" ht="5" customHeight="1" x14ac:dyDescent="0.3">
      <c r="B19" s="104"/>
      <c r="C19" s="104"/>
      <c r="D19" s="104"/>
      <c r="E19" s="104"/>
      <c r="F19" s="104"/>
      <c r="G19" s="104"/>
      <c r="H19" s="104"/>
      <c r="I19" s="104"/>
    </row>
    <row r="20" spans="2:9" s="43" customFormat="1" ht="47" customHeight="1" x14ac:dyDescent="0.3">
      <c r="B20" s="225" t="s">
        <v>11</v>
      </c>
      <c r="C20" s="225"/>
      <c r="D20" s="104"/>
      <c r="E20" s="104"/>
      <c r="F20" s="104"/>
      <c r="G20" s="104"/>
      <c r="H20" s="104"/>
      <c r="I20" s="104"/>
    </row>
    <row r="21" spans="2:9" s="43" customFormat="1" ht="26.75" customHeight="1" x14ac:dyDescent="0.3">
      <c r="B21" s="228" t="s">
        <v>12</v>
      </c>
      <c r="C21" s="229"/>
      <c r="D21" s="104"/>
      <c r="E21" s="104"/>
      <c r="F21" s="104"/>
      <c r="G21" s="104"/>
      <c r="H21" s="104"/>
      <c r="I21" s="104"/>
    </row>
    <row r="22" spans="2:9" s="43" customFormat="1" ht="9" customHeight="1" x14ac:dyDescent="0.3">
      <c r="B22" s="107"/>
      <c r="C22" s="107"/>
      <c r="D22" s="104"/>
      <c r="E22" s="104"/>
      <c r="F22" s="104"/>
      <c r="G22" s="104"/>
      <c r="H22" s="104"/>
      <c r="I22" s="104"/>
    </row>
    <row r="23" spans="2:9" s="43" customFormat="1" ht="27.5" customHeight="1" x14ac:dyDescent="0.3">
      <c r="B23" s="226" t="s">
        <v>13</v>
      </c>
      <c r="C23" s="226"/>
      <c r="D23" s="104"/>
      <c r="E23" s="104"/>
      <c r="F23" s="104"/>
      <c r="G23" s="104"/>
      <c r="H23" s="104"/>
      <c r="I23" s="104"/>
    </row>
    <row r="24" spans="2:9" s="43" customFormat="1" ht="5" customHeight="1" x14ac:dyDescent="0.3">
      <c r="B24" s="104"/>
      <c r="C24" s="104"/>
      <c r="D24" s="104"/>
      <c r="E24" s="104"/>
      <c r="F24" s="104"/>
      <c r="G24" s="104"/>
      <c r="H24" s="104"/>
      <c r="I24" s="104"/>
    </row>
    <row r="25" spans="2:9" s="43" customFormat="1" ht="59.5" customHeight="1" x14ac:dyDescent="0.3">
      <c r="B25" s="227" t="s">
        <v>14</v>
      </c>
      <c r="C25" s="227"/>
      <c r="D25" s="104"/>
      <c r="E25" s="104"/>
      <c r="F25" s="104"/>
      <c r="G25" s="104"/>
      <c r="H25" s="104"/>
      <c r="I25" s="104"/>
    </row>
    <row r="26" spans="2:9" s="43" customFormat="1" ht="12" customHeight="1" x14ac:dyDescent="0.3">
      <c r="B26" s="104"/>
      <c r="C26" s="104"/>
      <c r="D26" s="104"/>
      <c r="E26" s="104"/>
      <c r="F26" s="104"/>
      <c r="G26" s="104"/>
      <c r="H26" s="104"/>
      <c r="I26" s="104"/>
    </row>
    <row r="27" spans="2:9" s="43" customFormat="1" ht="15" customHeight="1" x14ac:dyDescent="0.3">
      <c r="B27" s="44" t="s">
        <v>15</v>
      </c>
      <c r="C27" s="104"/>
      <c r="D27" s="104"/>
      <c r="E27" s="104"/>
      <c r="F27" s="104"/>
      <c r="G27" s="104"/>
      <c r="H27" s="104"/>
      <c r="I27" s="104"/>
    </row>
    <row r="28" spans="2:9" s="43" customFormat="1" ht="60" customHeight="1" x14ac:dyDescent="0.3">
      <c r="B28" s="225" t="s">
        <v>16</v>
      </c>
      <c r="C28" s="225"/>
      <c r="D28" s="104"/>
      <c r="E28" s="104"/>
      <c r="F28" s="104"/>
      <c r="G28" s="104"/>
      <c r="H28" s="104"/>
      <c r="I28" s="104"/>
    </row>
    <row r="29" spans="2:9" s="43" customFormat="1" ht="64.25" customHeight="1" x14ac:dyDescent="0.3">
      <c r="B29" s="225" t="s">
        <v>17</v>
      </c>
      <c r="C29" s="225"/>
      <c r="D29" s="104"/>
      <c r="E29" s="104"/>
      <c r="F29" s="104"/>
      <c r="G29" s="104"/>
      <c r="H29" s="104"/>
      <c r="I29" s="104"/>
    </row>
    <row r="30" spans="2:9" ht="55.25" customHeight="1" x14ac:dyDescent="0.35">
      <c r="B30" s="225" t="s">
        <v>18</v>
      </c>
      <c r="C30" s="225"/>
      <c r="D30" s="104"/>
      <c r="E30" s="104"/>
      <c r="F30" s="104"/>
      <c r="G30" s="104"/>
      <c r="H30" s="104"/>
      <c r="I30" s="104"/>
    </row>
    <row r="31" spans="2:9" ht="35" customHeight="1" x14ac:dyDescent="0.35">
      <c r="B31" s="225" t="s">
        <v>19</v>
      </c>
      <c r="C31" s="225"/>
    </row>
    <row r="32" spans="2:9" ht="31.5" customHeight="1" x14ac:dyDescent="0.35">
      <c r="B32" s="225" t="s">
        <v>20</v>
      </c>
      <c r="C32" s="225"/>
    </row>
    <row r="33" spans="2:3" ht="32" customHeight="1" x14ac:dyDescent="0.35">
      <c r="B33" s="225" t="s">
        <v>21</v>
      </c>
      <c r="C33" s="225"/>
    </row>
    <row r="34" spans="2:3" ht="26" customHeight="1" x14ac:dyDescent="0.35">
      <c r="B34" s="232" t="s">
        <v>22</v>
      </c>
      <c r="C34" s="232"/>
    </row>
    <row r="35" spans="2:3" ht="30.5" customHeight="1" x14ac:dyDescent="0.35">
      <c r="B35" s="225" t="s">
        <v>23</v>
      </c>
      <c r="C35" s="225"/>
    </row>
    <row r="36" spans="2:3" ht="16.25" customHeight="1" x14ac:dyDescent="0.35">
      <c r="B36" s="225" t="s">
        <v>24</v>
      </c>
      <c r="C36" s="225"/>
    </row>
    <row r="37" spans="2:3" ht="35" customHeight="1" x14ac:dyDescent="0.35">
      <c r="B37" s="225" t="s">
        <v>25</v>
      </c>
      <c r="C37" s="225"/>
    </row>
    <row r="38" spans="2:3" ht="20" customHeight="1" x14ac:dyDescent="0.35">
      <c r="B38" s="225" t="s">
        <v>26</v>
      </c>
      <c r="C38" s="225"/>
    </row>
    <row r="39" spans="2:3" ht="20" customHeight="1" x14ac:dyDescent="0.35">
      <c r="B39" s="225" t="s">
        <v>27</v>
      </c>
      <c r="C39" s="225"/>
    </row>
    <row r="40" spans="2:3" ht="20" customHeight="1" x14ac:dyDescent="0.35">
      <c r="B40" s="225" t="s">
        <v>28</v>
      </c>
      <c r="C40" s="225"/>
    </row>
    <row r="41" spans="2:3" x14ac:dyDescent="0.35">
      <c r="B41" s="109"/>
      <c r="C41" s="104"/>
    </row>
    <row r="42" spans="2:3" ht="15" customHeight="1" x14ac:dyDescent="0.35">
      <c r="B42" s="110" t="s">
        <v>29</v>
      </c>
      <c r="C42" s="104"/>
    </row>
    <row r="43" spans="2:3" ht="35" customHeight="1" x14ac:dyDescent="0.35">
      <c r="B43" s="225" t="s">
        <v>30</v>
      </c>
      <c r="C43" s="225"/>
    </row>
    <row r="44" spans="2:3" ht="33.5" customHeight="1" x14ac:dyDescent="0.35">
      <c r="B44" s="225" t="s">
        <v>31</v>
      </c>
      <c r="C44" s="225"/>
    </row>
    <row r="45" spans="2:3" ht="20" customHeight="1" x14ac:dyDescent="0.35">
      <c r="B45" s="225" t="s">
        <v>32</v>
      </c>
      <c r="C45" s="225"/>
    </row>
    <row r="46" spans="2:3" ht="20" customHeight="1" x14ac:dyDescent="0.35">
      <c r="B46" s="225" t="s">
        <v>33</v>
      </c>
      <c r="C46" s="225"/>
    </row>
    <row r="47" spans="2:3" ht="25.25" customHeight="1" x14ac:dyDescent="0.35">
      <c r="B47" s="225" t="s">
        <v>34</v>
      </c>
      <c r="C47" s="225"/>
    </row>
    <row r="48" spans="2:3" ht="35" customHeight="1" x14ac:dyDescent="0.35">
      <c r="B48" s="225" t="s">
        <v>35</v>
      </c>
      <c r="C48" s="225"/>
    </row>
    <row r="49" spans="2:3" ht="20" customHeight="1" x14ac:dyDescent="0.35">
      <c r="B49" s="225" t="s">
        <v>36</v>
      </c>
      <c r="C49" s="225"/>
    </row>
    <row r="50" spans="2:3" ht="35" customHeight="1" x14ac:dyDescent="0.35">
      <c r="B50" s="225" t="s">
        <v>37</v>
      </c>
      <c r="C50" s="225"/>
    </row>
    <row r="51" spans="2:3" ht="20" customHeight="1" x14ac:dyDescent="0.35">
      <c r="B51" s="225" t="s">
        <v>38</v>
      </c>
      <c r="C51" s="225"/>
    </row>
    <row r="52" spans="2:3" ht="20" customHeight="1" x14ac:dyDescent="0.35">
      <c r="B52" s="225" t="s">
        <v>39</v>
      </c>
      <c r="C52" s="225"/>
    </row>
    <row r="53" spans="2:3" ht="48" customHeight="1" x14ac:dyDescent="0.35">
      <c r="B53" s="225" t="s">
        <v>40</v>
      </c>
      <c r="C53" s="225"/>
    </row>
    <row r="54" spans="2:3" ht="48" customHeight="1" x14ac:dyDescent="0.35">
      <c r="B54" s="225" t="s">
        <v>41</v>
      </c>
      <c r="C54" s="225"/>
    </row>
    <row r="55" spans="2:3" ht="35" customHeight="1" x14ac:dyDescent="0.35">
      <c r="B55" s="225" t="s">
        <v>42</v>
      </c>
      <c r="C55" s="225"/>
    </row>
    <row r="56" spans="2:3" ht="35" customHeight="1" x14ac:dyDescent="0.35">
      <c r="B56" s="226" t="s">
        <v>43</v>
      </c>
      <c r="C56" s="226"/>
    </row>
    <row r="57" spans="2:3" x14ac:dyDescent="0.35">
      <c r="B57" s="110"/>
      <c r="C57" s="104"/>
    </row>
    <row r="58" spans="2:3" ht="35" customHeight="1" x14ac:dyDescent="0.35">
      <c r="B58" s="225" t="s">
        <v>44</v>
      </c>
      <c r="C58" s="225"/>
    </row>
    <row r="59" spans="2:3" x14ac:dyDescent="0.35">
      <c r="B59" s="111"/>
    </row>
    <row r="60" spans="2:3" x14ac:dyDescent="0.35">
      <c r="B60" s="231" t="s">
        <v>45</v>
      </c>
      <c r="C60" s="231"/>
    </row>
    <row r="61" spans="2:3" x14ac:dyDescent="0.35">
      <c r="B61" s="231" t="s">
        <v>46</v>
      </c>
      <c r="C61" s="231"/>
    </row>
    <row r="62" spans="2:3" x14ac:dyDescent="0.35">
      <c r="B62" s="231" t="s">
        <v>47</v>
      </c>
      <c r="C62" s="231"/>
    </row>
    <row r="63" spans="2:3" x14ac:dyDescent="0.35">
      <c r="B63" s="231" t="s">
        <v>48</v>
      </c>
      <c r="C63" s="231"/>
    </row>
    <row r="64" spans="2:3" x14ac:dyDescent="0.35">
      <c r="B64" s="231" t="s">
        <v>49</v>
      </c>
      <c r="C64" s="231"/>
    </row>
    <row r="65" spans="2:3" x14ac:dyDescent="0.35">
      <c r="B65" s="104"/>
      <c r="C65" s="104"/>
    </row>
    <row r="66" spans="2:3" x14ac:dyDescent="0.35">
      <c r="B66" s="104"/>
      <c r="C66" s="104"/>
    </row>
  </sheetData>
  <sheetProtection selectLockedCells="1"/>
  <mergeCells count="41">
    <mergeCell ref="B28:C28"/>
    <mergeCell ref="B29:C29"/>
    <mergeCell ref="B47:C47"/>
    <mergeCell ref="B36:C36"/>
    <mergeCell ref="B37:C37"/>
    <mergeCell ref="B38:C38"/>
    <mergeCell ref="B33:C33"/>
    <mergeCell ref="B30:C30"/>
    <mergeCell ref="B31:C31"/>
    <mergeCell ref="B32:C32"/>
    <mergeCell ref="B34:C34"/>
    <mergeCell ref="B35:C35"/>
    <mergeCell ref="B64:C64"/>
    <mergeCell ref="B63:C63"/>
    <mergeCell ref="B62:C62"/>
    <mergeCell ref="B61:C61"/>
    <mergeCell ref="B60:C60"/>
    <mergeCell ref="B56:C56"/>
    <mergeCell ref="B58:C58"/>
    <mergeCell ref="B39:C39"/>
    <mergeCell ref="B49:C49"/>
    <mergeCell ref="B50:C50"/>
    <mergeCell ref="B51:C51"/>
    <mergeCell ref="B52:C52"/>
    <mergeCell ref="B53:C53"/>
    <mergeCell ref="B55:C55"/>
    <mergeCell ref="B48:C48"/>
    <mergeCell ref="B40:C40"/>
    <mergeCell ref="B54:C54"/>
    <mergeCell ref="B43:C43"/>
    <mergeCell ref="B44:C44"/>
    <mergeCell ref="B45:C45"/>
    <mergeCell ref="B46:C46"/>
    <mergeCell ref="B5:C5"/>
    <mergeCell ref="B20:C20"/>
    <mergeCell ref="B23:C23"/>
    <mergeCell ref="B18:C18"/>
    <mergeCell ref="B25:C25"/>
    <mergeCell ref="B21:C21"/>
    <mergeCell ref="B12:C12"/>
    <mergeCell ref="B16:C16"/>
  </mergeCells>
  <hyperlinks>
    <hyperlink ref="B60" r:id="rId1" display="https://oese.ed.gov/files/2019/11/Statute-for-website.pdf" xr:uid="{00000000-0004-0000-0000-000000000000}"/>
    <hyperlink ref="B61" r:id="rId2" display="https://www2.ed.gov/programs/charter/fy14cspnonregguidance.doc" xr:uid="{00000000-0004-0000-0000-000001000000}"/>
    <hyperlink ref="B62" r:id="rId3" display="https://www.whitehouse.gov/sites/whitehouse.gov/files/omb/circulars/A21/a21_2004.pdf" xr:uid="{00000000-0004-0000-0000-000002000000}"/>
    <hyperlink ref="B63" r:id="rId4" display="https://www2.ed.gov/policy/fund/guid/uniform-guidance/index.html" xr:uid="{00000000-0004-0000-0000-000003000000}"/>
    <hyperlink ref="B64" r:id="rId5" display="https://oese.ed.gov/files/2019/11/CSP-ESSA-Flexibilities-FAQ-2017.pdf" xr:uid="{00000000-0004-0000-0000-000004000000}"/>
    <hyperlink ref="B21" r:id="rId6" xr:uid="{00000000-0004-0000-0000-000005000000}"/>
  </hyperlinks>
  <pageMargins left="0.7" right="0.7" top="0.75" bottom="0.75" header="0.3" footer="0.3"/>
  <pageSetup orientation="portrait" horizontalDpi="1200" verticalDpi="1200" r:id="rId7"/>
  <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9B251"/>
    <pageSetUpPr fitToPage="1"/>
  </sheetPr>
  <dimension ref="A1:K309"/>
  <sheetViews>
    <sheetView showGridLines="0" tabSelected="1" zoomScale="85" zoomScaleNormal="85" workbookViewId="0">
      <pane ySplit="10" topLeftCell="A308" activePane="bottomLeft" state="frozen"/>
      <selection pane="bottomLeft" activeCell="A12" sqref="A12:H309"/>
    </sheetView>
  </sheetViews>
  <sheetFormatPr defaultColWidth="9.453125" defaultRowHeight="14.5" x14ac:dyDescent="0.35"/>
  <cols>
    <col min="1" max="1" width="20.453125" style="22" customWidth="1"/>
    <col min="2" max="2" width="73.453125" style="22" bestFit="1" customWidth="1"/>
    <col min="3" max="8" width="15.453125" style="22" customWidth="1"/>
    <col min="9" max="9" width="1.453125" style="22" customWidth="1"/>
    <col min="10" max="10" width="77.453125" style="22" customWidth="1"/>
    <col min="11" max="11" width="137.6328125" style="22" customWidth="1"/>
    <col min="12" max="15" width="9.453125" style="22" bestFit="1"/>
    <col min="16" max="16384" width="9.453125" style="22"/>
  </cols>
  <sheetData>
    <row r="1" spans="1:11" ht="50.75" customHeight="1" x14ac:dyDescent="0.5">
      <c r="C1" s="34"/>
    </row>
    <row r="2" spans="1:11" ht="45" customHeight="1" thickBot="1" x14ac:dyDescent="0.45">
      <c r="A2" s="57" t="s">
        <v>50</v>
      </c>
      <c r="B2" s="31" t="s">
        <v>724</v>
      </c>
    </row>
    <row r="3" spans="1:11" ht="20" customHeight="1" x14ac:dyDescent="0.35">
      <c r="A3" s="48" t="s">
        <v>51</v>
      </c>
      <c r="B3" s="56" t="s">
        <v>56</v>
      </c>
      <c r="D3" s="50" t="s">
        <v>57</v>
      </c>
      <c r="E3" s="51"/>
      <c r="F3" s="51"/>
      <c r="G3" s="51"/>
    </row>
    <row r="4" spans="1:11" ht="20" customHeight="1" x14ac:dyDescent="0.35">
      <c r="A4" s="48" t="s">
        <v>52</v>
      </c>
      <c r="B4" s="47">
        <f>H309</f>
        <v>1020288</v>
      </c>
      <c r="E4" s="49" t="s">
        <v>58</v>
      </c>
      <c r="F4" s="53"/>
      <c r="G4" s="53"/>
      <c r="H4" s="53"/>
      <c r="I4" s="53"/>
    </row>
    <row r="5" spans="1:11" ht="20" customHeight="1" thickBot="1" x14ac:dyDescent="0.4">
      <c r="A5" s="33"/>
      <c r="B5" s="32"/>
    </row>
    <row r="6" spans="1:11" s="18" customFormat="1" ht="15.75" customHeight="1" x14ac:dyDescent="0.35">
      <c r="A6" s="233" t="s">
        <v>59</v>
      </c>
      <c r="B6" s="234"/>
      <c r="C6" s="52">
        <v>45138</v>
      </c>
      <c r="D6" s="15">
        <f>C7+1</f>
        <v>45474</v>
      </c>
      <c r="E6" s="15">
        <f>D7+1</f>
        <v>45505</v>
      </c>
      <c r="F6" s="15">
        <f>E7+1</f>
        <v>45839</v>
      </c>
      <c r="G6" s="16">
        <f>IF(F7=E6+730,"N/A",F7+1)</f>
        <v>46204</v>
      </c>
      <c r="H6" s="6"/>
      <c r="I6" s="22"/>
      <c r="J6" s="17"/>
      <c r="K6" s="17"/>
    </row>
    <row r="7" spans="1:11" s="18" customFormat="1" ht="16.25" customHeight="1" x14ac:dyDescent="0.35">
      <c r="A7" s="233"/>
      <c r="B7" s="234"/>
      <c r="C7" s="55">
        <v>45473</v>
      </c>
      <c r="D7" s="54">
        <v>45504</v>
      </c>
      <c r="E7" s="55">
        <v>45838</v>
      </c>
      <c r="F7" s="55">
        <v>46203</v>
      </c>
      <c r="G7" s="19">
        <f>IF(F7=E6+730,"N/A",E6+730)</f>
        <v>46235</v>
      </c>
      <c r="H7" s="220"/>
      <c r="I7" s="22"/>
      <c r="K7" s="17"/>
    </row>
    <row r="8" spans="1:11" s="18" customFormat="1" ht="16.25" customHeight="1" x14ac:dyDescent="0.35">
      <c r="A8" s="233"/>
      <c r="B8" s="234"/>
      <c r="C8" s="5"/>
      <c r="D8" s="5"/>
      <c r="E8" s="5"/>
      <c r="F8" s="5"/>
      <c r="G8" s="19"/>
      <c r="H8" s="6"/>
      <c r="I8" s="22"/>
      <c r="K8" s="17"/>
    </row>
    <row r="9" spans="1:11" s="18" customFormat="1" ht="16" thickBot="1" x14ac:dyDescent="0.4">
      <c r="A9" s="3"/>
      <c r="B9" s="3"/>
      <c r="C9" s="26">
        <f>DATEDIF(C6,C7,"m")+1</f>
        <v>11</v>
      </c>
      <c r="D9" s="26">
        <f>DATEDIF(D6,D7,"m")+1</f>
        <v>1</v>
      </c>
      <c r="E9" s="26">
        <f>DATEDIF(E6,E7,"m")+1</f>
        <v>11</v>
      </c>
      <c r="F9" s="26">
        <f>DATEDIF(F6,F7,"m")+1</f>
        <v>12</v>
      </c>
      <c r="G9" s="26">
        <f>DATEDIF(G6,G7,"m")</f>
        <v>1</v>
      </c>
      <c r="H9" s="25"/>
      <c r="I9" s="22"/>
      <c r="J9" s="8" t="s">
        <v>60</v>
      </c>
      <c r="K9" s="17"/>
    </row>
    <row r="10" spans="1:11" s="18" customFormat="1" ht="16" thickBot="1" x14ac:dyDescent="0.4">
      <c r="A10" s="3" t="s">
        <v>61</v>
      </c>
      <c r="B10" s="3" t="s">
        <v>62</v>
      </c>
      <c r="C10" s="20" t="s">
        <v>53</v>
      </c>
      <c r="D10" s="20" t="s">
        <v>53</v>
      </c>
      <c r="E10" s="20" t="s">
        <v>54</v>
      </c>
      <c r="F10" s="20" t="s">
        <v>54</v>
      </c>
      <c r="G10" s="20" t="s">
        <v>54</v>
      </c>
      <c r="H10" s="21" t="s">
        <v>63</v>
      </c>
      <c r="I10" s="22"/>
      <c r="J10" s="4" t="s">
        <v>64</v>
      </c>
      <c r="K10" s="21" t="s">
        <v>65</v>
      </c>
    </row>
    <row r="11" spans="1:11" s="18" customFormat="1" ht="16" thickBot="1" x14ac:dyDescent="0.4">
      <c r="A11" s="13"/>
      <c r="B11" s="10" t="s">
        <v>66</v>
      </c>
      <c r="C11" s="20" t="s">
        <v>67</v>
      </c>
      <c r="D11" s="20" t="s">
        <v>67</v>
      </c>
      <c r="E11" s="20" t="s">
        <v>67</v>
      </c>
      <c r="F11" s="20" t="s">
        <v>67</v>
      </c>
      <c r="G11" s="20" t="s">
        <v>67</v>
      </c>
      <c r="H11" s="7"/>
      <c r="I11" s="22"/>
      <c r="J11" s="4" t="s">
        <v>68</v>
      </c>
      <c r="K11" s="17"/>
    </row>
    <row r="12" spans="1:11" s="18" customFormat="1" ht="46.5" x14ac:dyDescent="0.35">
      <c r="A12" s="14" t="s">
        <v>69</v>
      </c>
      <c r="B12" s="14" t="s">
        <v>70</v>
      </c>
      <c r="C12" s="112">
        <f>(50000/12)*2*12</f>
        <v>100000</v>
      </c>
      <c r="D12" s="112">
        <f>(50000/12)*1*12</f>
        <v>50000</v>
      </c>
      <c r="E12" s="112"/>
      <c r="F12" s="112"/>
      <c r="G12" s="112"/>
      <c r="H12" s="113">
        <f t="shared" ref="H12:H43" si="0">SUM(C12:G12)</f>
        <v>150000</v>
      </c>
      <c r="I12" s="22"/>
      <c r="J12" s="259" t="s">
        <v>734</v>
      </c>
      <c r="K12" s="1" t="s">
        <v>71</v>
      </c>
    </row>
    <row r="13" spans="1:11" s="18" customFormat="1" ht="15.5" x14ac:dyDescent="0.35">
      <c r="A13" s="14" t="s">
        <v>72</v>
      </c>
      <c r="B13" s="14" t="s">
        <v>73</v>
      </c>
      <c r="C13" s="112">
        <f>C12*0.15%</f>
        <v>150</v>
      </c>
      <c r="D13" s="112">
        <f>D12*0.15%</f>
        <v>75</v>
      </c>
      <c r="E13" s="112"/>
      <c r="F13" s="112"/>
      <c r="G13" s="112"/>
      <c r="H13" s="113">
        <f t="shared" si="0"/>
        <v>225</v>
      </c>
      <c r="I13" s="22"/>
      <c r="J13" s="259" t="s">
        <v>730</v>
      </c>
      <c r="K13" s="1" t="s">
        <v>74</v>
      </c>
    </row>
    <row r="14" spans="1:11" s="18" customFormat="1" ht="15.5" x14ac:dyDescent="0.35">
      <c r="A14" s="14" t="s">
        <v>75</v>
      </c>
      <c r="B14" s="14" t="s">
        <v>76</v>
      </c>
      <c r="C14" s="112">
        <f>C12*1.45%</f>
        <v>1450</v>
      </c>
      <c r="D14" s="112">
        <f>D12*1.45%</f>
        <v>725</v>
      </c>
      <c r="E14" s="112"/>
      <c r="F14" s="112"/>
      <c r="G14" s="112"/>
      <c r="H14" s="113">
        <f t="shared" si="0"/>
        <v>2175</v>
      </c>
      <c r="I14" s="22"/>
      <c r="J14" s="259" t="s">
        <v>728</v>
      </c>
      <c r="K14" s="1" t="s">
        <v>77</v>
      </c>
    </row>
    <row r="15" spans="1:11" s="18" customFormat="1" ht="15.5" x14ac:dyDescent="0.35">
      <c r="A15" s="14" t="s">
        <v>78</v>
      </c>
      <c r="B15" s="14" t="s">
        <v>79</v>
      </c>
      <c r="C15" s="112">
        <f>C12*17.5%</f>
        <v>17500</v>
      </c>
      <c r="D15" s="112">
        <f>D12*17.5%</f>
        <v>8750</v>
      </c>
      <c r="E15" s="112"/>
      <c r="F15" s="112"/>
      <c r="G15" s="112"/>
      <c r="H15" s="113">
        <f t="shared" si="0"/>
        <v>26250</v>
      </c>
      <c r="I15" s="22"/>
      <c r="J15" s="259" t="s">
        <v>729</v>
      </c>
      <c r="K15" s="1" t="s">
        <v>80</v>
      </c>
    </row>
    <row r="16" spans="1:11" s="18" customFormat="1" ht="15.5" x14ac:dyDescent="0.35">
      <c r="A16" s="14" t="s">
        <v>81</v>
      </c>
      <c r="B16" s="14" t="s">
        <v>82</v>
      </c>
      <c r="C16" s="112"/>
      <c r="D16" s="112"/>
      <c r="E16" s="112"/>
      <c r="F16" s="112"/>
      <c r="G16" s="112"/>
      <c r="H16" s="113">
        <f t="shared" si="0"/>
        <v>0</v>
      </c>
      <c r="I16" s="22"/>
      <c r="J16" s="260"/>
      <c r="K16" s="1" t="s">
        <v>83</v>
      </c>
    </row>
    <row r="17" spans="1:11" s="18" customFormat="1" ht="15.5" x14ac:dyDescent="0.35">
      <c r="A17" s="14" t="s">
        <v>84</v>
      </c>
      <c r="B17" s="14" t="s">
        <v>85</v>
      </c>
      <c r="C17" s="112">
        <f>1098/12*2*12</f>
        <v>2196</v>
      </c>
      <c r="D17" s="112">
        <f>1098/12*1*12</f>
        <v>1098</v>
      </c>
      <c r="E17" s="112"/>
      <c r="F17" s="112"/>
      <c r="G17" s="112"/>
      <c r="H17" s="113">
        <f t="shared" si="0"/>
        <v>3294</v>
      </c>
      <c r="I17" s="22"/>
      <c r="J17" s="259" t="s">
        <v>732</v>
      </c>
      <c r="K17" s="1" t="s">
        <v>86</v>
      </c>
    </row>
    <row r="18" spans="1:11" s="18" customFormat="1" ht="15.5" x14ac:dyDescent="0.35">
      <c r="A18" s="14" t="s">
        <v>87</v>
      </c>
      <c r="B18" s="14" t="s">
        <v>88</v>
      </c>
      <c r="C18" s="112">
        <f>319/12*2*12</f>
        <v>638</v>
      </c>
      <c r="D18" s="112">
        <f>319/12*1*12</f>
        <v>319</v>
      </c>
      <c r="E18" s="112"/>
      <c r="F18" s="112"/>
      <c r="G18" s="112"/>
      <c r="H18" s="113">
        <f t="shared" si="0"/>
        <v>957</v>
      </c>
      <c r="I18" s="22"/>
      <c r="J18" s="259" t="s">
        <v>731</v>
      </c>
      <c r="K18" s="1" t="s">
        <v>89</v>
      </c>
    </row>
    <row r="19" spans="1:11" s="18" customFormat="1" ht="15.5" x14ac:dyDescent="0.35">
      <c r="A19" s="14" t="s">
        <v>90</v>
      </c>
      <c r="B19" s="14" t="s">
        <v>91</v>
      </c>
      <c r="C19" s="112">
        <f>8000/12*2*12</f>
        <v>16000</v>
      </c>
      <c r="D19" s="112">
        <f>8000/12*1*12</f>
        <v>8000</v>
      </c>
      <c r="E19" s="112"/>
      <c r="F19" s="112"/>
      <c r="G19" s="112"/>
      <c r="H19" s="113">
        <f t="shared" si="0"/>
        <v>24000</v>
      </c>
      <c r="I19" s="22"/>
      <c r="J19" s="259" t="s">
        <v>727</v>
      </c>
      <c r="K19" s="1" t="s">
        <v>92</v>
      </c>
    </row>
    <row r="20" spans="1:11" s="18" customFormat="1" ht="15.5" x14ac:dyDescent="0.35">
      <c r="A20" s="14" t="s">
        <v>93</v>
      </c>
      <c r="B20" s="14" t="s">
        <v>94</v>
      </c>
      <c r="C20" s="112"/>
      <c r="D20" s="112"/>
      <c r="E20" s="112"/>
      <c r="F20" s="112"/>
      <c r="G20" s="112"/>
      <c r="H20" s="113">
        <f t="shared" si="0"/>
        <v>0</v>
      </c>
      <c r="I20" s="22"/>
      <c r="J20" s="260"/>
      <c r="K20" s="1" t="s">
        <v>95</v>
      </c>
    </row>
    <row r="21" spans="1:11" s="18" customFormat="1" ht="31" x14ac:dyDescent="0.35">
      <c r="A21" s="14" t="s">
        <v>96</v>
      </c>
      <c r="B21" s="14" t="s">
        <v>97</v>
      </c>
      <c r="C21" s="112">
        <f>(25000/12)*2*2</f>
        <v>8333.3333333333339</v>
      </c>
      <c r="D21" s="112">
        <f>(25000/12)*1*2</f>
        <v>4166.666666666667</v>
      </c>
      <c r="E21" s="112"/>
      <c r="F21" s="112"/>
      <c r="G21" s="112"/>
      <c r="H21" s="113">
        <f t="shared" si="0"/>
        <v>12500</v>
      </c>
      <c r="I21" s="22"/>
      <c r="J21" s="259" t="s">
        <v>735</v>
      </c>
      <c r="K21" s="1" t="s">
        <v>98</v>
      </c>
    </row>
    <row r="22" spans="1:11" s="18" customFormat="1" ht="15.5" x14ac:dyDescent="0.35">
      <c r="A22" s="14" t="s">
        <v>99</v>
      </c>
      <c r="B22" s="14" t="s">
        <v>100</v>
      </c>
      <c r="C22" s="112">
        <f>C21*0.15%</f>
        <v>12.500000000000002</v>
      </c>
      <c r="D22" s="112">
        <f>D21*0.15%</f>
        <v>6.2500000000000009</v>
      </c>
      <c r="E22" s="112"/>
      <c r="F22" s="112"/>
      <c r="G22" s="112"/>
      <c r="H22" s="113">
        <f t="shared" si="0"/>
        <v>18.750000000000004</v>
      </c>
      <c r="I22" s="22"/>
      <c r="J22" s="259" t="s">
        <v>730</v>
      </c>
      <c r="K22" s="1" t="s">
        <v>101</v>
      </c>
    </row>
    <row r="23" spans="1:11" s="18" customFormat="1" ht="15.5" x14ac:dyDescent="0.35">
      <c r="A23" s="14" t="s">
        <v>102</v>
      </c>
      <c r="B23" s="14" t="s">
        <v>103</v>
      </c>
      <c r="C23" s="112">
        <f>C21*1.45%</f>
        <v>120.83333333333333</v>
      </c>
      <c r="D23" s="112">
        <f>D21*1.45%</f>
        <v>60.416666666666664</v>
      </c>
      <c r="E23" s="112"/>
      <c r="F23" s="112"/>
      <c r="G23" s="112"/>
      <c r="H23" s="113">
        <f t="shared" si="0"/>
        <v>181.25</v>
      </c>
      <c r="I23" s="22"/>
      <c r="J23" s="259" t="s">
        <v>728</v>
      </c>
      <c r="K23" s="1" t="s">
        <v>104</v>
      </c>
    </row>
    <row r="24" spans="1:11" s="18" customFormat="1" ht="15.5" x14ac:dyDescent="0.35">
      <c r="A24" s="14" t="s">
        <v>105</v>
      </c>
      <c r="B24" s="14" t="s">
        <v>106</v>
      </c>
      <c r="C24" s="112">
        <f>C21*17.5%</f>
        <v>1458.3333333333333</v>
      </c>
      <c r="D24" s="112">
        <f>D21*17.5%</f>
        <v>729.16666666666663</v>
      </c>
      <c r="E24" s="112"/>
      <c r="F24" s="112"/>
      <c r="G24" s="112"/>
      <c r="H24" s="113">
        <f t="shared" si="0"/>
        <v>2187.5</v>
      </c>
      <c r="I24" s="22"/>
      <c r="J24" s="259" t="s">
        <v>729</v>
      </c>
      <c r="K24" s="1" t="s">
        <v>107</v>
      </c>
    </row>
    <row r="25" spans="1:11" s="18" customFormat="1" ht="15.5" x14ac:dyDescent="0.35">
      <c r="A25" s="14" t="s">
        <v>108</v>
      </c>
      <c r="B25" s="14" t="s">
        <v>109</v>
      </c>
      <c r="C25" s="112"/>
      <c r="D25" s="112"/>
      <c r="E25" s="112"/>
      <c r="F25" s="112"/>
      <c r="G25" s="112"/>
      <c r="H25" s="113">
        <f t="shared" si="0"/>
        <v>0</v>
      </c>
      <c r="I25" s="22"/>
      <c r="J25" s="260"/>
      <c r="K25" s="1" t="s">
        <v>110</v>
      </c>
    </row>
    <row r="26" spans="1:11" s="18" customFormat="1" ht="15.5" x14ac:dyDescent="0.35">
      <c r="A26" s="14" t="s">
        <v>111</v>
      </c>
      <c r="B26" s="14" t="s">
        <v>112</v>
      </c>
      <c r="C26" s="112">
        <f>1098/12*2*2</f>
        <v>366</v>
      </c>
      <c r="D26" s="112">
        <f>1098/12*1*2</f>
        <v>183</v>
      </c>
      <c r="E26" s="112"/>
      <c r="F26" s="112"/>
      <c r="G26" s="112"/>
      <c r="H26" s="113">
        <f t="shared" si="0"/>
        <v>549</v>
      </c>
      <c r="I26" s="22"/>
      <c r="J26" s="259" t="s">
        <v>732</v>
      </c>
      <c r="K26" s="1" t="s">
        <v>113</v>
      </c>
    </row>
    <row r="27" spans="1:11" s="18" customFormat="1" ht="15.5" x14ac:dyDescent="0.35">
      <c r="A27" s="14" t="s">
        <v>114</v>
      </c>
      <c r="B27" s="14" t="s">
        <v>115</v>
      </c>
      <c r="C27" s="112">
        <f>319/12*2*2</f>
        <v>106.33333333333333</v>
      </c>
      <c r="D27" s="112">
        <f>319/12*1*2</f>
        <v>53.166666666666664</v>
      </c>
      <c r="E27" s="112"/>
      <c r="F27" s="112"/>
      <c r="G27" s="112"/>
      <c r="H27" s="113">
        <f t="shared" si="0"/>
        <v>159.5</v>
      </c>
      <c r="I27" s="22"/>
      <c r="J27" s="259" t="s">
        <v>731</v>
      </c>
      <c r="K27" s="1" t="s">
        <v>116</v>
      </c>
    </row>
    <row r="28" spans="1:11" s="18" customFormat="1" ht="15.5" x14ac:dyDescent="0.35">
      <c r="A28" s="14" t="s">
        <v>117</v>
      </c>
      <c r="B28" s="14" t="s">
        <v>118</v>
      </c>
      <c r="C28" s="112">
        <f>8000/12*2*2</f>
        <v>2666.6666666666665</v>
      </c>
      <c r="D28" s="112">
        <f>8000/12*1*2</f>
        <v>1333.3333333333333</v>
      </c>
      <c r="E28" s="112"/>
      <c r="F28" s="112"/>
      <c r="G28" s="112"/>
      <c r="H28" s="113">
        <f t="shared" si="0"/>
        <v>4000</v>
      </c>
      <c r="I28" s="22"/>
      <c r="J28" s="259" t="s">
        <v>727</v>
      </c>
      <c r="K28" s="1" t="s">
        <v>119</v>
      </c>
    </row>
    <row r="29" spans="1:11" s="18" customFormat="1" ht="15.5" x14ac:dyDescent="0.35">
      <c r="A29" s="14" t="s">
        <v>120</v>
      </c>
      <c r="B29" s="14" t="s">
        <v>121</v>
      </c>
      <c r="C29" s="112"/>
      <c r="D29" s="112"/>
      <c r="E29" s="112"/>
      <c r="F29" s="112"/>
      <c r="G29" s="112"/>
      <c r="H29" s="113">
        <f t="shared" si="0"/>
        <v>0</v>
      </c>
      <c r="I29" s="22"/>
      <c r="J29" s="260"/>
      <c r="K29" s="1" t="s">
        <v>122</v>
      </c>
    </row>
    <row r="30" spans="1:11" s="18" customFormat="1" ht="15.5" x14ac:dyDescent="0.35">
      <c r="A30" s="14" t="s">
        <v>69</v>
      </c>
      <c r="B30" s="14" t="s">
        <v>123</v>
      </c>
      <c r="C30" s="112"/>
      <c r="D30" s="112"/>
      <c r="E30" s="112"/>
      <c r="F30" s="112"/>
      <c r="G30" s="112"/>
      <c r="H30" s="113">
        <f t="shared" si="0"/>
        <v>0</v>
      </c>
      <c r="I30" s="22"/>
      <c r="J30" s="260"/>
      <c r="K30" s="1" t="s">
        <v>124</v>
      </c>
    </row>
    <row r="31" spans="1:11" s="18" customFormat="1" ht="15.5" x14ac:dyDescent="0.35">
      <c r="A31" s="14" t="s">
        <v>72</v>
      </c>
      <c r="B31" s="14" t="s">
        <v>125</v>
      </c>
      <c r="C31" s="112"/>
      <c r="D31" s="112"/>
      <c r="E31" s="112"/>
      <c r="F31" s="112"/>
      <c r="G31" s="112"/>
      <c r="H31" s="113">
        <f t="shared" si="0"/>
        <v>0</v>
      </c>
      <c r="I31" s="22"/>
      <c r="J31" s="260"/>
      <c r="K31" s="1" t="s">
        <v>126</v>
      </c>
    </row>
    <row r="32" spans="1:11" s="18" customFormat="1" ht="15.5" x14ac:dyDescent="0.35">
      <c r="A32" s="14" t="s">
        <v>75</v>
      </c>
      <c r="B32" s="14" t="s">
        <v>127</v>
      </c>
      <c r="C32" s="112"/>
      <c r="D32" s="112"/>
      <c r="E32" s="112"/>
      <c r="F32" s="112"/>
      <c r="G32" s="112"/>
      <c r="H32" s="113">
        <f t="shared" si="0"/>
        <v>0</v>
      </c>
      <c r="I32" s="22"/>
      <c r="J32" s="260"/>
      <c r="K32" s="1" t="s">
        <v>128</v>
      </c>
    </row>
    <row r="33" spans="1:11" s="18" customFormat="1" ht="15.5" x14ac:dyDescent="0.35">
      <c r="A33" s="14" t="s">
        <v>78</v>
      </c>
      <c r="B33" s="14" t="s">
        <v>129</v>
      </c>
      <c r="C33" s="112"/>
      <c r="D33" s="112"/>
      <c r="E33" s="112"/>
      <c r="F33" s="112"/>
      <c r="G33" s="112"/>
      <c r="H33" s="113">
        <f t="shared" si="0"/>
        <v>0</v>
      </c>
      <c r="I33" s="22"/>
      <c r="J33" s="260"/>
      <c r="K33" s="1" t="s">
        <v>130</v>
      </c>
    </row>
    <row r="34" spans="1:11" s="18" customFormat="1" ht="15.5" x14ac:dyDescent="0.35">
      <c r="A34" s="14" t="s">
        <v>81</v>
      </c>
      <c r="B34" s="14" t="s">
        <v>131</v>
      </c>
      <c r="C34" s="112"/>
      <c r="D34" s="112"/>
      <c r="E34" s="112"/>
      <c r="F34" s="112"/>
      <c r="G34" s="112"/>
      <c r="H34" s="113">
        <f t="shared" si="0"/>
        <v>0</v>
      </c>
      <c r="I34" s="22"/>
      <c r="J34" s="260"/>
      <c r="K34" s="1" t="s">
        <v>132</v>
      </c>
    </row>
    <row r="35" spans="1:11" s="18" customFormat="1" ht="15.5" x14ac:dyDescent="0.35">
      <c r="A35" s="14" t="s">
        <v>84</v>
      </c>
      <c r="B35" s="14" t="s">
        <v>133</v>
      </c>
      <c r="C35" s="112"/>
      <c r="D35" s="112"/>
      <c r="E35" s="112"/>
      <c r="F35" s="112"/>
      <c r="G35" s="112"/>
      <c r="H35" s="113">
        <f t="shared" si="0"/>
        <v>0</v>
      </c>
      <c r="I35" s="22"/>
      <c r="J35" s="260"/>
      <c r="K35" s="1" t="s">
        <v>134</v>
      </c>
    </row>
    <row r="36" spans="1:11" s="18" customFormat="1" ht="15.5" x14ac:dyDescent="0.35">
      <c r="A36" s="14" t="s">
        <v>87</v>
      </c>
      <c r="B36" s="14" t="s">
        <v>135</v>
      </c>
      <c r="C36" s="112"/>
      <c r="D36" s="112"/>
      <c r="E36" s="112"/>
      <c r="F36" s="112"/>
      <c r="G36" s="112"/>
      <c r="H36" s="113">
        <f t="shared" si="0"/>
        <v>0</v>
      </c>
      <c r="I36" s="22"/>
      <c r="J36" s="260"/>
      <c r="K36" s="1" t="s">
        <v>136</v>
      </c>
    </row>
    <row r="37" spans="1:11" s="18" customFormat="1" ht="15.5" x14ac:dyDescent="0.35">
      <c r="A37" s="14" t="s">
        <v>90</v>
      </c>
      <c r="B37" s="14" t="s">
        <v>137</v>
      </c>
      <c r="C37" s="112"/>
      <c r="D37" s="112"/>
      <c r="E37" s="112"/>
      <c r="F37" s="112"/>
      <c r="G37" s="112"/>
      <c r="H37" s="113">
        <f t="shared" si="0"/>
        <v>0</v>
      </c>
      <c r="I37" s="22"/>
      <c r="J37" s="260"/>
      <c r="K37" s="1" t="s">
        <v>138</v>
      </c>
    </row>
    <row r="38" spans="1:11" s="18" customFormat="1" ht="15.5" x14ac:dyDescent="0.35">
      <c r="A38" s="14" t="s">
        <v>93</v>
      </c>
      <c r="B38" s="14" t="s">
        <v>139</v>
      </c>
      <c r="C38" s="112"/>
      <c r="D38" s="112"/>
      <c r="E38" s="112"/>
      <c r="F38" s="112"/>
      <c r="G38" s="112"/>
      <c r="H38" s="113">
        <f t="shared" si="0"/>
        <v>0</v>
      </c>
      <c r="I38" s="22"/>
      <c r="J38" s="260"/>
      <c r="K38" s="1" t="s">
        <v>140</v>
      </c>
    </row>
    <row r="39" spans="1:11" s="18" customFormat="1" ht="15.5" x14ac:dyDescent="0.35">
      <c r="A39" s="14" t="s">
        <v>96</v>
      </c>
      <c r="B39" s="14" t="s">
        <v>141</v>
      </c>
      <c r="C39" s="112"/>
      <c r="D39" s="112"/>
      <c r="E39" s="112"/>
      <c r="F39" s="112"/>
      <c r="G39" s="112"/>
      <c r="H39" s="113">
        <f t="shared" si="0"/>
        <v>0</v>
      </c>
      <c r="I39" s="22"/>
      <c r="J39" s="260"/>
      <c r="K39" s="1" t="s">
        <v>142</v>
      </c>
    </row>
    <row r="40" spans="1:11" s="18" customFormat="1" ht="15.5" x14ac:dyDescent="0.35">
      <c r="A40" s="14" t="s">
        <v>99</v>
      </c>
      <c r="B40" s="14" t="s">
        <v>143</v>
      </c>
      <c r="C40" s="112"/>
      <c r="D40" s="112"/>
      <c r="E40" s="112"/>
      <c r="F40" s="112"/>
      <c r="G40" s="112"/>
      <c r="H40" s="113">
        <f t="shared" si="0"/>
        <v>0</v>
      </c>
      <c r="I40" s="22"/>
      <c r="J40" s="260"/>
      <c r="K40" s="1" t="s">
        <v>144</v>
      </c>
    </row>
    <row r="41" spans="1:11" s="18" customFormat="1" ht="15.5" x14ac:dyDescent="0.35">
      <c r="A41" s="14" t="s">
        <v>102</v>
      </c>
      <c r="B41" s="14" t="s">
        <v>145</v>
      </c>
      <c r="C41" s="112"/>
      <c r="D41" s="112"/>
      <c r="E41" s="112"/>
      <c r="F41" s="112"/>
      <c r="G41" s="112"/>
      <c r="H41" s="113">
        <f t="shared" si="0"/>
        <v>0</v>
      </c>
      <c r="I41" s="22"/>
      <c r="J41" s="260"/>
      <c r="K41" s="1" t="s">
        <v>146</v>
      </c>
    </row>
    <row r="42" spans="1:11" s="18" customFormat="1" ht="15.5" x14ac:dyDescent="0.35">
      <c r="A42" s="14" t="s">
        <v>105</v>
      </c>
      <c r="B42" s="14" t="s">
        <v>147</v>
      </c>
      <c r="C42" s="112"/>
      <c r="D42" s="112"/>
      <c r="E42" s="112"/>
      <c r="F42" s="112"/>
      <c r="G42" s="112"/>
      <c r="H42" s="113">
        <f t="shared" si="0"/>
        <v>0</v>
      </c>
      <c r="I42" s="22"/>
      <c r="J42" s="260"/>
      <c r="K42" s="1" t="s">
        <v>148</v>
      </c>
    </row>
    <row r="43" spans="1:11" s="18" customFormat="1" ht="15.5" x14ac:dyDescent="0.35">
      <c r="A43" s="14" t="s">
        <v>108</v>
      </c>
      <c r="B43" s="14" t="s">
        <v>149</v>
      </c>
      <c r="C43" s="112"/>
      <c r="D43" s="112"/>
      <c r="E43" s="112"/>
      <c r="F43" s="112"/>
      <c r="G43" s="112"/>
      <c r="H43" s="113">
        <f t="shared" si="0"/>
        <v>0</v>
      </c>
      <c r="I43" s="22"/>
      <c r="J43" s="260"/>
      <c r="K43" s="1" t="s">
        <v>150</v>
      </c>
    </row>
    <row r="44" spans="1:11" s="18" customFormat="1" ht="15.5" x14ac:dyDescent="0.35">
      <c r="A44" s="14" t="s">
        <v>111</v>
      </c>
      <c r="B44" s="14" t="s">
        <v>151</v>
      </c>
      <c r="C44" s="112"/>
      <c r="D44" s="112"/>
      <c r="E44" s="112"/>
      <c r="F44" s="112"/>
      <c r="G44" s="112"/>
      <c r="H44" s="113">
        <f t="shared" ref="H44:H75" si="1">SUM(C44:G44)</f>
        <v>0</v>
      </c>
      <c r="I44" s="22"/>
      <c r="J44" s="260"/>
      <c r="K44" s="1" t="s">
        <v>152</v>
      </c>
    </row>
    <row r="45" spans="1:11" s="18" customFormat="1" ht="15.5" x14ac:dyDescent="0.35">
      <c r="A45" s="14" t="s">
        <v>114</v>
      </c>
      <c r="B45" s="14" t="s">
        <v>153</v>
      </c>
      <c r="C45" s="112"/>
      <c r="D45" s="112"/>
      <c r="E45" s="112"/>
      <c r="F45" s="112"/>
      <c r="G45" s="112"/>
      <c r="H45" s="113">
        <f t="shared" si="1"/>
        <v>0</v>
      </c>
      <c r="I45" s="22"/>
      <c r="J45" s="260"/>
      <c r="K45" s="1" t="s">
        <v>154</v>
      </c>
    </row>
    <row r="46" spans="1:11" s="18" customFormat="1" ht="15.5" x14ac:dyDescent="0.35">
      <c r="A46" s="14" t="s">
        <v>117</v>
      </c>
      <c r="B46" s="14" t="s">
        <v>155</v>
      </c>
      <c r="C46" s="112"/>
      <c r="D46" s="112"/>
      <c r="E46" s="112"/>
      <c r="F46" s="112"/>
      <c r="G46" s="112"/>
      <c r="H46" s="113">
        <f t="shared" si="1"/>
        <v>0</v>
      </c>
      <c r="I46" s="22"/>
      <c r="J46" s="260"/>
      <c r="K46" s="1" t="s">
        <v>156</v>
      </c>
    </row>
    <row r="47" spans="1:11" s="18" customFormat="1" ht="15.5" x14ac:dyDescent="0.35">
      <c r="A47" s="14" t="s">
        <v>120</v>
      </c>
      <c r="B47" s="14" t="s">
        <v>157</v>
      </c>
      <c r="C47" s="112"/>
      <c r="D47" s="112"/>
      <c r="E47" s="112"/>
      <c r="F47" s="112"/>
      <c r="G47" s="112"/>
      <c r="H47" s="113">
        <f t="shared" si="1"/>
        <v>0</v>
      </c>
      <c r="I47" s="22"/>
      <c r="J47" s="260"/>
      <c r="K47" s="1" t="s">
        <v>158</v>
      </c>
    </row>
    <row r="48" spans="1:11" s="18" customFormat="1" ht="31" x14ac:dyDescent="0.35">
      <c r="A48" s="14" t="s">
        <v>159</v>
      </c>
      <c r="B48" s="14" t="s">
        <v>160</v>
      </c>
      <c r="C48" s="112">
        <f>(45000/12)*2</f>
        <v>7500</v>
      </c>
      <c r="D48" s="112">
        <f>(45000/12)*1</f>
        <v>3750</v>
      </c>
      <c r="E48" s="112"/>
      <c r="F48" s="112"/>
      <c r="G48" s="112"/>
      <c r="H48" s="113">
        <f t="shared" si="1"/>
        <v>11250</v>
      </c>
      <c r="I48" s="22"/>
      <c r="J48" s="259" t="s">
        <v>733</v>
      </c>
      <c r="K48" s="1" t="s">
        <v>161</v>
      </c>
    </row>
    <row r="49" spans="1:11" s="18" customFormat="1" ht="15.5" x14ac:dyDescent="0.35">
      <c r="A49" s="14" t="s">
        <v>162</v>
      </c>
      <c r="B49" s="14" t="s">
        <v>163</v>
      </c>
      <c r="C49" s="112">
        <f>C48*0.15%</f>
        <v>11.25</v>
      </c>
      <c r="D49" s="112">
        <f>D48*0.15%</f>
        <v>5.625</v>
      </c>
      <c r="E49" s="112"/>
      <c r="F49" s="112"/>
      <c r="G49" s="112"/>
      <c r="H49" s="113">
        <f t="shared" si="1"/>
        <v>16.875</v>
      </c>
      <c r="I49" s="22"/>
      <c r="J49" s="259" t="s">
        <v>730</v>
      </c>
      <c r="K49" s="1" t="s">
        <v>164</v>
      </c>
    </row>
    <row r="50" spans="1:11" s="18" customFormat="1" ht="15.5" x14ac:dyDescent="0.35">
      <c r="A50" s="14" t="s">
        <v>165</v>
      </c>
      <c r="B50" s="14" t="s">
        <v>166</v>
      </c>
      <c r="C50" s="112">
        <f>C48*1.45%</f>
        <v>108.74999999999999</v>
      </c>
      <c r="D50" s="112">
        <f>D48*1.45%</f>
        <v>54.374999999999993</v>
      </c>
      <c r="E50" s="112"/>
      <c r="F50" s="112"/>
      <c r="G50" s="112"/>
      <c r="H50" s="113">
        <f t="shared" si="1"/>
        <v>163.12499999999997</v>
      </c>
      <c r="I50" s="22"/>
      <c r="J50" s="259" t="s">
        <v>728</v>
      </c>
      <c r="K50" s="1" t="s">
        <v>167</v>
      </c>
    </row>
    <row r="51" spans="1:11" s="18" customFormat="1" ht="15.5" x14ac:dyDescent="0.35">
      <c r="A51" s="14" t="s">
        <v>168</v>
      </c>
      <c r="B51" s="14" t="s">
        <v>169</v>
      </c>
      <c r="C51" s="112">
        <f>C48*17.5%</f>
        <v>1312.5</v>
      </c>
      <c r="D51" s="112">
        <f>D48*17.5%</f>
        <v>656.25</v>
      </c>
      <c r="E51" s="112"/>
      <c r="F51" s="112"/>
      <c r="G51" s="112"/>
      <c r="H51" s="113">
        <f t="shared" si="1"/>
        <v>1968.75</v>
      </c>
      <c r="I51" s="22"/>
      <c r="J51" s="259" t="s">
        <v>729</v>
      </c>
      <c r="K51" s="1" t="s">
        <v>170</v>
      </c>
    </row>
    <row r="52" spans="1:11" s="18" customFormat="1" ht="15.5" x14ac:dyDescent="0.35">
      <c r="A52" s="14" t="s">
        <v>171</v>
      </c>
      <c r="B52" s="14" t="s">
        <v>172</v>
      </c>
      <c r="C52" s="112"/>
      <c r="D52" s="112"/>
      <c r="E52" s="112"/>
      <c r="F52" s="112"/>
      <c r="G52" s="112"/>
      <c r="H52" s="113">
        <f t="shared" si="1"/>
        <v>0</v>
      </c>
      <c r="I52" s="22"/>
      <c r="J52" s="260"/>
      <c r="K52" s="1" t="s">
        <v>173</v>
      </c>
    </row>
    <row r="53" spans="1:11" s="18" customFormat="1" ht="15.5" x14ac:dyDescent="0.35">
      <c r="A53" s="14" t="s">
        <v>174</v>
      </c>
      <c r="B53" s="14" t="s">
        <v>175</v>
      </c>
      <c r="C53" s="112">
        <f>1098/12*2</f>
        <v>183</v>
      </c>
      <c r="D53" s="112">
        <f>1098/12*1</f>
        <v>91.5</v>
      </c>
      <c r="E53" s="112"/>
      <c r="F53" s="112"/>
      <c r="G53" s="112"/>
      <c r="H53" s="113">
        <f t="shared" si="1"/>
        <v>274.5</v>
      </c>
      <c r="I53" s="22"/>
      <c r="J53" s="259" t="s">
        <v>732</v>
      </c>
      <c r="K53" s="1" t="s">
        <v>176</v>
      </c>
    </row>
    <row r="54" spans="1:11" s="18" customFormat="1" ht="15.5" x14ac:dyDescent="0.35">
      <c r="A54" s="14" t="s">
        <v>177</v>
      </c>
      <c r="B54" s="14" t="s">
        <v>178</v>
      </c>
      <c r="C54" s="112">
        <f>319/12*2</f>
        <v>53.166666666666664</v>
      </c>
      <c r="D54" s="112">
        <f>319/12*1</f>
        <v>26.583333333333332</v>
      </c>
      <c r="E54" s="112"/>
      <c r="F54" s="112"/>
      <c r="G54" s="112"/>
      <c r="H54" s="113">
        <f t="shared" si="1"/>
        <v>79.75</v>
      </c>
      <c r="I54" s="22"/>
      <c r="J54" s="259" t="s">
        <v>731</v>
      </c>
      <c r="K54" s="1" t="s">
        <v>179</v>
      </c>
    </row>
    <row r="55" spans="1:11" s="18" customFormat="1" ht="15.5" x14ac:dyDescent="0.35">
      <c r="A55" s="14" t="s">
        <v>180</v>
      </c>
      <c r="B55" s="14" t="s">
        <v>181</v>
      </c>
      <c r="C55" s="112">
        <f>8000/12*2</f>
        <v>1333.3333333333333</v>
      </c>
      <c r="D55" s="112">
        <f>8000/12*1</f>
        <v>666.66666666666663</v>
      </c>
      <c r="E55" s="112"/>
      <c r="F55" s="112"/>
      <c r="G55" s="112"/>
      <c r="H55" s="113">
        <f t="shared" si="1"/>
        <v>2000</v>
      </c>
      <c r="I55" s="22"/>
      <c r="J55" s="259" t="s">
        <v>727</v>
      </c>
      <c r="K55" s="1" t="s">
        <v>182</v>
      </c>
    </row>
    <row r="56" spans="1:11" s="18" customFormat="1" ht="15.5" x14ac:dyDescent="0.35">
      <c r="A56" s="14" t="s">
        <v>183</v>
      </c>
      <c r="B56" s="14" t="s">
        <v>184</v>
      </c>
      <c r="C56" s="112"/>
      <c r="D56" s="112"/>
      <c r="E56" s="112"/>
      <c r="F56" s="112"/>
      <c r="G56" s="112"/>
      <c r="H56" s="113">
        <f t="shared" si="1"/>
        <v>0</v>
      </c>
      <c r="I56" s="22"/>
      <c r="J56" s="261"/>
      <c r="K56" s="1" t="s">
        <v>185</v>
      </c>
    </row>
    <row r="57" spans="1:11" s="18" customFormat="1" ht="15.5" x14ac:dyDescent="0.35">
      <c r="A57" s="14" t="s">
        <v>186</v>
      </c>
      <c r="B57" s="14" t="s">
        <v>187</v>
      </c>
      <c r="C57" s="112"/>
      <c r="D57" s="112"/>
      <c r="E57" s="112"/>
      <c r="F57" s="112"/>
      <c r="G57" s="112"/>
      <c r="H57" s="113">
        <f t="shared" si="1"/>
        <v>0</v>
      </c>
      <c r="I57" s="22"/>
      <c r="J57" s="259"/>
      <c r="K57" s="1" t="s">
        <v>188</v>
      </c>
    </row>
    <row r="58" spans="1:11" s="18" customFormat="1" ht="15.5" x14ac:dyDescent="0.35">
      <c r="A58" s="14" t="s">
        <v>189</v>
      </c>
      <c r="B58" s="14" t="s">
        <v>190</v>
      </c>
      <c r="C58" s="112"/>
      <c r="D58" s="112"/>
      <c r="E58" s="112"/>
      <c r="F58" s="112"/>
      <c r="G58" s="112"/>
      <c r="H58" s="113">
        <f t="shared" si="1"/>
        <v>0</v>
      </c>
      <c r="I58" s="22"/>
      <c r="J58" s="260"/>
      <c r="K58" s="1" t="s">
        <v>191</v>
      </c>
    </row>
    <row r="59" spans="1:11" s="18" customFormat="1" ht="15.5" x14ac:dyDescent="0.35">
      <c r="A59" s="14" t="s">
        <v>192</v>
      </c>
      <c r="B59" s="14" t="s">
        <v>193</v>
      </c>
      <c r="C59" s="112"/>
      <c r="D59" s="112"/>
      <c r="E59" s="112"/>
      <c r="F59" s="112"/>
      <c r="G59" s="112"/>
      <c r="H59" s="113">
        <f t="shared" si="1"/>
        <v>0</v>
      </c>
      <c r="I59" s="22"/>
      <c r="J59" s="260"/>
      <c r="K59" s="1" t="s">
        <v>194</v>
      </c>
    </row>
    <row r="60" spans="1:11" s="18" customFormat="1" ht="15.5" x14ac:dyDescent="0.35">
      <c r="A60" s="14" t="s">
        <v>195</v>
      </c>
      <c r="B60" s="14" t="s">
        <v>196</v>
      </c>
      <c r="C60" s="112"/>
      <c r="D60" s="112"/>
      <c r="E60" s="112"/>
      <c r="F60" s="112"/>
      <c r="G60" s="112"/>
      <c r="H60" s="113">
        <f t="shared" si="1"/>
        <v>0</v>
      </c>
      <c r="I60" s="22"/>
      <c r="J60" s="260"/>
      <c r="K60" s="1" t="s">
        <v>197</v>
      </c>
    </row>
    <row r="61" spans="1:11" s="18" customFormat="1" ht="15.5" x14ac:dyDescent="0.35">
      <c r="A61" s="14" t="s">
        <v>198</v>
      </c>
      <c r="B61" s="14" t="s">
        <v>199</v>
      </c>
      <c r="C61" s="112"/>
      <c r="D61" s="112"/>
      <c r="E61" s="112"/>
      <c r="F61" s="112"/>
      <c r="G61" s="112"/>
      <c r="H61" s="113">
        <f t="shared" si="1"/>
        <v>0</v>
      </c>
      <c r="I61" s="22"/>
      <c r="J61" s="260"/>
      <c r="K61" s="1" t="s">
        <v>200</v>
      </c>
    </row>
    <row r="62" spans="1:11" s="18" customFormat="1" ht="15.5" x14ac:dyDescent="0.35">
      <c r="A62" s="14" t="s">
        <v>201</v>
      </c>
      <c r="B62" s="14" t="s">
        <v>202</v>
      </c>
      <c r="C62" s="112"/>
      <c r="D62" s="112"/>
      <c r="E62" s="112"/>
      <c r="F62" s="112"/>
      <c r="G62" s="112"/>
      <c r="H62" s="113">
        <f t="shared" si="1"/>
        <v>0</v>
      </c>
      <c r="I62" s="22"/>
      <c r="J62" s="260"/>
      <c r="K62" s="1" t="s">
        <v>203</v>
      </c>
    </row>
    <row r="63" spans="1:11" s="18" customFormat="1" ht="15.5" x14ac:dyDescent="0.35">
      <c r="A63" s="14" t="s">
        <v>204</v>
      </c>
      <c r="B63" s="14" t="s">
        <v>205</v>
      </c>
      <c r="C63" s="112"/>
      <c r="D63" s="112"/>
      <c r="E63" s="112"/>
      <c r="F63" s="112"/>
      <c r="G63" s="112"/>
      <c r="H63" s="113">
        <f t="shared" si="1"/>
        <v>0</v>
      </c>
      <c r="I63" s="22"/>
      <c r="J63" s="260"/>
      <c r="K63" s="1" t="s">
        <v>206</v>
      </c>
    </row>
    <row r="64" spans="1:11" s="18" customFormat="1" ht="15.5" x14ac:dyDescent="0.35">
      <c r="A64" s="14" t="s">
        <v>207</v>
      </c>
      <c r="B64" s="14" t="s">
        <v>208</v>
      </c>
      <c r="C64" s="112"/>
      <c r="D64" s="112"/>
      <c r="E64" s="112"/>
      <c r="F64" s="112"/>
      <c r="G64" s="112"/>
      <c r="H64" s="113">
        <f t="shared" si="1"/>
        <v>0</v>
      </c>
      <c r="I64" s="22"/>
      <c r="J64" s="260"/>
      <c r="K64" s="1" t="s">
        <v>209</v>
      </c>
    </row>
    <row r="65" spans="1:11" s="18" customFormat="1" ht="15.5" x14ac:dyDescent="0.35">
      <c r="A65" s="14" t="s">
        <v>210</v>
      </c>
      <c r="B65" s="14" t="s">
        <v>211</v>
      </c>
      <c r="C65" s="112"/>
      <c r="D65" s="112"/>
      <c r="E65" s="112"/>
      <c r="F65" s="112"/>
      <c r="G65" s="112"/>
      <c r="H65" s="113">
        <f t="shared" si="1"/>
        <v>0</v>
      </c>
      <c r="I65" s="22"/>
      <c r="J65" s="260"/>
      <c r="K65" s="1" t="s">
        <v>212</v>
      </c>
    </row>
    <row r="66" spans="1:11" s="18" customFormat="1" ht="31" x14ac:dyDescent="0.35">
      <c r="A66" s="14" t="s">
        <v>213</v>
      </c>
      <c r="B66" s="14" t="s">
        <v>214</v>
      </c>
      <c r="C66" s="112">
        <f>(25000/12)*2*1</f>
        <v>4166.666666666667</v>
      </c>
      <c r="D66" s="112">
        <f>(25000/12)*1*1</f>
        <v>2083.3333333333335</v>
      </c>
      <c r="E66" s="112"/>
      <c r="F66" s="112"/>
      <c r="G66" s="112"/>
      <c r="H66" s="113">
        <f t="shared" si="1"/>
        <v>6250</v>
      </c>
      <c r="I66" s="22"/>
      <c r="J66" s="259" t="s">
        <v>736</v>
      </c>
      <c r="K66" s="1" t="s">
        <v>215</v>
      </c>
    </row>
    <row r="67" spans="1:11" s="18" customFormat="1" ht="15.5" x14ac:dyDescent="0.35">
      <c r="A67" s="14" t="s">
        <v>216</v>
      </c>
      <c r="B67" s="14" t="s">
        <v>217</v>
      </c>
      <c r="C67" s="112">
        <f>C66*0.15%</f>
        <v>6.2500000000000009</v>
      </c>
      <c r="D67" s="112">
        <f>D66*0.15%</f>
        <v>3.1250000000000004</v>
      </c>
      <c r="E67" s="112"/>
      <c r="F67" s="112"/>
      <c r="G67" s="112"/>
      <c r="H67" s="113">
        <f t="shared" si="1"/>
        <v>9.3750000000000018</v>
      </c>
      <c r="I67" s="22"/>
      <c r="J67" s="259" t="s">
        <v>730</v>
      </c>
      <c r="K67" s="1" t="s">
        <v>218</v>
      </c>
    </row>
    <row r="68" spans="1:11" s="18" customFormat="1" ht="15.5" x14ac:dyDescent="0.35">
      <c r="A68" s="14" t="s">
        <v>219</v>
      </c>
      <c r="B68" s="14" t="s">
        <v>220</v>
      </c>
      <c r="C68" s="112">
        <f>C66*1.45%</f>
        <v>60.416666666666664</v>
      </c>
      <c r="D68" s="112">
        <f>D66*1.45%</f>
        <v>30.208333333333332</v>
      </c>
      <c r="E68" s="112"/>
      <c r="F68" s="112"/>
      <c r="G68" s="112"/>
      <c r="H68" s="113">
        <f t="shared" si="1"/>
        <v>90.625</v>
      </c>
      <c r="I68" s="22"/>
      <c r="J68" s="259" t="s">
        <v>728</v>
      </c>
      <c r="K68" s="1" t="s">
        <v>221</v>
      </c>
    </row>
    <row r="69" spans="1:11" s="18" customFormat="1" ht="15.5" x14ac:dyDescent="0.35">
      <c r="A69" s="14" t="s">
        <v>222</v>
      </c>
      <c r="B69" s="14" t="s">
        <v>223</v>
      </c>
      <c r="C69" s="112">
        <f>C66*17.5%</f>
        <v>729.16666666666663</v>
      </c>
      <c r="D69" s="112">
        <f>D66*17.5%</f>
        <v>364.58333333333331</v>
      </c>
      <c r="E69" s="112"/>
      <c r="F69" s="112"/>
      <c r="G69" s="112"/>
      <c r="H69" s="113">
        <f t="shared" si="1"/>
        <v>1093.75</v>
      </c>
      <c r="I69" s="22"/>
      <c r="J69" s="259" t="s">
        <v>729</v>
      </c>
      <c r="K69" s="1" t="s">
        <v>224</v>
      </c>
    </row>
    <row r="70" spans="1:11" s="18" customFormat="1" ht="15.5" x14ac:dyDescent="0.35">
      <c r="A70" s="14" t="s">
        <v>225</v>
      </c>
      <c r="B70" s="14" t="s">
        <v>226</v>
      </c>
      <c r="C70" s="112"/>
      <c r="D70" s="112"/>
      <c r="E70" s="112"/>
      <c r="F70" s="112"/>
      <c r="G70" s="112"/>
      <c r="H70" s="113">
        <f t="shared" si="1"/>
        <v>0</v>
      </c>
      <c r="I70" s="22"/>
      <c r="J70" s="260"/>
      <c r="K70" s="1" t="s">
        <v>227</v>
      </c>
    </row>
    <row r="71" spans="1:11" s="18" customFormat="1" ht="15.5" x14ac:dyDescent="0.35">
      <c r="A71" s="14" t="s">
        <v>228</v>
      </c>
      <c r="B71" s="14" t="s">
        <v>229</v>
      </c>
      <c r="C71" s="112">
        <f>1098/12*2*1</f>
        <v>183</v>
      </c>
      <c r="D71" s="112">
        <f>1098/12*1*1</f>
        <v>91.5</v>
      </c>
      <c r="E71" s="112"/>
      <c r="F71" s="112"/>
      <c r="G71" s="112"/>
      <c r="H71" s="113">
        <f t="shared" si="1"/>
        <v>274.5</v>
      </c>
      <c r="I71" s="22"/>
      <c r="J71" s="259" t="s">
        <v>732</v>
      </c>
      <c r="K71" s="1" t="s">
        <v>230</v>
      </c>
    </row>
    <row r="72" spans="1:11" s="18" customFormat="1" ht="15.5" x14ac:dyDescent="0.35">
      <c r="A72" s="14" t="s">
        <v>231</v>
      </c>
      <c r="B72" s="14" t="s">
        <v>232</v>
      </c>
      <c r="C72" s="112">
        <f>319/12*2*1</f>
        <v>53.166666666666664</v>
      </c>
      <c r="D72" s="112">
        <f>319/12*1*1</f>
        <v>26.583333333333332</v>
      </c>
      <c r="E72" s="112"/>
      <c r="F72" s="112"/>
      <c r="G72" s="112"/>
      <c r="H72" s="113">
        <f t="shared" si="1"/>
        <v>79.75</v>
      </c>
      <c r="I72" s="22"/>
      <c r="J72" s="259" t="s">
        <v>731</v>
      </c>
      <c r="K72" s="1" t="s">
        <v>233</v>
      </c>
    </row>
    <row r="73" spans="1:11" s="18" customFormat="1" ht="15.5" x14ac:dyDescent="0.35">
      <c r="A73" s="14" t="s">
        <v>234</v>
      </c>
      <c r="B73" s="14" t="s">
        <v>235</v>
      </c>
      <c r="C73" s="112">
        <f>8000/12*2*1</f>
        <v>1333.3333333333333</v>
      </c>
      <c r="D73" s="112">
        <f>8000/12*1*1</f>
        <v>666.66666666666663</v>
      </c>
      <c r="E73" s="112"/>
      <c r="F73" s="112"/>
      <c r="G73" s="112"/>
      <c r="H73" s="113">
        <f t="shared" si="1"/>
        <v>2000</v>
      </c>
      <c r="I73" s="22"/>
      <c r="J73" s="259" t="s">
        <v>727</v>
      </c>
      <c r="K73" s="1" t="s">
        <v>236</v>
      </c>
    </row>
    <row r="74" spans="1:11" s="18" customFormat="1" ht="15.5" x14ac:dyDescent="0.35">
      <c r="A74" s="14" t="s">
        <v>237</v>
      </c>
      <c r="B74" s="14" t="s">
        <v>238</v>
      </c>
      <c r="C74" s="112"/>
      <c r="D74" s="112"/>
      <c r="E74" s="112"/>
      <c r="F74" s="112"/>
      <c r="G74" s="112"/>
      <c r="H74" s="113">
        <f t="shared" si="1"/>
        <v>0</v>
      </c>
      <c r="I74" s="22"/>
      <c r="J74" s="260"/>
      <c r="K74" s="1" t="s">
        <v>239</v>
      </c>
    </row>
    <row r="75" spans="1:11" s="18" customFormat="1" ht="15.5" x14ac:dyDescent="0.35">
      <c r="A75" s="14" t="s">
        <v>240</v>
      </c>
      <c r="B75" s="14" t="s">
        <v>241</v>
      </c>
      <c r="C75" s="112"/>
      <c r="D75" s="112"/>
      <c r="E75" s="112"/>
      <c r="F75" s="112"/>
      <c r="G75" s="112"/>
      <c r="H75" s="113">
        <f t="shared" si="1"/>
        <v>0</v>
      </c>
      <c r="I75" s="22"/>
      <c r="J75" s="259"/>
      <c r="K75" s="1" t="s">
        <v>242</v>
      </c>
    </row>
    <row r="76" spans="1:11" s="18" customFormat="1" ht="15.5" x14ac:dyDescent="0.35">
      <c r="A76" s="14" t="s">
        <v>243</v>
      </c>
      <c r="B76" s="14" t="s">
        <v>244</v>
      </c>
      <c r="C76" s="112"/>
      <c r="D76" s="112"/>
      <c r="E76" s="112"/>
      <c r="F76" s="112"/>
      <c r="G76" s="112"/>
      <c r="H76" s="113">
        <f t="shared" ref="H76:H107" si="2">SUM(C76:G76)</f>
        <v>0</v>
      </c>
      <c r="I76" s="22"/>
      <c r="J76" s="260"/>
      <c r="K76" s="1" t="s">
        <v>245</v>
      </c>
    </row>
    <row r="77" spans="1:11" s="18" customFormat="1" ht="15.5" x14ac:dyDescent="0.35">
      <c r="A77" s="14" t="s">
        <v>246</v>
      </c>
      <c r="B77" s="14" t="s">
        <v>247</v>
      </c>
      <c r="C77" s="112"/>
      <c r="D77" s="112"/>
      <c r="E77" s="112"/>
      <c r="F77" s="112"/>
      <c r="G77" s="112"/>
      <c r="H77" s="113">
        <f t="shared" si="2"/>
        <v>0</v>
      </c>
      <c r="I77" s="22"/>
      <c r="J77" s="260"/>
      <c r="K77" s="1" t="s">
        <v>248</v>
      </c>
    </row>
    <row r="78" spans="1:11" s="18" customFormat="1" ht="15.5" x14ac:dyDescent="0.35">
      <c r="A78" s="14" t="s">
        <v>249</v>
      </c>
      <c r="B78" s="14" t="s">
        <v>250</v>
      </c>
      <c r="C78" s="112"/>
      <c r="D78" s="112"/>
      <c r="E78" s="112"/>
      <c r="F78" s="112"/>
      <c r="G78" s="112"/>
      <c r="H78" s="113">
        <f t="shared" si="2"/>
        <v>0</v>
      </c>
      <c r="I78" s="22"/>
      <c r="J78" s="260"/>
      <c r="K78" s="1" t="s">
        <v>251</v>
      </c>
    </row>
    <row r="79" spans="1:11" s="18" customFormat="1" ht="15.5" x14ac:dyDescent="0.35">
      <c r="A79" s="14" t="s">
        <v>252</v>
      </c>
      <c r="B79" s="14" t="s">
        <v>253</v>
      </c>
      <c r="C79" s="112"/>
      <c r="D79" s="112"/>
      <c r="E79" s="112"/>
      <c r="F79" s="112"/>
      <c r="G79" s="112"/>
      <c r="H79" s="113">
        <f t="shared" si="2"/>
        <v>0</v>
      </c>
      <c r="I79" s="22"/>
      <c r="J79" s="260"/>
      <c r="K79" s="1" t="s">
        <v>254</v>
      </c>
    </row>
    <row r="80" spans="1:11" s="18" customFormat="1" ht="15.5" x14ac:dyDescent="0.35">
      <c r="A80" s="14" t="s">
        <v>255</v>
      </c>
      <c r="B80" s="14" t="s">
        <v>256</v>
      </c>
      <c r="C80" s="112"/>
      <c r="D80" s="112"/>
      <c r="E80" s="112"/>
      <c r="F80" s="112"/>
      <c r="G80" s="112"/>
      <c r="H80" s="113">
        <f t="shared" si="2"/>
        <v>0</v>
      </c>
      <c r="I80" s="22"/>
      <c r="J80" s="260"/>
      <c r="K80" s="1" t="s">
        <v>257</v>
      </c>
    </row>
    <row r="81" spans="1:11" s="18" customFormat="1" ht="15.5" x14ac:dyDescent="0.35">
      <c r="A81" s="14" t="s">
        <v>258</v>
      </c>
      <c r="B81" s="14" t="s">
        <v>259</v>
      </c>
      <c r="C81" s="112"/>
      <c r="D81" s="112"/>
      <c r="E81" s="112"/>
      <c r="F81" s="112"/>
      <c r="G81" s="112"/>
      <c r="H81" s="113">
        <f t="shared" si="2"/>
        <v>0</v>
      </c>
      <c r="I81" s="22"/>
      <c r="J81" s="260"/>
      <c r="K81" s="1" t="s">
        <v>260</v>
      </c>
    </row>
    <row r="82" spans="1:11" s="18" customFormat="1" ht="15.5" x14ac:dyDescent="0.35">
      <c r="A82" s="14" t="s">
        <v>261</v>
      </c>
      <c r="B82" s="14" t="s">
        <v>262</v>
      </c>
      <c r="C82" s="112"/>
      <c r="D82" s="112"/>
      <c r="E82" s="112"/>
      <c r="F82" s="112"/>
      <c r="G82" s="112"/>
      <c r="H82" s="113">
        <f t="shared" si="2"/>
        <v>0</v>
      </c>
      <c r="I82" s="22"/>
      <c r="J82" s="260"/>
      <c r="K82" s="1" t="s">
        <v>263</v>
      </c>
    </row>
    <row r="83" spans="1:11" s="18" customFormat="1" ht="15.5" x14ac:dyDescent="0.35">
      <c r="A83" s="14" t="s">
        <v>264</v>
      </c>
      <c r="B83" s="14" t="s">
        <v>265</v>
      </c>
      <c r="C83" s="112"/>
      <c r="D83" s="112"/>
      <c r="E83" s="112"/>
      <c r="F83" s="112"/>
      <c r="G83" s="112"/>
      <c r="H83" s="113">
        <f t="shared" si="2"/>
        <v>0</v>
      </c>
      <c r="I83" s="22"/>
      <c r="J83" s="260"/>
      <c r="K83" s="1" t="s">
        <v>266</v>
      </c>
    </row>
    <row r="84" spans="1:11" s="18" customFormat="1" ht="15.5" x14ac:dyDescent="0.35">
      <c r="A84" s="14" t="s">
        <v>267</v>
      </c>
      <c r="B84" s="14" t="s">
        <v>268</v>
      </c>
      <c r="C84" s="112"/>
      <c r="D84" s="112"/>
      <c r="E84" s="112"/>
      <c r="F84" s="112"/>
      <c r="G84" s="112"/>
      <c r="H84" s="113">
        <f t="shared" si="2"/>
        <v>0</v>
      </c>
      <c r="I84" s="22"/>
      <c r="J84" s="260"/>
      <c r="K84" s="1" t="s">
        <v>269</v>
      </c>
    </row>
    <row r="85" spans="1:11" s="18" customFormat="1" ht="15.5" x14ac:dyDescent="0.35">
      <c r="A85" s="14" t="s">
        <v>270</v>
      </c>
      <c r="B85" s="14" t="s">
        <v>271</v>
      </c>
      <c r="C85" s="112"/>
      <c r="D85" s="112"/>
      <c r="E85" s="112"/>
      <c r="F85" s="112"/>
      <c r="G85" s="112"/>
      <c r="H85" s="113">
        <f t="shared" si="2"/>
        <v>0</v>
      </c>
      <c r="I85" s="22"/>
      <c r="J85" s="260"/>
      <c r="K85" s="1" t="s">
        <v>272</v>
      </c>
    </row>
    <row r="86" spans="1:11" s="18" customFormat="1" ht="15.5" x14ac:dyDescent="0.35">
      <c r="A86" s="14" t="s">
        <v>273</v>
      </c>
      <c r="B86" s="14" t="s">
        <v>274</v>
      </c>
      <c r="C86" s="112"/>
      <c r="D86" s="112"/>
      <c r="E86" s="112"/>
      <c r="F86" s="112"/>
      <c r="G86" s="112"/>
      <c r="H86" s="113">
        <f t="shared" si="2"/>
        <v>0</v>
      </c>
      <c r="I86" s="22"/>
      <c r="J86" s="260"/>
      <c r="K86" s="1" t="s">
        <v>275</v>
      </c>
    </row>
    <row r="87" spans="1:11" s="18" customFormat="1" ht="15.5" x14ac:dyDescent="0.35">
      <c r="A87" s="14" t="s">
        <v>276</v>
      </c>
      <c r="B87" s="14" t="s">
        <v>277</v>
      </c>
      <c r="C87" s="112"/>
      <c r="D87" s="112"/>
      <c r="E87" s="112"/>
      <c r="F87" s="112"/>
      <c r="G87" s="112"/>
      <c r="H87" s="113">
        <f t="shared" si="2"/>
        <v>0</v>
      </c>
      <c r="I87" s="22"/>
      <c r="J87" s="260"/>
      <c r="K87" s="1" t="s">
        <v>278</v>
      </c>
    </row>
    <row r="88" spans="1:11" s="18" customFormat="1" ht="15.5" x14ac:dyDescent="0.35">
      <c r="A88" s="14" t="s">
        <v>279</v>
      </c>
      <c r="B88" s="14" t="s">
        <v>280</v>
      </c>
      <c r="C88" s="112"/>
      <c r="D88" s="112"/>
      <c r="E88" s="112"/>
      <c r="F88" s="112"/>
      <c r="G88" s="112"/>
      <c r="H88" s="113">
        <f t="shared" si="2"/>
        <v>0</v>
      </c>
      <c r="I88" s="22"/>
      <c r="J88" s="260"/>
      <c r="K88" s="1" t="s">
        <v>281</v>
      </c>
    </row>
    <row r="89" spans="1:11" s="18" customFormat="1" ht="15.5" x14ac:dyDescent="0.35">
      <c r="A89" s="14" t="s">
        <v>282</v>
      </c>
      <c r="B89" s="14" t="s">
        <v>283</v>
      </c>
      <c r="C89" s="112"/>
      <c r="D89" s="112"/>
      <c r="E89" s="112"/>
      <c r="F89" s="112"/>
      <c r="G89" s="112"/>
      <c r="H89" s="113">
        <f t="shared" si="2"/>
        <v>0</v>
      </c>
      <c r="I89" s="22"/>
      <c r="J89" s="260"/>
      <c r="K89" s="1" t="s">
        <v>284</v>
      </c>
    </row>
    <row r="90" spans="1:11" s="18" customFormat="1" ht="15.5" x14ac:dyDescent="0.35">
      <c r="A90" s="14" t="s">
        <v>285</v>
      </c>
      <c r="B90" s="14" t="s">
        <v>286</v>
      </c>
      <c r="C90" s="112"/>
      <c r="D90" s="112"/>
      <c r="E90" s="112"/>
      <c r="F90" s="112"/>
      <c r="G90" s="112"/>
      <c r="H90" s="113">
        <f t="shared" si="2"/>
        <v>0</v>
      </c>
      <c r="I90" s="22"/>
      <c r="J90" s="260"/>
      <c r="K90" s="1" t="s">
        <v>287</v>
      </c>
    </row>
    <row r="91" spans="1:11" s="18" customFormat="1" ht="15.5" x14ac:dyDescent="0.35">
      <c r="A91" s="14" t="s">
        <v>288</v>
      </c>
      <c r="B91" s="14" t="s">
        <v>289</v>
      </c>
      <c r="C91" s="112"/>
      <c r="D91" s="112"/>
      <c r="E91" s="112"/>
      <c r="F91" s="112"/>
      <c r="G91" s="112"/>
      <c r="H91" s="113">
        <f t="shared" si="2"/>
        <v>0</v>
      </c>
      <c r="I91" s="22"/>
      <c r="J91" s="260"/>
      <c r="K91" s="1" t="s">
        <v>290</v>
      </c>
    </row>
    <row r="92" spans="1:11" s="18" customFormat="1" ht="15.5" x14ac:dyDescent="0.35">
      <c r="A92" s="14" t="s">
        <v>291</v>
      </c>
      <c r="B92" s="14" t="s">
        <v>292</v>
      </c>
      <c r="C92" s="112"/>
      <c r="D92" s="112"/>
      <c r="E92" s="112"/>
      <c r="F92" s="112"/>
      <c r="G92" s="112"/>
      <c r="H92" s="113">
        <f t="shared" si="2"/>
        <v>0</v>
      </c>
      <c r="I92" s="22"/>
      <c r="J92" s="260"/>
      <c r="K92" s="1" t="s">
        <v>293</v>
      </c>
    </row>
    <row r="93" spans="1:11" s="18" customFormat="1" ht="31" x14ac:dyDescent="0.35">
      <c r="A93" s="14" t="s">
        <v>294</v>
      </c>
      <c r="B93" s="14" t="s">
        <v>295</v>
      </c>
      <c r="C93" s="112">
        <f>(100000/12)*5</f>
        <v>41666.666666666672</v>
      </c>
      <c r="D93" s="112">
        <f>(100000/12)*1</f>
        <v>8333.3333333333339</v>
      </c>
      <c r="E93" s="112"/>
      <c r="F93" s="112"/>
      <c r="G93" s="112"/>
      <c r="H93" s="113">
        <f t="shared" si="2"/>
        <v>50000.000000000007</v>
      </c>
      <c r="I93" s="22"/>
      <c r="J93" s="259" t="s">
        <v>739</v>
      </c>
      <c r="K93" s="1" t="s">
        <v>296</v>
      </c>
    </row>
    <row r="94" spans="1:11" s="18" customFormat="1" ht="15.5" x14ac:dyDescent="0.35">
      <c r="A94" s="14" t="s">
        <v>297</v>
      </c>
      <c r="B94" s="14" t="s">
        <v>298</v>
      </c>
      <c r="C94" s="112">
        <f>C$93*0.15%</f>
        <v>62.500000000000007</v>
      </c>
      <c r="D94" s="112">
        <f>D$93*0.15%</f>
        <v>12.500000000000002</v>
      </c>
      <c r="E94" s="112"/>
      <c r="F94" s="112"/>
      <c r="G94" s="112"/>
      <c r="H94" s="113">
        <f t="shared" si="2"/>
        <v>75.000000000000014</v>
      </c>
      <c r="I94" s="22"/>
      <c r="J94" s="259" t="s">
        <v>730</v>
      </c>
      <c r="K94" s="1" t="s">
        <v>299</v>
      </c>
    </row>
    <row r="95" spans="1:11" s="18" customFormat="1" ht="15.5" x14ac:dyDescent="0.35">
      <c r="A95" s="14" t="s">
        <v>300</v>
      </c>
      <c r="B95" s="14" t="s">
        <v>301</v>
      </c>
      <c r="C95" s="112">
        <f>C$93*1.45%</f>
        <v>604.16666666666674</v>
      </c>
      <c r="D95" s="112">
        <f>D$93*1.45%</f>
        <v>120.83333333333333</v>
      </c>
      <c r="E95" s="112"/>
      <c r="F95" s="112"/>
      <c r="G95" s="112"/>
      <c r="H95" s="113">
        <f t="shared" si="2"/>
        <v>725.00000000000011</v>
      </c>
      <c r="I95" s="22"/>
      <c r="J95" s="259" t="s">
        <v>728</v>
      </c>
      <c r="K95" s="1" t="s">
        <v>302</v>
      </c>
    </row>
    <row r="96" spans="1:11" s="18" customFormat="1" ht="15.5" x14ac:dyDescent="0.35">
      <c r="A96" s="14" t="s">
        <v>303</v>
      </c>
      <c r="B96" s="14" t="s">
        <v>304</v>
      </c>
      <c r="C96" s="112">
        <f>C$93*17.5%</f>
        <v>7291.666666666667</v>
      </c>
      <c r="D96" s="112">
        <f>D$93*17.5%</f>
        <v>1458.3333333333333</v>
      </c>
      <c r="E96" s="112"/>
      <c r="F96" s="112"/>
      <c r="G96" s="112"/>
      <c r="H96" s="113">
        <f t="shared" si="2"/>
        <v>8750</v>
      </c>
      <c r="I96" s="22"/>
      <c r="J96" s="259" t="s">
        <v>729</v>
      </c>
      <c r="K96" s="1" t="s">
        <v>305</v>
      </c>
    </row>
    <row r="97" spans="1:11" s="18" customFormat="1" ht="15.5" x14ac:dyDescent="0.35">
      <c r="A97" s="14" t="s">
        <v>306</v>
      </c>
      <c r="B97" s="14" t="s">
        <v>307</v>
      </c>
      <c r="C97" s="112"/>
      <c r="D97" s="112"/>
      <c r="E97" s="112"/>
      <c r="F97" s="112"/>
      <c r="G97" s="112"/>
      <c r="H97" s="113">
        <f t="shared" si="2"/>
        <v>0</v>
      </c>
      <c r="I97" s="22"/>
      <c r="J97" s="260"/>
      <c r="K97" s="1" t="s">
        <v>308</v>
      </c>
    </row>
    <row r="98" spans="1:11" s="18" customFormat="1" ht="15.5" x14ac:dyDescent="0.35">
      <c r="A98" s="14" t="s">
        <v>309</v>
      </c>
      <c r="B98" s="14" t="s">
        <v>310</v>
      </c>
      <c r="C98" s="112">
        <f>1098/12*5</f>
        <v>457.5</v>
      </c>
      <c r="D98" s="112">
        <f>1098/12*1</f>
        <v>91.5</v>
      </c>
      <c r="E98" s="112"/>
      <c r="F98" s="112"/>
      <c r="G98" s="112"/>
      <c r="H98" s="113">
        <f t="shared" si="2"/>
        <v>549</v>
      </c>
      <c r="I98" s="22"/>
      <c r="J98" s="259" t="s">
        <v>732</v>
      </c>
      <c r="K98" s="1" t="s">
        <v>311</v>
      </c>
    </row>
    <row r="99" spans="1:11" s="18" customFormat="1" ht="15.5" x14ac:dyDescent="0.35">
      <c r="A99" s="14" t="s">
        <v>312</v>
      </c>
      <c r="B99" s="14" t="s">
        <v>313</v>
      </c>
      <c r="C99" s="112">
        <f>319/12*5</f>
        <v>132.91666666666666</v>
      </c>
      <c r="D99" s="112">
        <f>319/12*1</f>
        <v>26.583333333333332</v>
      </c>
      <c r="E99" s="112"/>
      <c r="F99" s="112"/>
      <c r="G99" s="112"/>
      <c r="H99" s="113">
        <f t="shared" si="2"/>
        <v>159.5</v>
      </c>
      <c r="I99" s="22"/>
      <c r="J99" s="259" t="s">
        <v>731</v>
      </c>
      <c r="K99" s="1" t="s">
        <v>314</v>
      </c>
    </row>
    <row r="100" spans="1:11" s="18" customFormat="1" ht="15.5" x14ac:dyDescent="0.35">
      <c r="A100" s="14" t="s">
        <v>315</v>
      </c>
      <c r="B100" s="14" t="s">
        <v>316</v>
      </c>
      <c r="C100" s="112">
        <f>8000/12*5</f>
        <v>3333.333333333333</v>
      </c>
      <c r="D100" s="112">
        <f>8000/12*1</f>
        <v>666.66666666666663</v>
      </c>
      <c r="E100" s="112"/>
      <c r="F100" s="112"/>
      <c r="G100" s="112"/>
      <c r="H100" s="113">
        <f t="shared" si="2"/>
        <v>3999.9999999999995</v>
      </c>
      <c r="I100" s="22"/>
      <c r="J100" s="259" t="s">
        <v>727</v>
      </c>
      <c r="K100" s="1" t="s">
        <v>317</v>
      </c>
    </row>
    <row r="101" spans="1:11" s="18" customFormat="1" ht="15.5" x14ac:dyDescent="0.35">
      <c r="A101" s="14" t="s">
        <v>318</v>
      </c>
      <c r="B101" s="14" t="s">
        <v>319</v>
      </c>
      <c r="C101" s="112"/>
      <c r="D101" s="112"/>
      <c r="E101" s="112"/>
      <c r="F101" s="112"/>
      <c r="G101" s="112"/>
      <c r="H101" s="113">
        <f t="shared" si="2"/>
        <v>0</v>
      </c>
      <c r="I101" s="22"/>
      <c r="J101" s="259"/>
      <c r="K101" s="1" t="s">
        <v>320</v>
      </c>
    </row>
    <row r="102" spans="1:11" s="18" customFormat="1" ht="31" x14ac:dyDescent="0.35">
      <c r="A102" s="14" t="s">
        <v>321</v>
      </c>
      <c r="B102" s="14" t="s">
        <v>322</v>
      </c>
      <c r="C102" s="112">
        <f>(40000/12)*5</f>
        <v>16666.666666666668</v>
      </c>
      <c r="D102" s="112">
        <f>(40000/12)*1</f>
        <v>3333.3333333333335</v>
      </c>
      <c r="E102" s="112"/>
      <c r="F102" s="112"/>
      <c r="G102" s="112"/>
      <c r="H102" s="113">
        <f t="shared" si="2"/>
        <v>20000</v>
      </c>
      <c r="I102" s="22"/>
      <c r="J102" s="259" t="s">
        <v>740</v>
      </c>
      <c r="K102" s="1" t="s">
        <v>323</v>
      </c>
    </row>
    <row r="103" spans="1:11" s="18" customFormat="1" ht="15.5" x14ac:dyDescent="0.35">
      <c r="A103" s="14" t="s">
        <v>324</v>
      </c>
      <c r="B103" s="14" t="s">
        <v>325</v>
      </c>
      <c r="C103" s="112">
        <f>C$102*0.15%</f>
        <v>25.000000000000004</v>
      </c>
      <c r="D103" s="112">
        <f>D$102*0.15%</f>
        <v>5</v>
      </c>
      <c r="E103" s="112"/>
      <c r="F103" s="112"/>
      <c r="G103" s="112"/>
      <c r="H103" s="113">
        <f t="shared" si="2"/>
        <v>30.000000000000004</v>
      </c>
      <c r="I103" s="22"/>
      <c r="J103" s="259" t="s">
        <v>730</v>
      </c>
      <c r="K103" s="1" t="s">
        <v>326</v>
      </c>
    </row>
    <row r="104" spans="1:11" s="18" customFormat="1" ht="15.5" x14ac:dyDescent="0.35">
      <c r="A104" s="14" t="s">
        <v>327</v>
      </c>
      <c r="B104" s="14" t="s">
        <v>328</v>
      </c>
      <c r="C104" s="112">
        <f>C$102*1.45%</f>
        <v>241.66666666666666</v>
      </c>
      <c r="D104" s="112">
        <f>D$102*1.45%</f>
        <v>48.333333333333336</v>
      </c>
      <c r="E104" s="112"/>
      <c r="F104" s="112"/>
      <c r="G104" s="112"/>
      <c r="H104" s="113">
        <f t="shared" si="2"/>
        <v>290</v>
      </c>
      <c r="I104" s="22"/>
      <c r="J104" s="259" t="s">
        <v>728</v>
      </c>
      <c r="K104" s="1" t="s">
        <v>329</v>
      </c>
    </row>
    <row r="105" spans="1:11" s="18" customFormat="1" ht="15.5" x14ac:dyDescent="0.35">
      <c r="A105" s="14" t="s">
        <v>330</v>
      </c>
      <c r="B105" s="14" t="s">
        <v>331</v>
      </c>
      <c r="C105" s="112">
        <f>C$102*17.5%</f>
        <v>2916.6666666666665</v>
      </c>
      <c r="D105" s="112">
        <f>D$102*17.5%</f>
        <v>583.33333333333337</v>
      </c>
      <c r="E105" s="112"/>
      <c r="F105" s="112"/>
      <c r="G105" s="112"/>
      <c r="H105" s="113">
        <f t="shared" si="2"/>
        <v>3500</v>
      </c>
      <c r="I105" s="22"/>
      <c r="J105" s="259" t="s">
        <v>729</v>
      </c>
      <c r="K105" s="1" t="s">
        <v>332</v>
      </c>
    </row>
    <row r="106" spans="1:11" s="18" customFormat="1" ht="15.5" x14ac:dyDescent="0.35">
      <c r="A106" s="14" t="s">
        <v>333</v>
      </c>
      <c r="B106" s="14" t="s">
        <v>334</v>
      </c>
      <c r="C106" s="112"/>
      <c r="D106" s="112"/>
      <c r="E106" s="112"/>
      <c r="F106" s="112"/>
      <c r="G106" s="112"/>
      <c r="H106" s="113">
        <f t="shared" si="2"/>
        <v>0</v>
      </c>
      <c r="I106" s="22"/>
      <c r="J106" s="260"/>
      <c r="K106" s="1" t="s">
        <v>335</v>
      </c>
    </row>
    <row r="107" spans="1:11" s="18" customFormat="1" ht="15.5" x14ac:dyDescent="0.35">
      <c r="A107" s="14" t="s">
        <v>336</v>
      </c>
      <c r="B107" s="14" t="s">
        <v>337</v>
      </c>
      <c r="C107" s="112">
        <f>1098/12*5</f>
        <v>457.5</v>
      </c>
      <c r="D107" s="112">
        <f>1098/12*1</f>
        <v>91.5</v>
      </c>
      <c r="E107" s="112"/>
      <c r="F107" s="112"/>
      <c r="G107" s="112"/>
      <c r="H107" s="113">
        <f t="shared" si="2"/>
        <v>549</v>
      </c>
      <c r="I107" s="22"/>
      <c r="J107" s="259" t="s">
        <v>732</v>
      </c>
      <c r="K107" s="1" t="s">
        <v>338</v>
      </c>
    </row>
    <row r="108" spans="1:11" s="18" customFormat="1" ht="15.5" x14ac:dyDescent="0.35">
      <c r="A108" s="14" t="s">
        <v>339</v>
      </c>
      <c r="B108" s="14" t="s">
        <v>340</v>
      </c>
      <c r="C108" s="112">
        <f>319/12*5</f>
        <v>132.91666666666666</v>
      </c>
      <c r="D108" s="112">
        <f>319/12*1</f>
        <v>26.583333333333332</v>
      </c>
      <c r="E108" s="112"/>
      <c r="F108" s="112"/>
      <c r="G108" s="112"/>
      <c r="H108" s="113">
        <f t="shared" ref="H108:H139" si="3">SUM(C108:G108)</f>
        <v>159.5</v>
      </c>
      <c r="I108" s="22"/>
      <c r="J108" s="259" t="s">
        <v>731</v>
      </c>
      <c r="K108" s="1" t="s">
        <v>341</v>
      </c>
    </row>
    <row r="109" spans="1:11" s="18" customFormat="1" ht="15.5" x14ac:dyDescent="0.35">
      <c r="A109" s="14" t="s">
        <v>342</v>
      </c>
      <c r="B109" s="14" t="s">
        <v>343</v>
      </c>
      <c r="C109" s="112">
        <f>8000/12*5</f>
        <v>3333.333333333333</v>
      </c>
      <c r="D109" s="112">
        <f>8000/12*1</f>
        <v>666.66666666666663</v>
      </c>
      <c r="E109" s="112"/>
      <c r="F109" s="112"/>
      <c r="G109" s="112"/>
      <c r="H109" s="113">
        <f t="shared" si="3"/>
        <v>3999.9999999999995</v>
      </c>
      <c r="I109" s="22"/>
      <c r="J109" s="259" t="s">
        <v>727</v>
      </c>
      <c r="K109" s="1" t="s">
        <v>344</v>
      </c>
    </row>
    <row r="110" spans="1:11" s="18" customFormat="1" ht="15.5" x14ac:dyDescent="0.35">
      <c r="A110" s="14" t="s">
        <v>345</v>
      </c>
      <c r="B110" s="14" t="s">
        <v>346</v>
      </c>
      <c r="C110" s="112"/>
      <c r="D110" s="112"/>
      <c r="E110" s="112"/>
      <c r="F110" s="112"/>
      <c r="G110" s="112"/>
      <c r="H110" s="113">
        <f t="shared" si="3"/>
        <v>0</v>
      </c>
      <c r="I110" s="22"/>
      <c r="J110" s="260"/>
      <c r="K110" s="1" t="s">
        <v>347</v>
      </c>
    </row>
    <row r="111" spans="1:11" s="18" customFormat="1" ht="15.5" x14ac:dyDescent="0.35">
      <c r="A111" s="14" t="s">
        <v>348</v>
      </c>
      <c r="B111" s="14" t="s">
        <v>349</v>
      </c>
      <c r="C111" s="112"/>
      <c r="D111" s="112"/>
      <c r="E111" s="112"/>
      <c r="F111" s="112"/>
      <c r="G111" s="112"/>
      <c r="H111" s="113">
        <f t="shared" si="3"/>
        <v>0</v>
      </c>
      <c r="I111" s="22"/>
      <c r="J111" s="260"/>
      <c r="K111" s="1" t="s">
        <v>350</v>
      </c>
    </row>
    <row r="112" spans="1:11" s="18" customFormat="1" ht="15.5" x14ac:dyDescent="0.35">
      <c r="A112" s="14" t="s">
        <v>351</v>
      </c>
      <c r="B112" s="14" t="s">
        <v>352</v>
      </c>
      <c r="C112" s="112"/>
      <c r="D112" s="112"/>
      <c r="E112" s="112"/>
      <c r="F112" s="112"/>
      <c r="G112" s="112"/>
      <c r="H112" s="113">
        <f t="shared" si="3"/>
        <v>0</v>
      </c>
      <c r="I112" s="22"/>
      <c r="J112" s="260"/>
      <c r="K112" s="1" t="s">
        <v>353</v>
      </c>
    </row>
    <row r="113" spans="1:11" s="18" customFormat="1" ht="15.5" x14ac:dyDescent="0.35">
      <c r="A113" s="14" t="s">
        <v>354</v>
      </c>
      <c r="B113" s="14" t="s">
        <v>355</v>
      </c>
      <c r="C113" s="112"/>
      <c r="D113" s="112"/>
      <c r="E113" s="112"/>
      <c r="F113" s="112"/>
      <c r="G113" s="112"/>
      <c r="H113" s="113">
        <f t="shared" si="3"/>
        <v>0</v>
      </c>
      <c r="I113" s="22"/>
      <c r="J113" s="260"/>
      <c r="K113" s="1" t="s">
        <v>356</v>
      </c>
    </row>
    <row r="114" spans="1:11" s="18" customFormat="1" ht="15.5" x14ac:dyDescent="0.35">
      <c r="A114" s="14" t="s">
        <v>357</v>
      </c>
      <c r="B114" s="14" t="s">
        <v>358</v>
      </c>
      <c r="C114" s="112"/>
      <c r="D114" s="112"/>
      <c r="E114" s="112"/>
      <c r="F114" s="112"/>
      <c r="G114" s="112"/>
      <c r="H114" s="113">
        <f t="shared" si="3"/>
        <v>0</v>
      </c>
      <c r="I114" s="22"/>
      <c r="J114" s="260"/>
      <c r="K114" s="1" t="s">
        <v>359</v>
      </c>
    </row>
    <row r="115" spans="1:11" s="18" customFormat="1" ht="15.5" x14ac:dyDescent="0.35">
      <c r="A115" s="14" t="s">
        <v>360</v>
      </c>
      <c r="B115" s="14" t="s">
        <v>361</v>
      </c>
      <c r="C115" s="112"/>
      <c r="D115" s="112"/>
      <c r="E115" s="112"/>
      <c r="F115" s="112"/>
      <c r="G115" s="112"/>
      <c r="H115" s="113">
        <f t="shared" si="3"/>
        <v>0</v>
      </c>
      <c r="I115" s="22"/>
      <c r="J115" s="260"/>
      <c r="K115" s="1" t="s">
        <v>362</v>
      </c>
    </row>
    <row r="116" spans="1:11" s="18" customFormat="1" ht="15.5" x14ac:dyDescent="0.35">
      <c r="A116" s="14" t="s">
        <v>363</v>
      </c>
      <c r="B116" s="14" t="s">
        <v>364</v>
      </c>
      <c r="C116" s="112"/>
      <c r="D116" s="112"/>
      <c r="E116" s="112"/>
      <c r="F116" s="112"/>
      <c r="G116" s="112"/>
      <c r="H116" s="113">
        <f t="shared" si="3"/>
        <v>0</v>
      </c>
      <c r="I116" s="22"/>
      <c r="J116" s="260"/>
      <c r="K116" s="1" t="s">
        <v>365</v>
      </c>
    </row>
    <row r="117" spans="1:11" s="18" customFormat="1" ht="15.5" x14ac:dyDescent="0.35">
      <c r="A117" s="14" t="s">
        <v>366</v>
      </c>
      <c r="B117" s="14" t="s">
        <v>367</v>
      </c>
      <c r="C117" s="112"/>
      <c r="D117" s="112"/>
      <c r="E117" s="112"/>
      <c r="F117" s="112"/>
      <c r="G117" s="112"/>
      <c r="H117" s="113">
        <f t="shared" si="3"/>
        <v>0</v>
      </c>
      <c r="I117" s="22"/>
      <c r="J117" s="260"/>
      <c r="K117" s="1" t="s">
        <v>368</v>
      </c>
    </row>
    <row r="118" spans="1:11" s="18" customFormat="1" ht="15.5" x14ac:dyDescent="0.35">
      <c r="A118" s="14" t="s">
        <v>369</v>
      </c>
      <c r="B118" s="14" t="s">
        <v>370</v>
      </c>
      <c r="C118" s="112"/>
      <c r="D118" s="112"/>
      <c r="E118" s="112"/>
      <c r="F118" s="112"/>
      <c r="G118" s="112"/>
      <c r="H118" s="113">
        <f t="shared" si="3"/>
        <v>0</v>
      </c>
      <c r="I118" s="22"/>
      <c r="J118" s="260"/>
      <c r="K118" s="1" t="s">
        <v>371</v>
      </c>
    </row>
    <row r="119" spans="1:11" s="18" customFormat="1" ht="15.5" x14ac:dyDescent="0.35">
      <c r="A119" s="14" t="s">
        <v>372</v>
      </c>
      <c r="B119" s="14" t="s">
        <v>373</v>
      </c>
      <c r="C119" s="112"/>
      <c r="D119" s="112"/>
      <c r="E119" s="112"/>
      <c r="F119" s="112"/>
      <c r="G119" s="112"/>
      <c r="H119" s="113">
        <f t="shared" si="3"/>
        <v>0</v>
      </c>
      <c r="I119" s="22"/>
      <c r="J119" s="260"/>
      <c r="K119" s="1" t="s">
        <v>374</v>
      </c>
    </row>
    <row r="120" spans="1:11" s="18" customFormat="1" ht="15.5" x14ac:dyDescent="0.35">
      <c r="A120" s="14" t="s">
        <v>375</v>
      </c>
      <c r="B120" s="14" t="s">
        <v>376</v>
      </c>
      <c r="C120" s="112"/>
      <c r="D120" s="112"/>
      <c r="E120" s="112"/>
      <c r="F120" s="112"/>
      <c r="G120" s="112"/>
      <c r="H120" s="113">
        <f t="shared" si="3"/>
        <v>0</v>
      </c>
      <c r="I120" s="22"/>
      <c r="J120" s="260"/>
      <c r="K120" s="1" t="s">
        <v>377</v>
      </c>
    </row>
    <row r="121" spans="1:11" s="18" customFormat="1" ht="15.5" x14ac:dyDescent="0.35">
      <c r="A121" s="14" t="s">
        <v>378</v>
      </c>
      <c r="B121" s="14" t="s">
        <v>379</v>
      </c>
      <c r="C121" s="112"/>
      <c r="D121" s="112"/>
      <c r="E121" s="112"/>
      <c r="F121" s="112"/>
      <c r="G121" s="112"/>
      <c r="H121" s="113">
        <f t="shared" si="3"/>
        <v>0</v>
      </c>
      <c r="I121" s="22"/>
      <c r="J121" s="260"/>
      <c r="K121" s="1" t="s">
        <v>380</v>
      </c>
    </row>
    <row r="122" spans="1:11" s="18" customFormat="1" ht="15.5" x14ac:dyDescent="0.35">
      <c r="A122" s="14" t="s">
        <v>381</v>
      </c>
      <c r="B122" s="14" t="s">
        <v>382</v>
      </c>
      <c r="C122" s="112"/>
      <c r="D122" s="112"/>
      <c r="E122" s="112"/>
      <c r="F122" s="112"/>
      <c r="G122" s="112"/>
      <c r="H122" s="113">
        <f t="shared" si="3"/>
        <v>0</v>
      </c>
      <c r="I122" s="22"/>
      <c r="J122" s="260"/>
      <c r="K122" s="1" t="s">
        <v>383</v>
      </c>
    </row>
    <row r="123" spans="1:11" s="18" customFormat="1" ht="15.5" x14ac:dyDescent="0.35">
      <c r="A123" s="14" t="s">
        <v>384</v>
      </c>
      <c r="B123" s="14" t="s">
        <v>385</v>
      </c>
      <c r="C123" s="112"/>
      <c r="D123" s="112"/>
      <c r="E123" s="112"/>
      <c r="F123" s="112"/>
      <c r="G123" s="112"/>
      <c r="H123" s="113">
        <f t="shared" si="3"/>
        <v>0</v>
      </c>
      <c r="I123" s="22"/>
      <c r="J123" s="260"/>
      <c r="K123" s="1" t="s">
        <v>386</v>
      </c>
    </row>
    <row r="124" spans="1:11" s="18" customFormat="1" ht="15.5" x14ac:dyDescent="0.35">
      <c r="A124" s="14" t="s">
        <v>387</v>
      </c>
      <c r="B124" s="14" t="s">
        <v>388</v>
      </c>
      <c r="C124" s="112"/>
      <c r="D124" s="112"/>
      <c r="E124" s="112"/>
      <c r="F124" s="112"/>
      <c r="G124" s="112"/>
      <c r="H124" s="113">
        <f t="shared" si="3"/>
        <v>0</v>
      </c>
      <c r="I124" s="22"/>
      <c r="J124" s="260"/>
      <c r="K124" s="1" t="s">
        <v>389</v>
      </c>
    </row>
    <row r="125" spans="1:11" s="18" customFormat="1" ht="15.5" x14ac:dyDescent="0.35">
      <c r="A125" s="14" t="s">
        <v>390</v>
      </c>
      <c r="B125" s="14" t="s">
        <v>391</v>
      </c>
      <c r="C125" s="112"/>
      <c r="D125" s="112"/>
      <c r="E125" s="112"/>
      <c r="F125" s="112"/>
      <c r="G125" s="112"/>
      <c r="H125" s="113">
        <f t="shared" si="3"/>
        <v>0</v>
      </c>
      <c r="I125" s="22"/>
      <c r="J125" s="260"/>
      <c r="K125" s="1" t="s">
        <v>392</v>
      </c>
    </row>
    <row r="126" spans="1:11" s="18" customFormat="1" ht="15.5" x14ac:dyDescent="0.35">
      <c r="A126" s="14" t="s">
        <v>393</v>
      </c>
      <c r="B126" s="14" t="s">
        <v>394</v>
      </c>
      <c r="C126" s="112"/>
      <c r="D126" s="112"/>
      <c r="E126" s="112"/>
      <c r="F126" s="112"/>
      <c r="G126" s="112"/>
      <c r="H126" s="113">
        <f t="shared" si="3"/>
        <v>0</v>
      </c>
      <c r="I126" s="22"/>
      <c r="J126" s="260"/>
      <c r="K126" s="1" t="s">
        <v>395</v>
      </c>
    </row>
    <row r="127" spans="1:11" s="18" customFormat="1" ht="15.5" x14ac:dyDescent="0.35">
      <c r="A127" s="14" t="s">
        <v>396</v>
      </c>
      <c r="B127" s="14" t="s">
        <v>397</v>
      </c>
      <c r="C127" s="112"/>
      <c r="D127" s="112"/>
      <c r="E127" s="112"/>
      <c r="F127" s="112"/>
      <c r="G127" s="112"/>
      <c r="H127" s="113">
        <f t="shared" si="3"/>
        <v>0</v>
      </c>
      <c r="I127" s="22"/>
      <c r="J127" s="260"/>
      <c r="K127" s="1" t="s">
        <v>398</v>
      </c>
    </row>
    <row r="128" spans="1:11" s="18" customFormat="1" ht="15.5" x14ac:dyDescent="0.35">
      <c r="A128" s="14" t="s">
        <v>399</v>
      </c>
      <c r="B128" s="14" t="s">
        <v>400</v>
      </c>
      <c r="C128" s="112"/>
      <c r="D128" s="112"/>
      <c r="E128" s="112"/>
      <c r="F128" s="112"/>
      <c r="G128" s="112"/>
      <c r="H128" s="113">
        <f t="shared" si="3"/>
        <v>0</v>
      </c>
      <c r="I128" s="22"/>
      <c r="J128" s="260"/>
      <c r="K128" s="1" t="s">
        <v>401</v>
      </c>
    </row>
    <row r="129" spans="1:11" s="18" customFormat="1" ht="15.5" x14ac:dyDescent="0.35">
      <c r="A129" s="14" t="s">
        <v>402</v>
      </c>
      <c r="B129" s="14" t="s">
        <v>403</v>
      </c>
      <c r="C129" s="112"/>
      <c r="D129" s="112"/>
      <c r="E129" s="112"/>
      <c r="F129" s="112"/>
      <c r="G129" s="112"/>
      <c r="H129" s="113">
        <f t="shared" si="3"/>
        <v>0</v>
      </c>
      <c r="I129" s="22"/>
      <c r="J129" s="260"/>
      <c r="K129" s="1" t="s">
        <v>404</v>
      </c>
    </row>
    <row r="130" spans="1:11" s="18" customFormat="1" ht="15.5" x14ac:dyDescent="0.35">
      <c r="A130" s="14" t="s">
        <v>405</v>
      </c>
      <c r="B130" s="14" t="s">
        <v>406</v>
      </c>
      <c r="C130" s="112"/>
      <c r="D130" s="112"/>
      <c r="E130" s="112"/>
      <c r="F130" s="112"/>
      <c r="G130" s="112"/>
      <c r="H130" s="113">
        <f t="shared" si="3"/>
        <v>0</v>
      </c>
      <c r="I130" s="22"/>
      <c r="J130" s="260"/>
      <c r="K130" s="1" t="s">
        <v>407</v>
      </c>
    </row>
    <row r="131" spans="1:11" s="18" customFormat="1" ht="15.5" x14ac:dyDescent="0.35">
      <c r="A131" s="14" t="s">
        <v>408</v>
      </c>
      <c r="B131" s="14" t="s">
        <v>409</v>
      </c>
      <c r="C131" s="112"/>
      <c r="D131" s="112"/>
      <c r="E131" s="112"/>
      <c r="F131" s="112"/>
      <c r="G131" s="112"/>
      <c r="H131" s="113">
        <f t="shared" si="3"/>
        <v>0</v>
      </c>
      <c r="I131" s="22"/>
      <c r="J131" s="260"/>
      <c r="K131" s="1" t="s">
        <v>410</v>
      </c>
    </row>
    <row r="132" spans="1:11" s="18" customFormat="1" ht="15.5" x14ac:dyDescent="0.35">
      <c r="A132" s="14" t="s">
        <v>411</v>
      </c>
      <c r="B132" s="14" t="s">
        <v>412</v>
      </c>
      <c r="C132" s="112"/>
      <c r="D132" s="112"/>
      <c r="E132" s="112"/>
      <c r="F132" s="112"/>
      <c r="G132" s="112"/>
      <c r="H132" s="113">
        <f t="shared" si="3"/>
        <v>0</v>
      </c>
      <c r="I132" s="22"/>
      <c r="J132" s="260"/>
      <c r="K132" s="1" t="s">
        <v>413</v>
      </c>
    </row>
    <row r="133" spans="1:11" s="18" customFormat="1" ht="15.5" x14ac:dyDescent="0.35">
      <c r="A133" s="14" t="s">
        <v>414</v>
      </c>
      <c r="B133" s="14" t="s">
        <v>415</v>
      </c>
      <c r="C133" s="112"/>
      <c r="D133" s="112"/>
      <c r="E133" s="112"/>
      <c r="F133" s="112"/>
      <c r="G133" s="112"/>
      <c r="H133" s="113">
        <f t="shared" si="3"/>
        <v>0</v>
      </c>
      <c r="I133" s="22"/>
      <c r="J133" s="260"/>
      <c r="K133" s="1" t="s">
        <v>416</v>
      </c>
    </row>
    <row r="134" spans="1:11" s="18" customFormat="1" ht="15.5" x14ac:dyDescent="0.35">
      <c r="A134" s="14" t="s">
        <v>417</v>
      </c>
      <c r="B134" s="14" t="s">
        <v>418</v>
      </c>
      <c r="C134" s="112"/>
      <c r="D134" s="112"/>
      <c r="E134" s="112"/>
      <c r="F134" s="112"/>
      <c r="G134" s="112"/>
      <c r="H134" s="113">
        <f t="shared" si="3"/>
        <v>0</v>
      </c>
      <c r="I134" s="22"/>
      <c r="J134" s="260"/>
      <c r="K134" s="1" t="s">
        <v>419</v>
      </c>
    </row>
    <row r="135" spans="1:11" s="18" customFormat="1" ht="15.5" x14ac:dyDescent="0.35">
      <c r="A135" s="14" t="s">
        <v>420</v>
      </c>
      <c r="B135" s="14" t="s">
        <v>421</v>
      </c>
      <c r="C135" s="112"/>
      <c r="D135" s="112"/>
      <c r="E135" s="112"/>
      <c r="F135" s="112"/>
      <c r="G135" s="112"/>
      <c r="H135" s="113">
        <f t="shared" si="3"/>
        <v>0</v>
      </c>
      <c r="I135" s="22"/>
      <c r="J135" s="260"/>
      <c r="K135" s="1" t="s">
        <v>422</v>
      </c>
    </row>
    <row r="136" spans="1:11" s="18" customFormat="1" ht="15.5" x14ac:dyDescent="0.35">
      <c r="A136" s="14" t="s">
        <v>423</v>
      </c>
      <c r="B136" s="14" t="s">
        <v>424</v>
      </c>
      <c r="C136" s="112"/>
      <c r="D136" s="112"/>
      <c r="E136" s="112"/>
      <c r="F136" s="112"/>
      <c r="G136" s="112"/>
      <c r="H136" s="113">
        <f t="shared" si="3"/>
        <v>0</v>
      </c>
      <c r="I136" s="22"/>
      <c r="J136" s="260"/>
      <c r="K136" s="1" t="s">
        <v>425</v>
      </c>
    </row>
    <row r="137" spans="1:11" s="18" customFormat="1" ht="15.5" x14ac:dyDescent="0.35">
      <c r="A137" s="14" t="s">
        <v>426</v>
      </c>
      <c r="B137" s="14" t="s">
        <v>427</v>
      </c>
      <c r="C137" s="112"/>
      <c r="D137" s="112"/>
      <c r="E137" s="112"/>
      <c r="F137" s="112"/>
      <c r="G137" s="112"/>
      <c r="H137" s="113">
        <f t="shared" si="3"/>
        <v>0</v>
      </c>
      <c r="I137" s="22"/>
      <c r="J137" s="260"/>
      <c r="K137" s="1" t="s">
        <v>428</v>
      </c>
    </row>
    <row r="138" spans="1:11" s="18" customFormat="1" ht="15.5" x14ac:dyDescent="0.35">
      <c r="A138" s="14" t="s">
        <v>429</v>
      </c>
      <c r="B138" s="14" t="s">
        <v>430</v>
      </c>
      <c r="C138" s="112"/>
      <c r="D138" s="112"/>
      <c r="E138" s="112"/>
      <c r="F138" s="112"/>
      <c r="G138" s="112"/>
      <c r="H138" s="113">
        <f t="shared" si="3"/>
        <v>0</v>
      </c>
      <c r="I138" s="22"/>
      <c r="J138" s="260"/>
      <c r="K138" s="1" t="s">
        <v>431</v>
      </c>
    </row>
    <row r="139" spans="1:11" s="18" customFormat="1" ht="15.5" x14ac:dyDescent="0.35">
      <c r="A139" s="14" t="s">
        <v>432</v>
      </c>
      <c r="B139" s="14" t="s">
        <v>433</v>
      </c>
      <c r="C139" s="112"/>
      <c r="D139" s="112"/>
      <c r="E139" s="112"/>
      <c r="F139" s="112"/>
      <c r="G139" s="112"/>
      <c r="H139" s="113">
        <f t="shared" si="3"/>
        <v>0</v>
      </c>
      <c r="I139" s="22"/>
      <c r="J139" s="260"/>
      <c r="K139" s="1" t="s">
        <v>434</v>
      </c>
    </row>
    <row r="140" spans="1:11" s="18" customFormat="1" ht="15.5" x14ac:dyDescent="0.35">
      <c r="A140" s="14" t="s">
        <v>435</v>
      </c>
      <c r="B140" s="14" t="s">
        <v>436</v>
      </c>
      <c r="C140" s="112"/>
      <c r="D140" s="112"/>
      <c r="E140" s="112"/>
      <c r="F140" s="112"/>
      <c r="G140" s="112"/>
      <c r="H140" s="113">
        <f t="shared" ref="H140:H172" si="4">SUM(C140:G140)</f>
        <v>0</v>
      </c>
      <c r="I140" s="22"/>
      <c r="J140" s="260"/>
      <c r="K140" s="1" t="s">
        <v>437</v>
      </c>
    </row>
    <row r="141" spans="1:11" s="18" customFormat="1" ht="15.5" x14ac:dyDescent="0.35">
      <c r="A141" s="14" t="s">
        <v>438</v>
      </c>
      <c r="B141" s="14" t="s">
        <v>439</v>
      </c>
      <c r="C141" s="112"/>
      <c r="D141" s="112"/>
      <c r="E141" s="112"/>
      <c r="F141" s="112"/>
      <c r="G141" s="112"/>
      <c r="H141" s="113">
        <f t="shared" si="4"/>
        <v>0</v>
      </c>
      <c r="I141" s="22"/>
      <c r="J141" s="260"/>
      <c r="K141" s="1" t="s">
        <v>440</v>
      </c>
    </row>
    <row r="142" spans="1:11" s="18" customFormat="1" ht="15.5" x14ac:dyDescent="0.35">
      <c r="A142" s="14" t="s">
        <v>441</v>
      </c>
      <c r="B142" s="14" t="s">
        <v>442</v>
      </c>
      <c r="C142" s="112"/>
      <c r="D142" s="112"/>
      <c r="E142" s="112"/>
      <c r="F142" s="112"/>
      <c r="G142" s="112"/>
      <c r="H142" s="113">
        <f t="shared" si="4"/>
        <v>0</v>
      </c>
      <c r="I142" s="22"/>
      <c r="J142" s="260"/>
      <c r="K142" s="1" t="s">
        <v>443</v>
      </c>
    </row>
    <row r="143" spans="1:11" s="18" customFormat="1" ht="15.5" x14ac:dyDescent="0.35">
      <c r="A143" s="14" t="s">
        <v>444</v>
      </c>
      <c r="B143" s="14" t="s">
        <v>445</v>
      </c>
      <c r="C143" s="112"/>
      <c r="D143" s="112"/>
      <c r="E143" s="112"/>
      <c r="F143" s="112"/>
      <c r="G143" s="112"/>
      <c r="H143" s="113">
        <f t="shared" si="4"/>
        <v>0</v>
      </c>
      <c r="I143" s="22"/>
      <c r="J143" s="260"/>
      <c r="K143" s="1" t="s">
        <v>446</v>
      </c>
    </row>
    <row r="144" spans="1:11" s="18" customFormat="1" ht="15.5" x14ac:dyDescent="0.35">
      <c r="A144" s="14" t="s">
        <v>447</v>
      </c>
      <c r="B144" s="14" t="s">
        <v>448</v>
      </c>
      <c r="C144" s="112"/>
      <c r="D144" s="112"/>
      <c r="E144" s="112"/>
      <c r="F144" s="112"/>
      <c r="G144" s="112"/>
      <c r="H144" s="113">
        <f t="shared" si="4"/>
        <v>0</v>
      </c>
      <c r="I144" s="22"/>
      <c r="J144" s="260"/>
      <c r="K144" s="1" t="s">
        <v>449</v>
      </c>
    </row>
    <row r="145" spans="1:11" s="18" customFormat="1" ht="15.5" x14ac:dyDescent="0.35">
      <c r="A145" s="14" t="s">
        <v>450</v>
      </c>
      <c r="B145" s="14" t="s">
        <v>451</v>
      </c>
      <c r="C145" s="112"/>
      <c r="D145" s="112"/>
      <c r="E145" s="112"/>
      <c r="F145" s="112"/>
      <c r="G145" s="112"/>
      <c r="H145" s="113">
        <f t="shared" si="4"/>
        <v>0</v>
      </c>
      <c r="I145" s="22"/>
      <c r="J145" s="260"/>
      <c r="K145" s="1" t="s">
        <v>452</v>
      </c>
    </row>
    <row r="146" spans="1:11" s="18" customFormat="1" ht="15.5" x14ac:dyDescent="0.35">
      <c r="A146" s="14" t="s">
        <v>453</v>
      </c>
      <c r="B146" s="14" t="s">
        <v>454</v>
      </c>
      <c r="C146" s="112"/>
      <c r="D146" s="112"/>
      <c r="E146" s="112"/>
      <c r="F146" s="112"/>
      <c r="G146" s="112"/>
      <c r="H146" s="113">
        <f t="shared" si="4"/>
        <v>0</v>
      </c>
      <c r="I146" s="22"/>
      <c r="J146" s="260"/>
      <c r="K146" s="1" t="s">
        <v>455</v>
      </c>
    </row>
    <row r="147" spans="1:11" s="18" customFormat="1" ht="15.5" x14ac:dyDescent="0.35">
      <c r="A147" s="14" t="s">
        <v>456</v>
      </c>
      <c r="B147" s="14" t="s">
        <v>457</v>
      </c>
      <c r="C147" s="112"/>
      <c r="D147" s="112"/>
      <c r="E147" s="112"/>
      <c r="F147" s="112"/>
      <c r="G147" s="112"/>
      <c r="H147" s="113">
        <f t="shared" si="4"/>
        <v>0</v>
      </c>
      <c r="I147" s="22"/>
      <c r="J147" s="259"/>
      <c r="K147" s="1" t="s">
        <v>458</v>
      </c>
    </row>
    <row r="148" spans="1:11" s="18" customFormat="1" ht="15.5" x14ac:dyDescent="0.35">
      <c r="A148" s="39" t="s">
        <v>459</v>
      </c>
      <c r="B148" s="14" t="s">
        <v>460</v>
      </c>
      <c r="C148" s="112"/>
      <c r="D148" s="112"/>
      <c r="E148" s="112"/>
      <c r="F148" s="112"/>
      <c r="G148" s="112"/>
      <c r="H148" s="113">
        <f t="shared" si="4"/>
        <v>0</v>
      </c>
      <c r="I148" s="22"/>
      <c r="J148" s="260"/>
      <c r="K148" s="1" t="s">
        <v>461</v>
      </c>
    </row>
    <row r="149" spans="1:11" s="18" customFormat="1" ht="15.5" x14ac:dyDescent="0.35">
      <c r="A149" s="14" t="s">
        <v>462</v>
      </c>
      <c r="B149" s="14" t="s">
        <v>463</v>
      </c>
      <c r="C149" s="112"/>
      <c r="D149" s="112"/>
      <c r="E149" s="112"/>
      <c r="F149" s="112"/>
      <c r="G149" s="112"/>
      <c r="H149" s="113">
        <f t="shared" si="4"/>
        <v>0</v>
      </c>
      <c r="I149" s="22"/>
      <c r="J149" s="260"/>
      <c r="K149" s="1" t="s">
        <v>464</v>
      </c>
    </row>
    <row r="150" spans="1:11" s="18" customFormat="1" ht="15.5" x14ac:dyDescent="0.35">
      <c r="A150" s="14" t="s">
        <v>465</v>
      </c>
      <c r="B150" s="14" t="s">
        <v>466</v>
      </c>
      <c r="C150" s="112"/>
      <c r="D150" s="112"/>
      <c r="E150" s="112"/>
      <c r="F150" s="112"/>
      <c r="G150" s="112"/>
      <c r="H150" s="113">
        <f t="shared" si="4"/>
        <v>0</v>
      </c>
      <c r="I150" s="22"/>
      <c r="J150" s="260"/>
      <c r="K150" s="1" t="s">
        <v>467</v>
      </c>
    </row>
    <row r="151" spans="1:11" s="18" customFormat="1" ht="15.5" x14ac:dyDescent="0.35">
      <c r="A151" s="14" t="s">
        <v>468</v>
      </c>
      <c r="B151" s="14" t="s">
        <v>469</v>
      </c>
      <c r="C151" s="112"/>
      <c r="D151" s="112"/>
      <c r="E151" s="112"/>
      <c r="F151" s="112"/>
      <c r="G151" s="112"/>
      <c r="H151" s="113">
        <f t="shared" si="4"/>
        <v>0</v>
      </c>
      <c r="I151" s="22"/>
      <c r="J151" s="260"/>
      <c r="K151" s="1" t="s">
        <v>470</v>
      </c>
    </row>
    <row r="152" spans="1:11" s="18" customFormat="1" ht="15.5" x14ac:dyDescent="0.35">
      <c r="A152" s="14" t="s">
        <v>471</v>
      </c>
      <c r="B152" s="14" t="s">
        <v>472</v>
      </c>
      <c r="C152" s="112"/>
      <c r="D152" s="112"/>
      <c r="E152" s="112"/>
      <c r="F152" s="112"/>
      <c r="G152" s="112"/>
      <c r="H152" s="113">
        <f t="shared" si="4"/>
        <v>0</v>
      </c>
      <c r="I152" s="22"/>
      <c r="J152" s="260"/>
      <c r="K152" s="1" t="s">
        <v>473</v>
      </c>
    </row>
    <row r="153" spans="1:11" s="18" customFormat="1" ht="15.5" x14ac:dyDescent="0.35">
      <c r="A153" s="14" t="s">
        <v>474</v>
      </c>
      <c r="B153" s="14" t="s">
        <v>475</v>
      </c>
      <c r="C153" s="112"/>
      <c r="D153" s="112"/>
      <c r="E153" s="112"/>
      <c r="F153" s="112"/>
      <c r="G153" s="112"/>
      <c r="H153" s="113">
        <f t="shared" si="4"/>
        <v>0</v>
      </c>
      <c r="I153" s="22"/>
      <c r="J153" s="260"/>
      <c r="K153" s="1" t="s">
        <v>476</v>
      </c>
    </row>
    <row r="154" spans="1:11" s="18" customFormat="1" ht="15.5" x14ac:dyDescent="0.35">
      <c r="A154" s="14" t="s">
        <v>477</v>
      </c>
      <c r="B154" s="14" t="s">
        <v>478</v>
      </c>
      <c r="C154" s="112"/>
      <c r="D154" s="112"/>
      <c r="E154" s="112"/>
      <c r="F154" s="112"/>
      <c r="G154" s="112"/>
      <c r="H154" s="113">
        <f t="shared" si="4"/>
        <v>0</v>
      </c>
      <c r="I154" s="22"/>
      <c r="J154" s="260"/>
      <c r="K154" s="1" t="s">
        <v>479</v>
      </c>
    </row>
    <row r="155" spans="1:11" s="18" customFormat="1" ht="15.5" x14ac:dyDescent="0.35">
      <c r="A155" s="14" t="s">
        <v>480</v>
      </c>
      <c r="B155" s="14" t="s">
        <v>481</v>
      </c>
      <c r="C155" s="112"/>
      <c r="D155" s="112"/>
      <c r="E155" s="112"/>
      <c r="F155" s="112"/>
      <c r="G155" s="112"/>
      <c r="H155" s="113">
        <f t="shared" si="4"/>
        <v>0</v>
      </c>
      <c r="I155" s="22"/>
      <c r="J155" s="260"/>
      <c r="K155" s="1" t="s">
        <v>482</v>
      </c>
    </row>
    <row r="156" spans="1:11" s="18" customFormat="1" ht="15.5" x14ac:dyDescent="0.35">
      <c r="A156" s="14" t="s">
        <v>483</v>
      </c>
      <c r="B156" s="14" t="s">
        <v>484</v>
      </c>
      <c r="C156" s="112"/>
      <c r="D156" s="112"/>
      <c r="E156" s="112"/>
      <c r="F156" s="112"/>
      <c r="G156" s="112"/>
      <c r="H156" s="113">
        <f t="shared" si="4"/>
        <v>0</v>
      </c>
      <c r="I156" s="22"/>
      <c r="J156" s="260"/>
      <c r="K156" s="1" t="s">
        <v>485</v>
      </c>
    </row>
    <row r="157" spans="1:11" s="18" customFormat="1" ht="15.5" x14ac:dyDescent="0.35">
      <c r="A157" s="39" t="s">
        <v>486</v>
      </c>
      <c r="B157" s="14" t="s">
        <v>487</v>
      </c>
      <c r="C157" s="112"/>
      <c r="D157" s="112"/>
      <c r="E157" s="112"/>
      <c r="F157" s="112"/>
      <c r="G157" s="112"/>
      <c r="H157" s="113">
        <f t="shared" si="4"/>
        <v>0</v>
      </c>
      <c r="I157" s="22"/>
      <c r="J157" s="260"/>
      <c r="K157" s="1" t="s">
        <v>488</v>
      </c>
    </row>
    <row r="158" spans="1:11" s="18" customFormat="1" ht="15.5" x14ac:dyDescent="0.35">
      <c r="A158" s="14" t="s">
        <v>489</v>
      </c>
      <c r="B158" s="14" t="s">
        <v>490</v>
      </c>
      <c r="C158" s="112"/>
      <c r="D158" s="112"/>
      <c r="E158" s="112"/>
      <c r="F158" s="112"/>
      <c r="G158" s="112"/>
      <c r="H158" s="113">
        <f t="shared" si="4"/>
        <v>0</v>
      </c>
      <c r="I158" s="22"/>
      <c r="J158" s="260"/>
      <c r="K158" s="1" t="s">
        <v>491</v>
      </c>
    </row>
    <row r="159" spans="1:11" s="18" customFormat="1" ht="15.5" x14ac:dyDescent="0.35">
      <c r="A159" s="14" t="s">
        <v>492</v>
      </c>
      <c r="B159" s="14" t="s">
        <v>493</v>
      </c>
      <c r="C159" s="112"/>
      <c r="D159" s="112"/>
      <c r="E159" s="112"/>
      <c r="F159" s="112"/>
      <c r="G159" s="112"/>
      <c r="H159" s="113">
        <f t="shared" si="4"/>
        <v>0</v>
      </c>
      <c r="I159" s="22"/>
      <c r="J159" s="260"/>
      <c r="K159" s="1" t="s">
        <v>494</v>
      </c>
    </row>
    <row r="160" spans="1:11" s="18" customFormat="1" ht="15.5" x14ac:dyDescent="0.35">
      <c r="A160" s="14" t="s">
        <v>495</v>
      </c>
      <c r="B160" s="14" t="s">
        <v>496</v>
      </c>
      <c r="C160" s="112"/>
      <c r="D160" s="112"/>
      <c r="E160" s="112"/>
      <c r="F160" s="112"/>
      <c r="G160" s="112"/>
      <c r="H160" s="113">
        <f t="shared" si="4"/>
        <v>0</v>
      </c>
      <c r="I160" s="22"/>
      <c r="J160" s="260"/>
      <c r="K160" s="1" t="s">
        <v>497</v>
      </c>
    </row>
    <row r="161" spans="1:11" s="18" customFormat="1" ht="15.5" x14ac:dyDescent="0.35">
      <c r="A161" s="14" t="s">
        <v>498</v>
      </c>
      <c r="B161" s="14" t="s">
        <v>499</v>
      </c>
      <c r="C161" s="112"/>
      <c r="D161" s="112"/>
      <c r="E161" s="112"/>
      <c r="F161" s="112"/>
      <c r="G161" s="112"/>
      <c r="H161" s="113">
        <f t="shared" si="4"/>
        <v>0</v>
      </c>
      <c r="I161" s="22"/>
      <c r="J161" s="260"/>
      <c r="K161" s="1" t="s">
        <v>500</v>
      </c>
    </row>
    <row r="162" spans="1:11" s="18" customFormat="1" ht="15.5" x14ac:dyDescent="0.35">
      <c r="A162" s="14" t="s">
        <v>501</v>
      </c>
      <c r="B162" s="14" t="s">
        <v>502</v>
      </c>
      <c r="C162" s="112"/>
      <c r="D162" s="112"/>
      <c r="E162" s="112"/>
      <c r="F162" s="112"/>
      <c r="G162" s="112"/>
      <c r="H162" s="113">
        <f t="shared" si="4"/>
        <v>0</v>
      </c>
      <c r="I162" s="22"/>
      <c r="J162" s="260"/>
      <c r="K162" s="1" t="s">
        <v>503</v>
      </c>
    </row>
    <row r="163" spans="1:11" s="18" customFormat="1" ht="15.5" x14ac:dyDescent="0.35">
      <c r="A163" s="14" t="s">
        <v>504</v>
      </c>
      <c r="B163" s="14" t="s">
        <v>505</v>
      </c>
      <c r="C163" s="112"/>
      <c r="D163" s="112"/>
      <c r="E163" s="112"/>
      <c r="F163" s="112"/>
      <c r="G163" s="112"/>
      <c r="H163" s="113">
        <f t="shared" si="4"/>
        <v>0</v>
      </c>
      <c r="I163" s="22"/>
      <c r="J163" s="260"/>
      <c r="K163" s="1" t="s">
        <v>506</v>
      </c>
    </row>
    <row r="164" spans="1:11" s="18" customFormat="1" ht="15.5" x14ac:dyDescent="0.35">
      <c r="A164" s="14" t="s">
        <v>507</v>
      </c>
      <c r="B164" s="14" t="s">
        <v>508</v>
      </c>
      <c r="C164" s="112"/>
      <c r="D164" s="112"/>
      <c r="E164" s="112"/>
      <c r="F164" s="112"/>
      <c r="G164" s="112"/>
      <c r="H164" s="113">
        <f t="shared" si="4"/>
        <v>0</v>
      </c>
      <c r="I164" s="22"/>
      <c r="J164" s="260"/>
      <c r="K164" s="1" t="s">
        <v>509</v>
      </c>
    </row>
    <row r="165" spans="1:11" s="18" customFormat="1" ht="15.5" x14ac:dyDescent="0.35">
      <c r="A165" s="14"/>
      <c r="B165" s="14"/>
      <c r="C165" s="112"/>
      <c r="D165" s="112"/>
      <c r="E165" s="112"/>
      <c r="F165" s="112"/>
      <c r="G165" s="112"/>
      <c r="H165" s="113">
        <f t="shared" si="4"/>
        <v>0</v>
      </c>
      <c r="I165" s="22"/>
      <c r="J165" s="260"/>
      <c r="K165" s="1"/>
    </row>
    <row r="166" spans="1:11" s="18" customFormat="1" ht="15.5" x14ac:dyDescent="0.35">
      <c r="A166" s="14"/>
      <c r="B166" s="14"/>
      <c r="C166" s="112"/>
      <c r="D166" s="112"/>
      <c r="E166" s="112"/>
      <c r="F166" s="112"/>
      <c r="G166" s="112"/>
      <c r="H166" s="113">
        <f t="shared" si="4"/>
        <v>0</v>
      </c>
      <c r="I166" s="22"/>
      <c r="J166" s="260"/>
      <c r="K166" s="1"/>
    </row>
    <row r="167" spans="1:11" s="18" customFormat="1" ht="15.5" x14ac:dyDescent="0.35">
      <c r="A167" s="14"/>
      <c r="B167" s="14"/>
      <c r="C167" s="112"/>
      <c r="D167" s="112"/>
      <c r="E167" s="112"/>
      <c r="F167" s="112"/>
      <c r="G167" s="112"/>
      <c r="H167" s="113">
        <f t="shared" si="4"/>
        <v>0</v>
      </c>
      <c r="I167" s="22"/>
      <c r="J167" s="260"/>
      <c r="K167" s="1"/>
    </row>
    <row r="168" spans="1:11" s="18" customFormat="1" ht="15.5" x14ac:dyDescent="0.35">
      <c r="A168" s="14"/>
      <c r="B168" s="14"/>
      <c r="C168" s="112"/>
      <c r="D168" s="112"/>
      <c r="E168" s="112"/>
      <c r="F168" s="112"/>
      <c r="G168" s="112"/>
      <c r="H168" s="113">
        <f t="shared" si="4"/>
        <v>0</v>
      </c>
      <c r="I168" s="22"/>
      <c r="J168" s="260"/>
      <c r="K168" s="1"/>
    </row>
    <row r="169" spans="1:11" s="18" customFormat="1" ht="15.5" x14ac:dyDescent="0.35">
      <c r="A169" s="14"/>
      <c r="B169" s="14"/>
      <c r="C169" s="112"/>
      <c r="D169" s="112"/>
      <c r="E169" s="112"/>
      <c r="F169" s="112"/>
      <c r="G169" s="112"/>
      <c r="H169" s="113">
        <f t="shared" si="4"/>
        <v>0</v>
      </c>
      <c r="I169" s="22"/>
      <c r="J169" s="260"/>
      <c r="K169" s="1"/>
    </row>
    <row r="170" spans="1:11" s="18" customFormat="1" ht="15.5" x14ac:dyDescent="0.35">
      <c r="A170" s="14"/>
      <c r="B170" s="14"/>
      <c r="C170" s="112"/>
      <c r="D170" s="112"/>
      <c r="E170" s="112"/>
      <c r="F170" s="112"/>
      <c r="G170" s="112"/>
      <c r="H170" s="113">
        <f t="shared" si="4"/>
        <v>0</v>
      </c>
      <c r="I170" s="22"/>
      <c r="J170" s="260"/>
      <c r="K170" s="1"/>
    </row>
    <row r="171" spans="1:11" s="18" customFormat="1" ht="15.5" x14ac:dyDescent="0.35">
      <c r="A171" s="14"/>
      <c r="B171" s="14"/>
      <c r="C171" s="112"/>
      <c r="D171" s="112"/>
      <c r="E171" s="112"/>
      <c r="F171" s="112"/>
      <c r="G171" s="112"/>
      <c r="H171" s="113">
        <f t="shared" si="4"/>
        <v>0</v>
      </c>
      <c r="I171" s="22"/>
      <c r="J171" s="260" t="s">
        <v>510</v>
      </c>
      <c r="K171" s="1"/>
    </row>
    <row r="172" spans="1:11" s="18" customFormat="1" ht="15.5" x14ac:dyDescent="0.35">
      <c r="A172" s="40"/>
      <c r="B172" s="35"/>
      <c r="C172" s="114"/>
      <c r="D172" s="114"/>
      <c r="E172" s="114"/>
      <c r="F172" s="114"/>
      <c r="G172" s="114"/>
      <c r="H172" s="113">
        <f t="shared" si="4"/>
        <v>0</v>
      </c>
      <c r="I172" s="22"/>
      <c r="J172" s="262"/>
      <c r="K172" s="29"/>
    </row>
    <row r="173" spans="1:11" s="30" customFormat="1" ht="15.5" x14ac:dyDescent="0.35">
      <c r="A173" s="81"/>
      <c r="B173" s="41" t="s">
        <v>511</v>
      </c>
      <c r="C173" s="115">
        <f>SUM(C12:C172)</f>
        <v>245354.49999999997</v>
      </c>
      <c r="D173" s="115">
        <f t="shared" ref="D173:H173" si="5">SUM(D12:D172)</f>
        <v>99480.499999999971</v>
      </c>
      <c r="E173" s="115">
        <f t="shared" si="5"/>
        <v>0</v>
      </c>
      <c r="F173" s="115">
        <f t="shared" si="5"/>
        <v>0</v>
      </c>
      <c r="G173" s="115">
        <f t="shared" si="5"/>
        <v>0</v>
      </c>
      <c r="H173" s="115">
        <f t="shared" si="5"/>
        <v>344835</v>
      </c>
      <c r="I173" s="62"/>
      <c r="J173" s="262"/>
      <c r="K173" s="29"/>
    </row>
    <row r="174" spans="1:11" s="18" customFormat="1" ht="15.5" x14ac:dyDescent="0.35">
      <c r="A174" s="83"/>
      <c r="B174" s="76" t="s">
        <v>512</v>
      </c>
      <c r="C174" s="59"/>
      <c r="D174" s="59"/>
      <c r="E174" s="59"/>
      <c r="F174" s="59"/>
      <c r="G174" s="59"/>
      <c r="H174" s="59"/>
      <c r="I174" s="22"/>
      <c r="J174" s="263"/>
      <c r="K174" s="17"/>
    </row>
    <row r="175" spans="1:11" s="18" customFormat="1" ht="77.5" x14ac:dyDescent="0.35">
      <c r="A175" s="14" t="s">
        <v>513</v>
      </c>
      <c r="B175" s="14" t="s">
        <v>514</v>
      </c>
      <c r="C175" s="221">
        <f>18*(1100+200+(100*3))</f>
        <v>28800</v>
      </c>
      <c r="D175" s="221"/>
      <c r="E175" s="221">
        <f>11*(1100+200+(100*3))</f>
        <v>17600</v>
      </c>
      <c r="F175" s="221"/>
      <c r="G175" s="221"/>
      <c r="H175" s="222">
        <f t="shared" ref="H175:H187" si="6">SUM(C175:G175)</f>
        <v>46400</v>
      </c>
      <c r="I175" s="22"/>
      <c r="J175" s="259" t="s">
        <v>742</v>
      </c>
      <c r="K175" s="238" t="s">
        <v>515</v>
      </c>
    </row>
    <row r="176" spans="1:11" s="18" customFormat="1" ht="15.5" x14ac:dyDescent="0.35">
      <c r="A176" s="14" t="s">
        <v>516</v>
      </c>
      <c r="B176" s="14" t="s">
        <v>517</v>
      </c>
      <c r="C176" s="112"/>
      <c r="D176" s="112"/>
      <c r="E176" s="112"/>
      <c r="F176" s="112"/>
      <c r="G176" s="112"/>
      <c r="H176" s="113">
        <f t="shared" si="6"/>
        <v>0</v>
      </c>
      <c r="I176" s="22"/>
      <c r="J176" s="259"/>
      <c r="K176" s="239"/>
    </row>
    <row r="177" spans="1:11" s="18" customFormat="1" ht="15.5" x14ac:dyDescent="0.35">
      <c r="A177" s="14" t="s">
        <v>518</v>
      </c>
      <c r="B177" s="14" t="s">
        <v>519</v>
      </c>
      <c r="C177" s="112"/>
      <c r="D177" s="112"/>
      <c r="E177" s="112"/>
      <c r="F177" s="112"/>
      <c r="G177" s="112"/>
      <c r="H177" s="113">
        <f t="shared" si="6"/>
        <v>0</v>
      </c>
      <c r="I177" s="22"/>
      <c r="J177" s="260"/>
      <c r="K177" s="239"/>
    </row>
    <row r="178" spans="1:11" s="18" customFormat="1" ht="15.5" x14ac:dyDescent="0.35">
      <c r="A178" s="14" t="s">
        <v>520</v>
      </c>
      <c r="B178" s="14" t="s">
        <v>521</v>
      </c>
      <c r="C178" s="112"/>
      <c r="D178" s="112"/>
      <c r="E178" s="112"/>
      <c r="F178" s="112"/>
      <c r="G178" s="112"/>
      <c r="H178" s="113">
        <f t="shared" si="6"/>
        <v>0</v>
      </c>
      <c r="I178" s="22"/>
      <c r="J178" s="260"/>
      <c r="K178" s="239"/>
    </row>
    <row r="179" spans="1:11" s="18" customFormat="1" ht="15.5" x14ac:dyDescent="0.35">
      <c r="A179" s="14" t="s">
        <v>522</v>
      </c>
      <c r="B179" s="14" t="s">
        <v>523</v>
      </c>
      <c r="C179" s="112"/>
      <c r="D179" s="112"/>
      <c r="E179" s="112"/>
      <c r="F179" s="112"/>
      <c r="G179" s="112"/>
      <c r="H179" s="113">
        <f t="shared" si="6"/>
        <v>0</v>
      </c>
      <c r="I179" s="22"/>
      <c r="J179" s="260"/>
      <c r="K179" s="239"/>
    </row>
    <row r="180" spans="1:11" s="18" customFormat="1" ht="15.5" x14ac:dyDescent="0.35">
      <c r="A180" s="14" t="s">
        <v>524</v>
      </c>
      <c r="B180" s="14" t="s">
        <v>525</v>
      </c>
      <c r="C180" s="112"/>
      <c r="D180" s="112"/>
      <c r="E180" s="112"/>
      <c r="F180" s="112"/>
      <c r="G180" s="112"/>
      <c r="H180" s="113">
        <f t="shared" si="6"/>
        <v>0</v>
      </c>
      <c r="I180" s="22"/>
      <c r="J180" s="260"/>
      <c r="K180" s="239"/>
    </row>
    <row r="181" spans="1:11" s="18" customFormat="1" ht="15.5" x14ac:dyDescent="0.35">
      <c r="A181" s="14" t="s">
        <v>526</v>
      </c>
      <c r="B181" s="14" t="s">
        <v>527</v>
      </c>
      <c r="C181" s="112"/>
      <c r="D181" s="112"/>
      <c r="E181" s="112"/>
      <c r="F181" s="112"/>
      <c r="G181" s="112"/>
      <c r="H181" s="113">
        <f t="shared" si="6"/>
        <v>0</v>
      </c>
      <c r="I181" s="22"/>
      <c r="J181" s="260"/>
      <c r="K181" s="240"/>
    </row>
    <row r="182" spans="1:11" s="18" customFormat="1" ht="93" x14ac:dyDescent="0.35">
      <c r="A182" s="14" t="s">
        <v>588</v>
      </c>
      <c r="B182" s="14" t="s">
        <v>589</v>
      </c>
      <c r="C182" s="112">
        <f>(1+5+2)*(550+650+650)</f>
        <v>14800</v>
      </c>
      <c r="D182" s="112"/>
      <c r="E182" s="112"/>
      <c r="F182" s="112"/>
      <c r="G182" s="112"/>
      <c r="H182" s="113">
        <f t="shared" si="6"/>
        <v>14800</v>
      </c>
      <c r="I182" s="22"/>
      <c r="J182" s="259" t="s">
        <v>743</v>
      </c>
      <c r="K182" s="102"/>
    </row>
    <row r="183" spans="1:11" s="18" customFormat="1" ht="15.5" x14ac:dyDescent="0.35">
      <c r="A183" s="14"/>
      <c r="B183" s="14"/>
      <c r="C183" s="112"/>
      <c r="D183" s="112"/>
      <c r="E183" s="112"/>
      <c r="F183" s="112"/>
      <c r="G183" s="112"/>
      <c r="H183" s="113">
        <f t="shared" si="6"/>
        <v>0</v>
      </c>
      <c r="I183" s="22"/>
      <c r="J183" s="260"/>
      <c r="K183" s="102"/>
    </row>
    <row r="184" spans="1:11" s="18" customFormat="1" ht="15.5" x14ac:dyDescent="0.35">
      <c r="A184" s="14"/>
      <c r="B184" s="14"/>
      <c r="C184" s="112"/>
      <c r="D184" s="112"/>
      <c r="E184" s="112"/>
      <c r="F184" s="112"/>
      <c r="G184" s="112"/>
      <c r="H184" s="113">
        <f t="shared" si="6"/>
        <v>0</v>
      </c>
      <c r="I184" s="22"/>
      <c r="J184" s="260"/>
      <c r="K184" s="102"/>
    </row>
    <row r="185" spans="1:11" s="18" customFormat="1" ht="15.5" x14ac:dyDescent="0.35">
      <c r="A185" s="14"/>
      <c r="B185" s="14"/>
      <c r="C185" s="112"/>
      <c r="D185" s="112"/>
      <c r="E185" s="112"/>
      <c r="F185" s="112"/>
      <c r="G185" s="112"/>
      <c r="H185" s="113">
        <f t="shared" si="6"/>
        <v>0</v>
      </c>
      <c r="I185" s="22"/>
      <c r="J185" s="260"/>
      <c r="K185" s="102"/>
    </row>
    <row r="186" spans="1:11" s="18" customFormat="1" ht="15.5" x14ac:dyDescent="0.35">
      <c r="A186" s="14"/>
      <c r="B186" s="14"/>
      <c r="C186" s="112"/>
      <c r="D186" s="112"/>
      <c r="E186" s="112"/>
      <c r="F186" s="112"/>
      <c r="G186" s="112"/>
      <c r="H186" s="113">
        <f t="shared" si="6"/>
        <v>0</v>
      </c>
      <c r="I186" s="22"/>
      <c r="J186" s="260"/>
      <c r="K186" s="1"/>
    </row>
    <row r="187" spans="1:11" s="18" customFormat="1" ht="15.5" x14ac:dyDescent="0.35">
      <c r="A187" s="40"/>
      <c r="B187" s="35"/>
      <c r="C187" s="114"/>
      <c r="D187" s="114"/>
      <c r="E187" s="114"/>
      <c r="F187" s="114"/>
      <c r="G187" s="114"/>
      <c r="H187" s="113">
        <f t="shared" si="6"/>
        <v>0</v>
      </c>
      <c r="I187" s="22"/>
      <c r="J187" s="262"/>
      <c r="K187" s="29"/>
    </row>
    <row r="188" spans="1:11" s="30" customFormat="1" ht="15.5" x14ac:dyDescent="0.35">
      <c r="A188" s="81"/>
      <c r="B188" s="41" t="s">
        <v>528</v>
      </c>
      <c r="C188" s="116">
        <f>SUM(C175:C187)</f>
        <v>43600</v>
      </c>
      <c r="D188" s="116">
        <f t="shared" ref="D188:H188" si="7">SUM(D175:D187)</f>
        <v>0</v>
      </c>
      <c r="E188" s="116">
        <f t="shared" si="7"/>
        <v>17600</v>
      </c>
      <c r="F188" s="116">
        <f t="shared" si="7"/>
        <v>0</v>
      </c>
      <c r="G188" s="116">
        <f t="shared" si="7"/>
        <v>0</v>
      </c>
      <c r="H188" s="116">
        <f t="shared" si="7"/>
        <v>61200</v>
      </c>
      <c r="I188" s="62"/>
      <c r="J188" s="262"/>
      <c r="K188" s="29"/>
    </row>
    <row r="189" spans="1:11" s="18" customFormat="1" ht="15.5" x14ac:dyDescent="0.35">
      <c r="A189" s="84"/>
      <c r="B189" s="10" t="s">
        <v>529</v>
      </c>
      <c r="C189" s="60"/>
      <c r="D189" s="60"/>
      <c r="E189" s="60"/>
      <c r="F189" s="60"/>
      <c r="G189" s="60"/>
      <c r="H189" s="60"/>
      <c r="I189" s="22"/>
      <c r="J189" s="263"/>
      <c r="K189" s="17"/>
    </row>
    <row r="190" spans="1:11" s="18" customFormat="1" ht="102.5" customHeight="1" x14ac:dyDescent="0.35">
      <c r="A190" s="14" t="s">
        <v>530</v>
      </c>
      <c r="B190" s="14" t="s">
        <v>531</v>
      </c>
      <c r="C190" s="112"/>
      <c r="D190" s="112"/>
      <c r="E190" s="221">
        <f>89728+5435+5000</f>
        <v>100163</v>
      </c>
      <c r="F190" s="221"/>
      <c r="G190" s="221"/>
      <c r="H190" s="222">
        <f t="shared" ref="H190:H215" si="8">SUM(C190:G190)</f>
        <v>100163</v>
      </c>
      <c r="I190" s="271"/>
      <c r="J190" s="259" t="s">
        <v>751</v>
      </c>
      <c r="K190" s="241" t="s">
        <v>532</v>
      </c>
    </row>
    <row r="191" spans="1:11" s="18" customFormat="1" ht="15.75" customHeight="1" x14ac:dyDescent="0.35">
      <c r="A191" s="14" t="s">
        <v>530</v>
      </c>
      <c r="B191" s="14" t="s">
        <v>533</v>
      </c>
      <c r="C191" s="112"/>
      <c r="D191" s="112"/>
      <c r="E191" s="221"/>
      <c r="F191" s="221"/>
      <c r="G191" s="221"/>
      <c r="H191" s="222">
        <f t="shared" si="8"/>
        <v>0</v>
      </c>
      <c r="I191" s="271"/>
      <c r="J191" s="260"/>
      <c r="K191" s="242"/>
    </row>
    <row r="192" spans="1:11" s="18" customFormat="1" ht="15.75" customHeight="1" x14ac:dyDescent="0.35">
      <c r="A192" s="14" t="s">
        <v>534</v>
      </c>
      <c r="B192" s="14" t="s">
        <v>535</v>
      </c>
      <c r="C192" s="112"/>
      <c r="D192" s="112"/>
      <c r="E192" s="221"/>
      <c r="F192" s="221"/>
      <c r="G192" s="221"/>
      <c r="H192" s="222">
        <f t="shared" si="8"/>
        <v>0</v>
      </c>
      <c r="I192" s="271"/>
      <c r="J192" s="259"/>
      <c r="K192" s="242"/>
    </row>
    <row r="193" spans="1:11" s="18" customFormat="1" ht="15.75" customHeight="1" x14ac:dyDescent="0.35">
      <c r="A193" s="14" t="s">
        <v>536</v>
      </c>
      <c r="B193" s="14" t="s">
        <v>537</v>
      </c>
      <c r="C193" s="112"/>
      <c r="D193" s="112"/>
      <c r="E193" s="221"/>
      <c r="F193" s="221"/>
      <c r="G193" s="221"/>
      <c r="H193" s="222">
        <f t="shared" si="8"/>
        <v>0</v>
      </c>
      <c r="I193" s="271"/>
      <c r="J193" s="259"/>
      <c r="K193" s="242"/>
    </row>
    <row r="194" spans="1:11" s="18" customFormat="1" ht="15.75" customHeight="1" x14ac:dyDescent="0.35">
      <c r="A194" s="14" t="s">
        <v>538</v>
      </c>
      <c r="B194" s="14" t="s">
        <v>539</v>
      </c>
      <c r="C194" s="112"/>
      <c r="D194" s="112"/>
      <c r="E194" s="221"/>
      <c r="F194" s="221"/>
      <c r="G194" s="221"/>
      <c r="H194" s="222">
        <f t="shared" si="8"/>
        <v>0</v>
      </c>
      <c r="I194" s="271"/>
      <c r="J194" s="259"/>
      <c r="K194" s="242"/>
    </row>
    <row r="195" spans="1:11" s="18" customFormat="1" ht="15.75" customHeight="1" x14ac:dyDescent="0.35">
      <c r="A195" s="14" t="s">
        <v>538</v>
      </c>
      <c r="B195" s="14" t="s">
        <v>540</v>
      </c>
      <c r="C195" s="112"/>
      <c r="D195" s="112"/>
      <c r="E195" s="221"/>
      <c r="F195" s="221"/>
      <c r="G195" s="221"/>
      <c r="H195" s="222">
        <f t="shared" si="8"/>
        <v>0</v>
      </c>
      <c r="I195" s="271"/>
      <c r="J195" s="260"/>
      <c r="K195" s="242"/>
    </row>
    <row r="196" spans="1:11" s="18" customFormat="1" ht="15.75" customHeight="1" x14ac:dyDescent="0.35">
      <c r="A196" s="14" t="s">
        <v>541</v>
      </c>
      <c r="B196" s="14" t="s">
        <v>542</v>
      </c>
      <c r="C196" s="112"/>
      <c r="D196" s="112"/>
      <c r="E196" s="221"/>
      <c r="F196" s="221"/>
      <c r="G196" s="221"/>
      <c r="H196" s="222">
        <f t="shared" si="8"/>
        <v>0</v>
      </c>
      <c r="I196" s="271"/>
      <c r="J196" s="259"/>
      <c r="K196" s="242"/>
    </row>
    <row r="197" spans="1:11" s="18" customFormat="1" ht="108.5" x14ac:dyDescent="0.35">
      <c r="A197" s="14" t="s">
        <v>543</v>
      </c>
      <c r="B197" s="14" t="s">
        <v>544</v>
      </c>
      <c r="C197" s="112"/>
      <c r="D197" s="112"/>
      <c r="E197" s="221">
        <f>(2200*ROUNDUP(200/30,0))+12000+1250+3000</f>
        <v>31650</v>
      </c>
      <c r="F197" s="221">
        <f>(1900*ROUNDUP(60/30,0))</f>
        <v>3800</v>
      </c>
      <c r="G197" s="221"/>
      <c r="H197" s="222">
        <f t="shared" si="8"/>
        <v>35450</v>
      </c>
      <c r="I197" s="271"/>
      <c r="J197" s="259" t="s">
        <v>749</v>
      </c>
      <c r="K197" s="242"/>
    </row>
    <row r="198" spans="1:11" s="18" customFormat="1" ht="15.75" customHeight="1" x14ac:dyDescent="0.35">
      <c r="A198" s="14" t="s">
        <v>543</v>
      </c>
      <c r="B198" s="14" t="s">
        <v>545</v>
      </c>
      <c r="C198" s="112"/>
      <c r="D198" s="112"/>
      <c r="E198" s="221"/>
      <c r="F198" s="221"/>
      <c r="G198" s="221"/>
      <c r="H198" s="222">
        <f t="shared" si="8"/>
        <v>0</v>
      </c>
      <c r="I198" s="271"/>
      <c r="J198" s="260"/>
      <c r="K198" s="242"/>
    </row>
    <row r="199" spans="1:11" s="18" customFormat="1" ht="15.75" customHeight="1" x14ac:dyDescent="0.35">
      <c r="A199" s="14" t="s">
        <v>546</v>
      </c>
      <c r="B199" s="14" t="s">
        <v>547</v>
      </c>
      <c r="C199" s="114"/>
      <c r="D199" s="114"/>
      <c r="E199" s="114"/>
      <c r="F199" s="114"/>
      <c r="G199" s="114"/>
      <c r="H199" s="113">
        <f t="shared" si="8"/>
        <v>0</v>
      </c>
      <c r="I199" s="22"/>
      <c r="J199" s="259"/>
      <c r="K199" s="242"/>
    </row>
    <row r="200" spans="1:11" s="18" customFormat="1" ht="15.5" x14ac:dyDescent="0.35">
      <c r="A200" s="14" t="s">
        <v>548</v>
      </c>
      <c r="B200" s="14" t="s">
        <v>549</v>
      </c>
      <c r="C200" s="114"/>
      <c r="D200" s="114"/>
      <c r="E200" s="112"/>
      <c r="F200" s="112"/>
      <c r="G200" s="112"/>
      <c r="H200" s="113">
        <f>SUM(C200:G200)</f>
        <v>0</v>
      </c>
      <c r="I200" s="22"/>
      <c r="J200" s="259"/>
      <c r="K200" s="242"/>
    </row>
    <row r="201" spans="1:11" s="18" customFormat="1" ht="15.75" customHeight="1" x14ac:dyDescent="0.35">
      <c r="A201" s="14" t="s">
        <v>548</v>
      </c>
      <c r="B201" s="14" t="s">
        <v>550</v>
      </c>
      <c r="C201" s="114"/>
      <c r="D201" s="114"/>
      <c r="E201" s="114"/>
      <c r="F201" s="114"/>
      <c r="G201" s="114"/>
      <c r="H201" s="113">
        <f t="shared" si="8"/>
        <v>0</v>
      </c>
      <c r="I201" s="22"/>
      <c r="J201" s="260"/>
      <c r="K201" s="242"/>
    </row>
    <row r="202" spans="1:11" s="18" customFormat="1" ht="15.75" customHeight="1" x14ac:dyDescent="0.35">
      <c r="A202" s="14" t="s">
        <v>551</v>
      </c>
      <c r="B202" s="14" t="s">
        <v>552</v>
      </c>
      <c r="C202" s="114"/>
      <c r="D202" s="114"/>
      <c r="E202" s="114"/>
      <c r="F202" s="114"/>
      <c r="G202" s="114"/>
      <c r="H202" s="113">
        <f t="shared" si="8"/>
        <v>0</v>
      </c>
      <c r="I202" s="22"/>
      <c r="J202" s="259"/>
      <c r="K202" s="242"/>
    </row>
    <row r="203" spans="1:11" s="18" customFormat="1" ht="15.75" customHeight="1" x14ac:dyDescent="0.35">
      <c r="A203" s="14" t="s">
        <v>553</v>
      </c>
      <c r="B203" s="14" t="s">
        <v>554</v>
      </c>
      <c r="C203" s="114"/>
      <c r="D203" s="114"/>
      <c r="E203" s="114"/>
      <c r="F203" s="114"/>
      <c r="G203" s="114"/>
      <c r="H203" s="113">
        <f t="shared" si="8"/>
        <v>0</v>
      </c>
      <c r="I203" s="22"/>
      <c r="J203" s="259"/>
      <c r="K203" s="242"/>
    </row>
    <row r="204" spans="1:11" s="18" customFormat="1" ht="108.5" x14ac:dyDescent="0.35">
      <c r="A204" s="14" t="s">
        <v>555</v>
      </c>
      <c r="B204" s="35" t="s">
        <v>556</v>
      </c>
      <c r="C204" s="114"/>
      <c r="D204" s="114"/>
      <c r="E204" s="114">
        <f>(1700*16)+(8*(2300+250))</f>
        <v>47600</v>
      </c>
      <c r="F204" s="114">
        <f>(1700*10)+(4*(2300+250))</f>
        <v>27200</v>
      </c>
      <c r="G204" s="114"/>
      <c r="H204" s="113">
        <f t="shared" si="8"/>
        <v>74800</v>
      </c>
      <c r="I204" s="22"/>
      <c r="J204" s="259" t="s">
        <v>748</v>
      </c>
      <c r="K204" s="242"/>
    </row>
    <row r="205" spans="1:11" s="18" customFormat="1" ht="15.75" customHeight="1" x14ac:dyDescent="0.35">
      <c r="A205" s="14" t="s">
        <v>555</v>
      </c>
      <c r="B205" s="35" t="s">
        <v>557</v>
      </c>
      <c r="C205" s="114"/>
      <c r="D205" s="114"/>
      <c r="E205" s="114"/>
      <c r="F205" s="114"/>
      <c r="G205" s="114"/>
      <c r="H205" s="113">
        <f t="shared" si="8"/>
        <v>0</v>
      </c>
      <c r="I205" s="22"/>
      <c r="J205" s="260"/>
      <c r="K205" s="242"/>
    </row>
    <row r="206" spans="1:11" s="18" customFormat="1" ht="15.75" customHeight="1" x14ac:dyDescent="0.35">
      <c r="A206" s="14" t="s">
        <v>558</v>
      </c>
      <c r="B206" s="35" t="s">
        <v>559</v>
      </c>
      <c r="C206" s="114"/>
      <c r="D206" s="114"/>
      <c r="E206" s="221"/>
      <c r="F206" s="221"/>
      <c r="G206" s="112"/>
      <c r="H206" s="113">
        <f>SUM(C206:G206)</f>
        <v>0</v>
      </c>
      <c r="I206" s="22"/>
      <c r="J206" s="259"/>
      <c r="K206" s="242"/>
    </row>
    <row r="207" spans="1:11" s="18" customFormat="1" ht="93" x14ac:dyDescent="0.35">
      <c r="A207" s="14" t="s">
        <v>560</v>
      </c>
      <c r="B207" s="35" t="s">
        <v>561</v>
      </c>
      <c r="C207" s="114"/>
      <c r="D207" s="114"/>
      <c r="E207" s="114">
        <f>1700*2</f>
        <v>3400</v>
      </c>
      <c r="F207" s="114">
        <f>1700*1</f>
        <v>1700</v>
      </c>
      <c r="G207" s="114"/>
      <c r="H207" s="113">
        <f t="shared" si="8"/>
        <v>5100</v>
      </c>
      <c r="I207" s="22"/>
      <c r="J207" s="259" t="s">
        <v>747</v>
      </c>
      <c r="K207" s="243"/>
    </row>
    <row r="208" spans="1:11" s="18" customFormat="1" ht="15.75" customHeight="1" x14ac:dyDescent="0.35">
      <c r="A208" s="14"/>
      <c r="B208" s="35"/>
      <c r="C208" s="114"/>
      <c r="D208" s="114"/>
      <c r="E208" s="114"/>
      <c r="F208" s="114"/>
      <c r="G208" s="114"/>
      <c r="H208" s="113">
        <f t="shared" si="8"/>
        <v>0</v>
      </c>
      <c r="I208" s="22"/>
      <c r="J208" s="262"/>
      <c r="K208" s="103"/>
    </row>
    <row r="209" spans="1:11" s="18" customFormat="1" ht="15.75" customHeight="1" x14ac:dyDescent="0.35">
      <c r="A209" s="14"/>
      <c r="B209" s="35"/>
      <c r="C209" s="114"/>
      <c r="D209" s="114"/>
      <c r="E209" s="114"/>
      <c r="F209" s="114"/>
      <c r="G209" s="114"/>
      <c r="H209" s="113">
        <f t="shared" si="8"/>
        <v>0</v>
      </c>
      <c r="I209" s="22"/>
      <c r="J209" s="262"/>
      <c r="K209" s="103"/>
    </row>
    <row r="210" spans="1:11" s="18" customFormat="1" ht="15.75" customHeight="1" x14ac:dyDescent="0.35">
      <c r="A210" s="14"/>
      <c r="B210" s="35"/>
      <c r="C210" s="114"/>
      <c r="D210" s="114"/>
      <c r="E210" s="114"/>
      <c r="F210" s="114"/>
      <c r="G210" s="114"/>
      <c r="H210" s="113">
        <f t="shared" si="8"/>
        <v>0</v>
      </c>
      <c r="I210" s="22"/>
      <c r="J210" s="262"/>
      <c r="K210" s="103"/>
    </row>
    <row r="211" spans="1:11" s="18" customFormat="1" ht="15.75" customHeight="1" x14ac:dyDescent="0.35">
      <c r="A211" s="14"/>
      <c r="B211" s="35"/>
      <c r="C211" s="114"/>
      <c r="D211" s="114"/>
      <c r="E211" s="114"/>
      <c r="F211" s="114"/>
      <c r="G211" s="114"/>
      <c r="H211" s="113">
        <f t="shared" si="8"/>
        <v>0</v>
      </c>
      <c r="I211" s="22"/>
      <c r="J211" s="262"/>
      <c r="K211" s="103"/>
    </row>
    <row r="212" spans="1:11" s="18" customFormat="1" ht="15.75" customHeight="1" x14ac:dyDescent="0.35">
      <c r="A212" s="14"/>
      <c r="B212" s="35"/>
      <c r="C212" s="114"/>
      <c r="D212" s="114"/>
      <c r="E212" s="114"/>
      <c r="F212" s="114"/>
      <c r="G212" s="114"/>
      <c r="H212" s="113">
        <f t="shared" si="8"/>
        <v>0</v>
      </c>
      <c r="I212" s="22"/>
      <c r="J212" s="262"/>
      <c r="K212" s="103"/>
    </row>
    <row r="213" spans="1:11" s="18" customFormat="1" ht="15.75" customHeight="1" x14ac:dyDescent="0.35">
      <c r="A213" s="14"/>
      <c r="B213" s="35"/>
      <c r="C213" s="114"/>
      <c r="D213" s="114"/>
      <c r="E213" s="114"/>
      <c r="F213" s="114"/>
      <c r="G213" s="114"/>
      <c r="H213" s="113">
        <f t="shared" si="8"/>
        <v>0</v>
      </c>
      <c r="I213" s="22"/>
      <c r="J213" s="262"/>
      <c r="K213" s="103"/>
    </row>
    <row r="214" spans="1:11" s="18" customFormat="1" ht="15.75" customHeight="1" x14ac:dyDescent="0.35">
      <c r="A214" s="14"/>
      <c r="B214" s="14"/>
      <c r="C214" s="114"/>
      <c r="D214" s="114"/>
      <c r="E214" s="114"/>
      <c r="F214" s="114"/>
      <c r="G214" s="114"/>
      <c r="H214" s="113">
        <f t="shared" si="8"/>
        <v>0</v>
      </c>
      <c r="I214" s="22"/>
      <c r="J214" s="262"/>
      <c r="K214" s="103"/>
    </row>
    <row r="215" spans="1:11" s="18" customFormat="1" ht="15.75" customHeight="1" x14ac:dyDescent="0.35">
      <c r="A215" s="40"/>
      <c r="B215" s="35"/>
      <c r="C215" s="114"/>
      <c r="D215" s="114"/>
      <c r="E215" s="114"/>
      <c r="F215" s="114"/>
      <c r="G215" s="114"/>
      <c r="H215" s="113">
        <f t="shared" si="8"/>
        <v>0</v>
      </c>
      <c r="I215" s="22"/>
      <c r="J215" s="262"/>
      <c r="K215" s="103"/>
    </row>
    <row r="216" spans="1:11" s="30" customFormat="1" ht="15.75" customHeight="1" x14ac:dyDescent="0.35">
      <c r="A216" s="81"/>
      <c r="B216" s="41" t="s">
        <v>562</v>
      </c>
      <c r="C216" s="116">
        <f>SUM(C190:C215)</f>
        <v>0</v>
      </c>
      <c r="D216" s="116">
        <f t="shared" ref="D216:H216" si="9">SUM(D190:D215)</f>
        <v>0</v>
      </c>
      <c r="E216" s="116">
        <f t="shared" si="9"/>
        <v>182813</v>
      </c>
      <c r="F216" s="116">
        <f t="shared" si="9"/>
        <v>32700</v>
      </c>
      <c r="G216" s="116">
        <f t="shared" si="9"/>
        <v>0</v>
      </c>
      <c r="H216" s="116">
        <f t="shared" si="9"/>
        <v>215513</v>
      </c>
      <c r="I216" s="62"/>
      <c r="J216" s="262"/>
      <c r="K216" s="103"/>
    </row>
    <row r="217" spans="1:11" s="18" customFormat="1" ht="15.5" x14ac:dyDescent="0.35">
      <c r="A217" s="83"/>
      <c r="B217" s="10" t="s">
        <v>563</v>
      </c>
      <c r="C217" s="60"/>
      <c r="D217" s="60"/>
      <c r="E217" s="60"/>
      <c r="F217" s="60"/>
      <c r="G217" s="60"/>
      <c r="H217" s="60"/>
      <c r="I217" s="22"/>
      <c r="J217" s="264"/>
      <c r="K217" s="23"/>
    </row>
    <row r="218" spans="1:11" s="18" customFormat="1" ht="15.5" x14ac:dyDescent="0.35">
      <c r="A218" s="83"/>
      <c r="B218" s="85" t="s">
        <v>564</v>
      </c>
      <c r="C218" s="60"/>
      <c r="D218" s="60"/>
      <c r="E218" s="60"/>
      <c r="F218" s="60"/>
      <c r="G218" s="60"/>
      <c r="H218" s="60"/>
      <c r="I218" s="22"/>
      <c r="J218" s="264"/>
      <c r="K218" s="23"/>
    </row>
    <row r="219" spans="1:11" s="18" customFormat="1" ht="46.5" customHeight="1" x14ac:dyDescent="0.35">
      <c r="A219" s="14" t="s">
        <v>565</v>
      </c>
      <c r="B219" s="14" t="s">
        <v>566</v>
      </c>
      <c r="C219" s="221">
        <f>60000+(395*26)</f>
        <v>70270</v>
      </c>
      <c r="D219" s="221"/>
      <c r="E219" s="112"/>
      <c r="F219" s="112"/>
      <c r="G219" s="112"/>
      <c r="H219" s="113">
        <f t="shared" ref="H219:H234" si="10">SUM(C219:G219)</f>
        <v>70270</v>
      </c>
      <c r="I219" s="22"/>
      <c r="J219" s="259" t="s">
        <v>741</v>
      </c>
      <c r="K219" s="235" t="s">
        <v>567</v>
      </c>
    </row>
    <row r="220" spans="1:11" s="18" customFormat="1" ht="15.75" customHeight="1" x14ac:dyDescent="0.35">
      <c r="A220" s="14" t="s">
        <v>568</v>
      </c>
      <c r="B220" s="14" t="s">
        <v>569</v>
      </c>
      <c r="C220" s="112"/>
      <c r="D220" s="112"/>
      <c r="E220" s="112"/>
      <c r="F220" s="112"/>
      <c r="G220" s="112"/>
      <c r="H220" s="113">
        <f t="shared" si="10"/>
        <v>0</v>
      </c>
      <c r="I220" s="22"/>
      <c r="J220" s="260"/>
      <c r="K220" s="236"/>
    </row>
    <row r="221" spans="1:11" s="18" customFormat="1" ht="15.75" customHeight="1" x14ac:dyDescent="0.35">
      <c r="A221" s="14" t="s">
        <v>570</v>
      </c>
      <c r="B221" s="14" t="s">
        <v>571</v>
      </c>
      <c r="C221" s="112"/>
      <c r="D221" s="112">
        <f>500*5</f>
        <v>2500</v>
      </c>
      <c r="E221" s="112"/>
      <c r="F221" s="112">
        <f>500*5</f>
        <v>2500</v>
      </c>
      <c r="G221" s="112"/>
      <c r="H221" s="113">
        <f t="shared" si="10"/>
        <v>5000</v>
      </c>
      <c r="I221" s="22"/>
      <c r="J221" s="259" t="s">
        <v>753</v>
      </c>
      <c r="K221" s="236"/>
    </row>
    <row r="222" spans="1:11" s="18" customFormat="1" ht="15.75" customHeight="1" x14ac:dyDescent="0.35">
      <c r="A222" s="14" t="s">
        <v>572</v>
      </c>
      <c r="B222" s="14" t="s">
        <v>573</v>
      </c>
      <c r="C222" s="112"/>
      <c r="D222" s="112"/>
      <c r="E222" s="112"/>
      <c r="F222" s="112"/>
      <c r="G222" s="112"/>
      <c r="H222" s="113">
        <f t="shared" si="10"/>
        <v>0</v>
      </c>
      <c r="I222" s="22"/>
      <c r="J222" s="260"/>
      <c r="K222" s="236"/>
    </row>
    <row r="223" spans="1:11" s="18" customFormat="1" ht="15.75" customHeight="1" x14ac:dyDescent="0.35">
      <c r="A223" s="14" t="s">
        <v>574</v>
      </c>
      <c r="B223" s="14" t="s">
        <v>575</v>
      </c>
      <c r="C223" s="112"/>
      <c r="D223" s="112"/>
      <c r="E223" s="112"/>
      <c r="F223" s="112"/>
      <c r="G223" s="112"/>
      <c r="H223" s="113">
        <f t="shared" si="10"/>
        <v>0</v>
      </c>
      <c r="I223" s="22"/>
      <c r="J223" s="260"/>
      <c r="K223" s="236"/>
    </row>
    <row r="224" spans="1:11" s="18" customFormat="1" ht="15.75" customHeight="1" x14ac:dyDescent="0.35">
      <c r="A224" s="14" t="s">
        <v>576</v>
      </c>
      <c r="B224" s="14" t="s">
        <v>577</v>
      </c>
      <c r="C224" s="112"/>
      <c r="D224" s="112"/>
      <c r="E224" s="112"/>
      <c r="F224" s="112"/>
      <c r="G224" s="112"/>
      <c r="H224" s="113">
        <f t="shared" si="10"/>
        <v>0</v>
      </c>
      <c r="I224" s="22"/>
      <c r="J224" s="260"/>
      <c r="K224" s="236"/>
    </row>
    <row r="225" spans="1:11" s="18" customFormat="1" ht="15.75" customHeight="1" x14ac:dyDescent="0.35">
      <c r="A225" s="14" t="s">
        <v>578</v>
      </c>
      <c r="B225" s="14" t="s">
        <v>579</v>
      </c>
      <c r="C225" s="112"/>
      <c r="D225" s="112"/>
      <c r="E225" s="112"/>
      <c r="F225" s="112"/>
      <c r="G225" s="112"/>
      <c r="H225" s="113">
        <f t="shared" si="10"/>
        <v>0</v>
      </c>
      <c r="I225" s="22"/>
      <c r="J225" s="260"/>
      <c r="K225" s="236"/>
    </row>
    <row r="226" spans="1:11" s="18" customFormat="1" ht="15.5" x14ac:dyDescent="0.35">
      <c r="A226" s="14" t="s">
        <v>580</v>
      </c>
      <c r="B226" s="14" t="s">
        <v>581</v>
      </c>
      <c r="C226" s="112"/>
      <c r="D226" s="112"/>
      <c r="E226" s="112"/>
      <c r="F226" s="112"/>
      <c r="G226" s="112"/>
      <c r="H226" s="113">
        <f t="shared" si="10"/>
        <v>0</v>
      </c>
      <c r="I226" s="22"/>
      <c r="J226" s="260"/>
      <c r="K226" s="236"/>
    </row>
    <row r="227" spans="1:11" s="18" customFormat="1" ht="101" customHeight="1" x14ac:dyDescent="0.35">
      <c r="A227" s="14" t="s">
        <v>582</v>
      </c>
      <c r="B227" s="14" t="s">
        <v>583</v>
      </c>
      <c r="C227" s="221"/>
      <c r="D227" s="112"/>
      <c r="E227" s="221">
        <f>38307+7128+7695+16331</f>
        <v>69461</v>
      </c>
      <c r="F227" s="112"/>
      <c r="G227" s="112"/>
      <c r="H227" s="113">
        <f t="shared" si="10"/>
        <v>69461</v>
      </c>
      <c r="I227" s="22"/>
      <c r="J227" s="259" t="s">
        <v>726</v>
      </c>
      <c r="K227" s="236"/>
    </row>
    <row r="228" spans="1:11" s="18" customFormat="1" ht="15.75" customHeight="1" x14ac:dyDescent="0.35">
      <c r="A228" s="14" t="s">
        <v>584</v>
      </c>
      <c r="B228" s="14" t="s">
        <v>585</v>
      </c>
      <c r="C228" s="112"/>
      <c r="D228" s="112"/>
      <c r="E228" s="112"/>
      <c r="F228" s="112"/>
      <c r="G228" s="112"/>
      <c r="H228" s="113">
        <f t="shared" si="10"/>
        <v>0</v>
      </c>
      <c r="I228" s="22"/>
      <c r="J228" s="260"/>
      <c r="K228" s="236"/>
    </row>
    <row r="229" spans="1:11" s="18" customFormat="1" ht="15.75" customHeight="1" x14ac:dyDescent="0.35">
      <c r="A229" s="14" t="s">
        <v>586</v>
      </c>
      <c r="B229" s="14" t="s">
        <v>587</v>
      </c>
      <c r="C229" s="112"/>
      <c r="D229" s="112"/>
      <c r="E229" s="112"/>
      <c r="F229" s="112"/>
      <c r="G229" s="112"/>
      <c r="H229" s="113">
        <f t="shared" si="10"/>
        <v>0</v>
      </c>
      <c r="I229" s="22"/>
      <c r="J229" s="260"/>
      <c r="K229" s="236"/>
    </row>
    <row r="230" spans="1:11" s="18" customFormat="1" ht="15.75" customHeight="1" x14ac:dyDescent="0.35">
      <c r="A230" s="14" t="s">
        <v>588</v>
      </c>
      <c r="B230" s="14" t="s">
        <v>589</v>
      </c>
      <c r="C230" s="112"/>
      <c r="D230" s="112"/>
      <c r="E230" s="112"/>
      <c r="F230" s="112"/>
      <c r="G230" s="112"/>
      <c r="H230" s="113">
        <f t="shared" si="10"/>
        <v>0</v>
      </c>
      <c r="I230" s="22"/>
      <c r="J230" s="260"/>
      <c r="K230" s="236"/>
    </row>
    <row r="231" spans="1:11" s="18" customFormat="1" ht="15.75" customHeight="1" x14ac:dyDescent="0.35">
      <c r="A231" s="14"/>
      <c r="B231" s="14"/>
      <c r="C231" s="112"/>
      <c r="D231" s="112"/>
      <c r="E231" s="112"/>
      <c r="F231" s="112"/>
      <c r="G231" s="112"/>
      <c r="H231" s="113">
        <f t="shared" si="10"/>
        <v>0</v>
      </c>
      <c r="I231" s="22"/>
      <c r="J231" s="260"/>
      <c r="K231" s="236"/>
    </row>
    <row r="232" spans="1:11" s="18" customFormat="1" ht="15.75" customHeight="1" x14ac:dyDescent="0.35">
      <c r="A232" s="14"/>
      <c r="B232" s="14"/>
      <c r="C232" s="112"/>
      <c r="D232" s="112"/>
      <c r="E232" s="112"/>
      <c r="F232" s="112"/>
      <c r="G232" s="112"/>
      <c r="H232" s="113">
        <f t="shared" si="10"/>
        <v>0</v>
      </c>
      <c r="I232" s="22"/>
      <c r="J232" s="260"/>
      <c r="K232" s="236"/>
    </row>
    <row r="233" spans="1:11" s="18" customFormat="1" ht="15.75" customHeight="1" x14ac:dyDescent="0.35">
      <c r="A233" s="14"/>
      <c r="B233" s="14"/>
      <c r="C233" s="112"/>
      <c r="D233" s="112"/>
      <c r="E233" s="112"/>
      <c r="F233" s="112"/>
      <c r="G233" s="112"/>
      <c r="H233" s="113">
        <f t="shared" si="10"/>
        <v>0</v>
      </c>
      <c r="I233" s="22"/>
      <c r="J233" s="260"/>
      <c r="K233" s="236"/>
    </row>
    <row r="234" spans="1:11" s="18" customFormat="1" ht="15.5" customHeight="1" x14ac:dyDescent="0.35">
      <c r="A234" s="14"/>
      <c r="B234" s="14"/>
      <c r="C234" s="112"/>
      <c r="D234" s="112"/>
      <c r="E234" s="112"/>
      <c r="F234" s="112"/>
      <c r="G234" s="112"/>
      <c r="H234" s="113">
        <f t="shared" si="10"/>
        <v>0</v>
      </c>
      <c r="I234" s="22"/>
      <c r="J234" s="260"/>
      <c r="K234" s="236"/>
    </row>
    <row r="235" spans="1:11" s="30" customFormat="1" ht="15.75" customHeight="1" x14ac:dyDescent="0.35">
      <c r="A235" s="81"/>
      <c r="B235" s="41" t="s">
        <v>590</v>
      </c>
      <c r="C235" s="116">
        <f>SUM(C219:C234)</f>
        <v>70270</v>
      </c>
      <c r="D235" s="116">
        <f t="shared" ref="D235:H235" si="11">SUM(D219:D234)</f>
        <v>2500</v>
      </c>
      <c r="E235" s="116">
        <f t="shared" si="11"/>
        <v>69461</v>
      </c>
      <c r="F235" s="116">
        <f t="shared" si="11"/>
        <v>2500</v>
      </c>
      <c r="G235" s="116">
        <f t="shared" si="11"/>
        <v>0</v>
      </c>
      <c r="H235" s="116">
        <f t="shared" si="11"/>
        <v>144731</v>
      </c>
      <c r="I235" s="62"/>
      <c r="J235" s="262"/>
      <c r="K235" s="102"/>
    </row>
    <row r="236" spans="1:11" s="18" customFormat="1" ht="15.75" customHeight="1" x14ac:dyDescent="0.35">
      <c r="A236" s="83"/>
      <c r="B236" s="10" t="s">
        <v>591</v>
      </c>
      <c r="C236" s="117"/>
      <c r="D236" s="117"/>
      <c r="E236" s="117"/>
      <c r="F236" s="117"/>
      <c r="G236" s="117"/>
      <c r="H236" s="117"/>
      <c r="I236" s="22"/>
      <c r="J236" s="264"/>
    </row>
    <row r="237" spans="1:11" s="18" customFormat="1" ht="62" x14ac:dyDescent="0.35">
      <c r="A237" s="14" t="s">
        <v>592</v>
      </c>
      <c r="B237" s="14" t="s">
        <v>593</v>
      </c>
      <c r="C237" s="112"/>
      <c r="D237" s="112"/>
      <c r="E237" s="112">
        <f>52*200</f>
        <v>10400</v>
      </c>
      <c r="F237" s="112">
        <f>100*200</f>
        <v>20000</v>
      </c>
      <c r="G237" s="112"/>
      <c r="H237" s="113">
        <f>SUM(C237:G237)</f>
        <v>30400</v>
      </c>
      <c r="I237" s="22"/>
      <c r="J237" s="259" t="s">
        <v>746</v>
      </c>
      <c r="K237" s="237" t="s">
        <v>594</v>
      </c>
    </row>
    <row r="238" spans="1:11" s="18" customFormat="1" ht="15.75" customHeight="1" x14ac:dyDescent="0.35">
      <c r="A238" s="14" t="s">
        <v>592</v>
      </c>
      <c r="B238" s="14" t="s">
        <v>595</v>
      </c>
      <c r="C238" s="112"/>
      <c r="D238" s="112"/>
      <c r="E238" s="112"/>
      <c r="F238" s="112"/>
      <c r="G238" s="112"/>
      <c r="H238" s="113">
        <f>SUM(C238:G238)</f>
        <v>0</v>
      </c>
      <c r="I238" s="22"/>
      <c r="J238" s="260"/>
      <c r="K238" s="237"/>
    </row>
    <row r="239" spans="1:11" s="18" customFormat="1" ht="15.75" customHeight="1" x14ac:dyDescent="0.35">
      <c r="A239" s="14" t="s">
        <v>596</v>
      </c>
      <c r="B239" s="14" t="s">
        <v>597</v>
      </c>
      <c r="C239" s="112"/>
      <c r="D239" s="112"/>
      <c r="E239" s="112"/>
      <c r="F239" s="112"/>
      <c r="G239" s="112"/>
      <c r="H239" s="113">
        <f>SUM(C239:G239)</f>
        <v>0</v>
      </c>
      <c r="I239" s="22"/>
      <c r="J239" s="259"/>
      <c r="K239" s="237"/>
    </row>
    <row r="240" spans="1:11" s="18" customFormat="1" ht="15.5" x14ac:dyDescent="0.35">
      <c r="A240" s="14" t="s">
        <v>598</v>
      </c>
      <c r="B240" s="14" t="s">
        <v>599</v>
      </c>
      <c r="C240" s="112"/>
      <c r="D240" s="112"/>
      <c r="E240" s="112"/>
      <c r="F240" s="112"/>
      <c r="G240" s="112"/>
      <c r="H240" s="113">
        <f>SUM(C240:G240)</f>
        <v>0</v>
      </c>
      <c r="I240" s="22"/>
      <c r="J240" s="259"/>
      <c r="K240" s="237"/>
    </row>
    <row r="241" spans="1:11" s="18" customFormat="1" ht="15.75" customHeight="1" x14ac:dyDescent="0.35">
      <c r="A241" s="63"/>
      <c r="B241" s="14"/>
      <c r="C241" s="112"/>
      <c r="D241" s="112"/>
      <c r="E241" s="112"/>
      <c r="F241" s="112"/>
      <c r="G241" s="112"/>
      <c r="H241" s="113">
        <f t="shared" ref="H241:H242" si="12">SUM(C241:G241)</f>
        <v>0</v>
      </c>
      <c r="I241" s="22"/>
      <c r="J241" s="265"/>
      <c r="K241" s="101"/>
    </row>
    <row r="242" spans="1:11" s="18" customFormat="1" ht="15.75" customHeight="1" x14ac:dyDescent="0.35">
      <c r="A242" s="63"/>
      <c r="B242" s="14"/>
      <c r="C242" s="112"/>
      <c r="D242" s="112"/>
      <c r="E242" s="112"/>
      <c r="F242" s="112"/>
      <c r="G242" s="112"/>
      <c r="H242" s="113">
        <f t="shared" si="12"/>
        <v>0</v>
      </c>
      <c r="I242" s="22"/>
      <c r="J242" s="265"/>
      <c r="K242" s="101"/>
    </row>
    <row r="243" spans="1:11" s="18" customFormat="1" ht="15.75" customHeight="1" x14ac:dyDescent="0.35">
      <c r="A243" s="63"/>
      <c r="B243" s="14"/>
      <c r="C243" s="112"/>
      <c r="D243" s="112"/>
      <c r="E243" s="112"/>
      <c r="F243" s="112"/>
      <c r="G243" s="112"/>
      <c r="H243" s="113">
        <f t="shared" ref="H243:H244" si="13">SUM(C243:G243)</f>
        <v>0</v>
      </c>
      <c r="I243" s="22"/>
      <c r="J243" s="265"/>
      <c r="K243" s="101"/>
    </row>
    <row r="244" spans="1:11" s="18" customFormat="1" ht="15.75" customHeight="1" x14ac:dyDescent="0.35">
      <c r="A244" s="63"/>
      <c r="B244" s="14"/>
      <c r="C244" s="112"/>
      <c r="D244" s="112"/>
      <c r="E244" s="112"/>
      <c r="F244" s="112"/>
      <c r="G244" s="112"/>
      <c r="H244" s="113">
        <f t="shared" si="13"/>
        <v>0</v>
      </c>
      <c r="I244" s="22"/>
      <c r="J244" s="265"/>
      <c r="K244" s="101"/>
    </row>
    <row r="245" spans="1:11" s="37" customFormat="1" ht="15.75" customHeight="1" x14ac:dyDescent="0.35">
      <c r="A245" s="86"/>
      <c r="B245" s="41" t="s">
        <v>600</v>
      </c>
      <c r="C245" s="116">
        <f>SUM(C237:C244)</f>
        <v>0</v>
      </c>
      <c r="D245" s="116">
        <f t="shared" ref="D245:H245" si="14">SUM(D237:D244)</f>
        <v>0</v>
      </c>
      <c r="E245" s="116">
        <f t="shared" si="14"/>
        <v>10400</v>
      </c>
      <c r="F245" s="116">
        <f t="shared" si="14"/>
        <v>20000</v>
      </c>
      <c r="G245" s="116">
        <f t="shared" si="14"/>
        <v>0</v>
      </c>
      <c r="H245" s="116">
        <f t="shared" si="14"/>
        <v>30400</v>
      </c>
      <c r="I245" s="22"/>
      <c r="J245" s="260"/>
      <c r="K245" s="101"/>
    </row>
    <row r="246" spans="1:11" s="18" customFormat="1" ht="15.5" x14ac:dyDescent="0.35">
      <c r="A246" s="87"/>
      <c r="B246" s="10" t="s">
        <v>601</v>
      </c>
      <c r="C246" s="60"/>
      <c r="D246" s="60"/>
      <c r="E246" s="60"/>
      <c r="F246" s="60"/>
      <c r="G246" s="60"/>
      <c r="H246" s="60"/>
      <c r="I246" s="22"/>
      <c r="J246" s="263"/>
    </row>
    <row r="247" spans="1:11" s="18" customFormat="1" ht="46.5" x14ac:dyDescent="0.35">
      <c r="A247" s="14" t="s">
        <v>602</v>
      </c>
      <c r="B247" s="14" t="s">
        <v>603</v>
      </c>
      <c r="C247" s="112"/>
      <c r="D247" s="112"/>
      <c r="E247" s="221">
        <f>300*200</f>
        <v>60000</v>
      </c>
      <c r="F247" s="221">
        <f>300*100</f>
        <v>30000</v>
      </c>
      <c r="G247" s="112"/>
      <c r="H247" s="113">
        <f>SUM(C247:G247)</f>
        <v>90000</v>
      </c>
      <c r="I247" s="22"/>
      <c r="J247" s="259" t="s">
        <v>752</v>
      </c>
      <c r="K247" s="244" t="s">
        <v>604</v>
      </c>
    </row>
    <row r="248" spans="1:11" s="18" customFormat="1" ht="15.5" x14ac:dyDescent="0.35">
      <c r="A248" s="14" t="s">
        <v>602</v>
      </c>
      <c r="B248" s="14" t="s">
        <v>605</v>
      </c>
      <c r="C248" s="112"/>
      <c r="D248" s="112"/>
      <c r="E248" s="112"/>
      <c r="F248" s="112"/>
      <c r="G248" s="112"/>
      <c r="H248" s="113">
        <f>SUM(C248:G248)</f>
        <v>0</v>
      </c>
      <c r="I248" s="22"/>
      <c r="J248" s="260"/>
      <c r="K248" s="244"/>
    </row>
    <row r="249" spans="1:11" s="18" customFormat="1" ht="15.5" x14ac:dyDescent="0.35">
      <c r="A249" s="14" t="s">
        <v>606</v>
      </c>
      <c r="B249" s="14" t="s">
        <v>607</v>
      </c>
      <c r="C249" s="112"/>
      <c r="D249" s="112"/>
      <c r="E249" s="221"/>
      <c r="F249" s="221"/>
      <c r="G249" s="221"/>
      <c r="H249" s="222">
        <f>SUM(C249:G249)</f>
        <v>0</v>
      </c>
      <c r="I249" s="22"/>
      <c r="J249" s="259"/>
      <c r="K249" s="244"/>
    </row>
    <row r="250" spans="1:11" s="18" customFormat="1" ht="62" x14ac:dyDescent="0.35">
      <c r="A250" s="14" t="s">
        <v>608</v>
      </c>
      <c r="B250" s="14" t="s">
        <v>609</v>
      </c>
      <c r="C250" s="112"/>
      <c r="D250" s="112"/>
      <c r="E250" s="221">
        <f>1200*18</f>
        <v>21600</v>
      </c>
      <c r="F250" s="221">
        <f>1200*11</f>
        <v>13200</v>
      </c>
      <c r="G250" s="112"/>
      <c r="H250" s="113">
        <f>SUM(C250:G250)</f>
        <v>34800</v>
      </c>
      <c r="I250" s="22"/>
      <c r="J250" s="259" t="s">
        <v>745</v>
      </c>
      <c r="K250" s="244"/>
    </row>
    <row r="251" spans="1:11" s="18" customFormat="1" ht="15.5" x14ac:dyDescent="0.35">
      <c r="A251" s="14"/>
      <c r="B251" s="35"/>
      <c r="C251" s="114"/>
      <c r="D251" s="114"/>
      <c r="E251" s="114"/>
      <c r="F251" s="114"/>
      <c r="G251" s="114"/>
      <c r="H251" s="113">
        <f t="shared" ref="H251:H252" si="15">SUM(C251:G251)</f>
        <v>0</v>
      </c>
      <c r="I251" s="22"/>
      <c r="J251" s="262"/>
      <c r="K251" s="36"/>
    </row>
    <row r="252" spans="1:11" s="18" customFormat="1" ht="15.5" x14ac:dyDescent="0.35">
      <c r="A252" s="14"/>
      <c r="B252" s="35"/>
      <c r="C252" s="114"/>
      <c r="D252" s="114"/>
      <c r="E252" s="114"/>
      <c r="F252" s="114"/>
      <c r="G252" s="114"/>
      <c r="H252" s="113">
        <f t="shared" si="15"/>
        <v>0</v>
      </c>
      <c r="I252" s="22"/>
      <c r="J252" s="262"/>
      <c r="K252" s="36"/>
    </row>
    <row r="253" spans="1:11" s="18" customFormat="1" ht="15.5" x14ac:dyDescent="0.35">
      <c r="A253" s="14"/>
      <c r="B253" s="35"/>
      <c r="C253" s="114"/>
      <c r="D253" s="114"/>
      <c r="E253" s="114"/>
      <c r="F253" s="114"/>
      <c r="G253" s="114"/>
      <c r="H253" s="113">
        <f t="shared" ref="H253:H254" si="16">SUM(C253:G253)</f>
        <v>0</v>
      </c>
      <c r="I253" s="22"/>
      <c r="J253" s="262"/>
      <c r="K253" s="36"/>
    </row>
    <row r="254" spans="1:11" s="18" customFormat="1" ht="15.5" x14ac:dyDescent="0.35">
      <c r="A254" s="14"/>
      <c r="B254" s="35"/>
      <c r="C254" s="114"/>
      <c r="D254" s="114"/>
      <c r="E254" s="114"/>
      <c r="F254" s="114"/>
      <c r="G254" s="114"/>
      <c r="H254" s="113">
        <f t="shared" si="16"/>
        <v>0</v>
      </c>
      <c r="I254" s="22"/>
      <c r="J254" s="262"/>
      <c r="K254" s="36"/>
    </row>
    <row r="255" spans="1:11" s="30" customFormat="1" ht="15.5" x14ac:dyDescent="0.35">
      <c r="A255" s="88"/>
      <c r="B255" s="41" t="s">
        <v>610</v>
      </c>
      <c r="C255" s="116">
        <f>SUM(C247:C254)</f>
        <v>0</v>
      </c>
      <c r="D255" s="116">
        <f t="shared" ref="D255:H255" si="17">SUM(D247:D254)</f>
        <v>0</v>
      </c>
      <c r="E255" s="116">
        <f t="shared" si="17"/>
        <v>81600</v>
      </c>
      <c r="F255" s="116">
        <f t="shared" si="17"/>
        <v>43200</v>
      </c>
      <c r="G255" s="116">
        <f t="shared" si="17"/>
        <v>0</v>
      </c>
      <c r="H255" s="116">
        <f t="shared" si="17"/>
        <v>124800</v>
      </c>
      <c r="I255" s="62"/>
      <c r="J255" s="262"/>
      <c r="K255" s="36"/>
    </row>
    <row r="256" spans="1:11" s="18" customFormat="1" ht="15.5" x14ac:dyDescent="0.35">
      <c r="A256" s="89"/>
      <c r="B256" s="10" t="s">
        <v>611</v>
      </c>
      <c r="C256" s="60"/>
      <c r="D256" s="60"/>
      <c r="E256" s="60"/>
      <c r="F256" s="60"/>
      <c r="G256" s="60"/>
      <c r="H256" s="60"/>
      <c r="I256" s="22"/>
      <c r="J256" s="263"/>
    </row>
    <row r="257" spans="1:11" s="18" customFormat="1" ht="15.5" x14ac:dyDescent="0.35">
      <c r="A257" s="35"/>
      <c r="B257" s="85" t="s">
        <v>737</v>
      </c>
      <c r="C257" s="60"/>
      <c r="D257" s="60"/>
      <c r="E257" s="60"/>
      <c r="F257" s="60"/>
      <c r="G257" s="60"/>
      <c r="H257" s="60"/>
      <c r="I257" s="22"/>
      <c r="J257" s="263"/>
    </row>
    <row r="258" spans="1:11" s="18" customFormat="1" ht="124" x14ac:dyDescent="0.35">
      <c r="A258" s="14" t="s">
        <v>602</v>
      </c>
      <c r="B258" s="14" t="s">
        <v>612</v>
      </c>
      <c r="C258" s="112"/>
      <c r="D258" s="112"/>
      <c r="E258" s="221">
        <f>(8*(500+362+410+1300))+5300</f>
        <v>25876</v>
      </c>
      <c r="F258" s="221">
        <f>(4*(500+362+410+1300))</f>
        <v>10288</v>
      </c>
      <c r="G258" s="221"/>
      <c r="H258" s="222">
        <f t="shared" ref="H258:H265" si="18">SUM(C258:G258)</f>
        <v>36164</v>
      </c>
      <c r="I258" s="271"/>
      <c r="J258" s="259" t="s">
        <v>750</v>
      </c>
      <c r="K258" s="244" t="s">
        <v>613</v>
      </c>
    </row>
    <row r="259" spans="1:11" s="18" customFormat="1" ht="15.5" x14ac:dyDescent="0.35">
      <c r="A259" s="14" t="s">
        <v>602</v>
      </c>
      <c r="B259" s="14" t="s">
        <v>614</v>
      </c>
      <c r="C259" s="112"/>
      <c r="D259" s="112"/>
      <c r="E259" s="112"/>
      <c r="F259" s="112"/>
      <c r="G259" s="112"/>
      <c r="H259" s="113">
        <f t="shared" si="18"/>
        <v>0</v>
      </c>
      <c r="I259" s="22"/>
      <c r="J259" s="260"/>
      <c r="K259" s="244"/>
    </row>
    <row r="260" spans="1:11" s="18" customFormat="1" ht="15.5" x14ac:dyDescent="0.35">
      <c r="A260" s="14" t="s">
        <v>606</v>
      </c>
      <c r="B260" s="14" t="s">
        <v>615</v>
      </c>
      <c r="C260" s="112"/>
      <c r="D260" s="112"/>
      <c r="E260" s="221"/>
      <c r="F260" s="221"/>
      <c r="G260" s="112"/>
      <c r="H260" s="113">
        <f>SUM(C260:G260)</f>
        <v>0</v>
      </c>
      <c r="I260" s="22"/>
      <c r="J260" s="259"/>
      <c r="K260" s="244"/>
    </row>
    <row r="261" spans="1:11" ht="15.5" x14ac:dyDescent="0.35">
      <c r="A261" s="14" t="s">
        <v>608</v>
      </c>
      <c r="B261" s="14" t="s">
        <v>616</v>
      </c>
      <c r="C261" s="112"/>
      <c r="D261" s="112"/>
      <c r="E261" s="112"/>
      <c r="F261" s="112"/>
      <c r="G261" s="112"/>
      <c r="H261" s="113">
        <f t="shared" si="18"/>
        <v>0</v>
      </c>
      <c r="J261" s="259"/>
      <c r="K261" s="244"/>
    </row>
    <row r="262" spans="1:11" ht="15.5" x14ac:dyDescent="0.35">
      <c r="A262" s="14"/>
      <c r="B262" s="35"/>
      <c r="C262" s="114"/>
      <c r="D262" s="114"/>
      <c r="E262" s="114"/>
      <c r="F262" s="114"/>
      <c r="G262" s="114"/>
      <c r="H262" s="113">
        <f t="shared" si="18"/>
        <v>0</v>
      </c>
      <c r="J262" s="262"/>
      <c r="K262" s="36"/>
    </row>
    <row r="263" spans="1:11" ht="15.5" x14ac:dyDescent="0.35">
      <c r="A263" s="14"/>
      <c r="B263" s="35"/>
      <c r="C263" s="114"/>
      <c r="D263" s="114"/>
      <c r="E263" s="114"/>
      <c r="F263" s="114"/>
      <c r="G263" s="114"/>
      <c r="H263" s="113">
        <f t="shared" si="18"/>
        <v>0</v>
      </c>
      <c r="J263" s="262"/>
      <c r="K263" s="36"/>
    </row>
    <row r="264" spans="1:11" ht="15.5" x14ac:dyDescent="0.35">
      <c r="A264" s="14"/>
      <c r="B264" s="35"/>
      <c r="C264" s="114"/>
      <c r="D264" s="114"/>
      <c r="E264" s="114"/>
      <c r="F264" s="114"/>
      <c r="G264" s="114"/>
      <c r="H264" s="113">
        <f t="shared" si="18"/>
        <v>0</v>
      </c>
      <c r="J264" s="262"/>
      <c r="K264" s="36"/>
    </row>
    <row r="265" spans="1:11" ht="15.5" x14ac:dyDescent="0.35">
      <c r="A265" s="14"/>
      <c r="B265" s="35"/>
      <c r="C265" s="114"/>
      <c r="D265" s="114"/>
      <c r="E265" s="114"/>
      <c r="F265" s="114"/>
      <c r="G265" s="114"/>
      <c r="H265" s="113">
        <f t="shared" si="18"/>
        <v>0</v>
      </c>
      <c r="J265" s="262"/>
      <c r="K265" s="36"/>
    </row>
    <row r="266" spans="1:11" s="28" customFormat="1" ht="15.5" x14ac:dyDescent="0.35">
      <c r="A266" s="88"/>
      <c r="B266" s="41" t="s">
        <v>617</v>
      </c>
      <c r="C266" s="116">
        <f>SUM(C258:C265)</f>
        <v>0</v>
      </c>
      <c r="D266" s="116">
        <f t="shared" ref="D266:H266" si="19">SUM(D258:D265)</f>
        <v>0</v>
      </c>
      <c r="E266" s="116">
        <f t="shared" si="19"/>
        <v>25876</v>
      </c>
      <c r="F266" s="116">
        <f t="shared" si="19"/>
        <v>10288</v>
      </c>
      <c r="G266" s="116">
        <f t="shared" si="19"/>
        <v>0</v>
      </c>
      <c r="H266" s="116">
        <f t="shared" si="19"/>
        <v>36164</v>
      </c>
      <c r="I266" s="62"/>
      <c r="J266" s="262"/>
      <c r="K266" s="36"/>
    </row>
    <row r="267" spans="1:11" ht="15.5" x14ac:dyDescent="0.35">
      <c r="A267" s="89"/>
      <c r="B267" s="10" t="s">
        <v>618</v>
      </c>
      <c r="C267" s="60"/>
      <c r="D267" s="60"/>
      <c r="E267" s="60"/>
      <c r="F267" s="60"/>
      <c r="G267" s="60"/>
      <c r="H267" s="60"/>
      <c r="J267" s="263"/>
      <c r="K267" s="18"/>
    </row>
    <row r="268" spans="1:11" ht="15.5" x14ac:dyDescent="0.35">
      <c r="A268" s="35"/>
      <c r="B268" s="268" t="s">
        <v>619</v>
      </c>
      <c r="C268" s="269"/>
      <c r="D268" s="269"/>
      <c r="E268" s="269"/>
      <c r="F268" s="269"/>
      <c r="G268" s="60"/>
      <c r="H268" s="60"/>
      <c r="J268" s="263"/>
      <c r="K268" s="18"/>
    </row>
    <row r="269" spans="1:11" s="18" customFormat="1" ht="62" x14ac:dyDescent="0.35">
      <c r="A269" s="14" t="s">
        <v>620</v>
      </c>
      <c r="B269" s="270" t="s">
        <v>549</v>
      </c>
      <c r="C269" s="221"/>
      <c r="D269" s="221"/>
      <c r="E269" s="221">
        <f>((15+10)*200)</f>
        <v>5000</v>
      </c>
      <c r="F269" s="221">
        <f>((15+10)*100)</f>
        <v>2500</v>
      </c>
      <c r="G269" s="112"/>
      <c r="H269" s="113">
        <f>SUM(C269:G269)</f>
        <v>7500</v>
      </c>
      <c r="I269" s="22"/>
      <c r="J269" s="259" t="s">
        <v>725</v>
      </c>
      <c r="K269" s="238" t="s">
        <v>621</v>
      </c>
    </row>
    <row r="270" spans="1:11" s="18" customFormat="1" ht="15.5" x14ac:dyDescent="0.35">
      <c r="A270" s="14" t="s">
        <v>620</v>
      </c>
      <c r="B270" s="270" t="s">
        <v>550</v>
      </c>
      <c r="C270" s="221"/>
      <c r="D270" s="221"/>
      <c r="E270" s="221"/>
      <c r="F270" s="221"/>
      <c r="G270" s="112"/>
      <c r="H270" s="113">
        <f>SUM(C270:G270)</f>
        <v>0</v>
      </c>
      <c r="I270" s="22"/>
      <c r="J270" s="260"/>
      <c r="K270" s="239"/>
    </row>
    <row r="271" spans="1:11" ht="15.5" x14ac:dyDescent="0.35">
      <c r="A271" s="14" t="s">
        <v>622</v>
      </c>
      <c r="B271" s="270" t="s">
        <v>552</v>
      </c>
      <c r="C271" s="221"/>
      <c r="D271" s="221"/>
      <c r="E271" s="221"/>
      <c r="F271" s="221"/>
      <c r="G271" s="112"/>
      <c r="H271" s="113">
        <f>SUM(C271:G271)</f>
        <v>0</v>
      </c>
      <c r="J271" s="259"/>
      <c r="K271" s="240"/>
    </row>
    <row r="272" spans="1:11" ht="62" x14ac:dyDescent="0.35">
      <c r="A272" s="14" t="s">
        <v>623</v>
      </c>
      <c r="B272" s="270" t="s">
        <v>554</v>
      </c>
      <c r="C272" s="221"/>
      <c r="D272" s="221"/>
      <c r="E272" s="221">
        <f>2500+((200+18)*5)</f>
        <v>3590</v>
      </c>
      <c r="F272" s="221">
        <f>((100+11)*5)</f>
        <v>555</v>
      </c>
      <c r="G272" s="112"/>
      <c r="H272" s="113">
        <f>SUM(C272:G272)</f>
        <v>4145</v>
      </c>
      <c r="J272" s="259" t="s">
        <v>738</v>
      </c>
      <c r="K272" s="1" t="s">
        <v>624</v>
      </c>
    </row>
    <row r="273" spans="1:11" ht="15.5" x14ac:dyDescent="0.35">
      <c r="A273" s="40"/>
      <c r="B273" s="35"/>
      <c r="C273" s="114"/>
      <c r="D273" s="114"/>
      <c r="E273" s="114"/>
      <c r="F273" s="114"/>
      <c r="G273" s="114"/>
      <c r="H273" s="113">
        <f t="shared" ref="H273:H274" si="20">SUM(C273:G273)</f>
        <v>0</v>
      </c>
      <c r="J273" s="262"/>
      <c r="K273" s="29"/>
    </row>
    <row r="274" spans="1:11" ht="15.5" x14ac:dyDescent="0.35">
      <c r="A274" s="40"/>
      <c r="B274" s="35"/>
      <c r="C274" s="114"/>
      <c r="D274" s="114"/>
      <c r="E274" s="114"/>
      <c r="F274" s="114"/>
      <c r="G274" s="114"/>
      <c r="H274" s="113">
        <f t="shared" si="20"/>
        <v>0</v>
      </c>
      <c r="J274" s="262"/>
      <c r="K274" s="29"/>
    </row>
    <row r="275" spans="1:11" ht="15.5" x14ac:dyDescent="0.35">
      <c r="A275" s="40"/>
      <c r="B275" s="35"/>
      <c r="C275" s="114"/>
      <c r="D275" s="114"/>
      <c r="E275" s="114"/>
      <c r="F275" s="114"/>
      <c r="G275" s="114"/>
      <c r="H275" s="113">
        <f t="shared" ref="H275:H276" si="21">SUM(C275:G275)</f>
        <v>0</v>
      </c>
      <c r="J275" s="262"/>
      <c r="K275" s="29"/>
    </row>
    <row r="276" spans="1:11" ht="15.5" x14ac:dyDescent="0.35">
      <c r="A276" s="40"/>
      <c r="B276" s="35"/>
      <c r="C276" s="114"/>
      <c r="D276" s="114"/>
      <c r="E276" s="114"/>
      <c r="F276" s="114"/>
      <c r="G276" s="114"/>
      <c r="H276" s="113">
        <f t="shared" si="21"/>
        <v>0</v>
      </c>
      <c r="J276" s="262"/>
      <c r="K276" s="29"/>
    </row>
    <row r="277" spans="1:11" s="28" customFormat="1" ht="15.5" x14ac:dyDescent="0.35">
      <c r="A277" s="81"/>
      <c r="B277" s="41" t="s">
        <v>625</v>
      </c>
      <c r="C277" s="116">
        <f>SUM(C269:C276)</f>
        <v>0</v>
      </c>
      <c r="D277" s="116">
        <f t="shared" ref="D277:H277" si="22">SUM(D269:D276)</f>
        <v>0</v>
      </c>
      <c r="E277" s="116">
        <f t="shared" si="22"/>
        <v>8590</v>
      </c>
      <c r="F277" s="116">
        <f t="shared" si="22"/>
        <v>3055</v>
      </c>
      <c r="G277" s="116">
        <f t="shared" si="22"/>
        <v>0</v>
      </c>
      <c r="H277" s="116">
        <f t="shared" si="22"/>
        <v>11645</v>
      </c>
      <c r="I277" s="62"/>
      <c r="J277" s="262"/>
      <c r="K277" s="29"/>
    </row>
    <row r="278" spans="1:11" ht="15.5" x14ac:dyDescent="0.35">
      <c r="A278" s="13"/>
      <c r="B278" s="10" t="s">
        <v>626</v>
      </c>
      <c r="C278" s="60"/>
      <c r="D278" s="60"/>
      <c r="E278" s="60"/>
      <c r="F278" s="60"/>
      <c r="G278" s="60"/>
      <c r="H278" s="60"/>
      <c r="J278" s="263"/>
      <c r="K278" s="17"/>
    </row>
    <row r="279" spans="1:11" ht="15.5" x14ac:dyDescent="0.35">
      <c r="A279" s="14" t="s">
        <v>627</v>
      </c>
      <c r="B279" s="14" t="s">
        <v>628</v>
      </c>
      <c r="C279" s="112"/>
      <c r="D279" s="112"/>
      <c r="E279" s="112"/>
      <c r="F279" s="112"/>
      <c r="G279" s="112"/>
      <c r="H279" s="113">
        <f>SUM(C279:G279)</f>
        <v>0</v>
      </c>
      <c r="J279" s="259"/>
      <c r="K279" s="100" t="s">
        <v>629</v>
      </c>
    </row>
    <row r="280" spans="1:11" ht="15.5" x14ac:dyDescent="0.35">
      <c r="A280" s="14" t="s">
        <v>627</v>
      </c>
      <c r="B280" s="14" t="s">
        <v>630</v>
      </c>
      <c r="C280" s="112"/>
      <c r="D280" s="112"/>
      <c r="E280" s="112"/>
      <c r="F280" s="112"/>
      <c r="G280" s="112"/>
      <c r="H280" s="113">
        <f>SUM(C280:G280)</f>
        <v>0</v>
      </c>
      <c r="J280" s="260"/>
      <c r="K280" s="100"/>
    </row>
    <row r="281" spans="1:11" ht="15.5" x14ac:dyDescent="0.35">
      <c r="A281" s="14" t="s">
        <v>631</v>
      </c>
      <c r="B281" s="14" t="s">
        <v>632</v>
      </c>
      <c r="C281" s="112"/>
      <c r="D281" s="112"/>
      <c r="E281" s="112"/>
      <c r="F281" s="112"/>
      <c r="G281" s="112"/>
      <c r="H281" s="113">
        <f>SUM(C281:G281)</f>
        <v>0</v>
      </c>
      <c r="J281" s="259"/>
      <c r="K281" s="100"/>
    </row>
    <row r="282" spans="1:11" ht="15.5" x14ac:dyDescent="0.35">
      <c r="A282" s="14" t="s">
        <v>633</v>
      </c>
      <c r="B282" s="14" t="s">
        <v>634</v>
      </c>
      <c r="C282" s="112"/>
      <c r="D282" s="112"/>
      <c r="E282" s="112"/>
      <c r="F282" s="112"/>
      <c r="G282" s="112"/>
      <c r="H282" s="113">
        <f>SUM(C282:G282)</f>
        <v>0</v>
      </c>
      <c r="J282" s="259"/>
      <c r="K282" s="100"/>
    </row>
    <row r="283" spans="1:11" ht="15.5" x14ac:dyDescent="0.35">
      <c r="A283" s="40"/>
      <c r="B283" s="35"/>
      <c r="C283" s="114"/>
      <c r="D283" s="114"/>
      <c r="E283" s="114"/>
      <c r="F283" s="114"/>
      <c r="G283" s="114"/>
      <c r="H283" s="113">
        <f t="shared" ref="H283:H284" si="23">SUM(C283:G283)</f>
        <v>0</v>
      </c>
      <c r="J283" s="262"/>
      <c r="K283" s="102"/>
    </row>
    <row r="284" spans="1:11" ht="15.5" x14ac:dyDescent="0.35">
      <c r="A284" s="40"/>
      <c r="B284" s="35"/>
      <c r="C284" s="114"/>
      <c r="D284" s="114"/>
      <c r="E284" s="114"/>
      <c r="F284" s="114"/>
      <c r="G284" s="114"/>
      <c r="H284" s="113">
        <f t="shared" si="23"/>
        <v>0</v>
      </c>
      <c r="J284" s="262"/>
      <c r="K284" s="102"/>
    </row>
    <row r="285" spans="1:11" ht="15.5" x14ac:dyDescent="0.35">
      <c r="A285" s="40"/>
      <c r="B285" s="35"/>
      <c r="C285" s="114"/>
      <c r="D285" s="114"/>
      <c r="E285" s="114"/>
      <c r="F285" s="114"/>
      <c r="G285" s="114"/>
      <c r="H285" s="113">
        <f t="shared" ref="H285:H286" si="24">SUM(C285:G285)</f>
        <v>0</v>
      </c>
      <c r="J285" s="262"/>
      <c r="K285" s="102"/>
    </row>
    <row r="286" spans="1:11" ht="15.5" x14ac:dyDescent="0.35">
      <c r="A286" s="40"/>
      <c r="B286" s="35"/>
      <c r="C286" s="114"/>
      <c r="D286" s="114"/>
      <c r="E286" s="114"/>
      <c r="F286" s="114"/>
      <c r="G286" s="114"/>
      <c r="H286" s="113">
        <f t="shared" si="24"/>
        <v>0</v>
      </c>
      <c r="J286" s="262"/>
      <c r="K286" s="102"/>
    </row>
    <row r="287" spans="1:11" s="28" customFormat="1" ht="15.5" x14ac:dyDescent="0.35">
      <c r="A287" s="81"/>
      <c r="B287" s="41" t="s">
        <v>635</v>
      </c>
      <c r="C287" s="116">
        <f>SUM(C279:C286)</f>
        <v>0</v>
      </c>
      <c r="D287" s="116">
        <f t="shared" ref="D287:H287" si="25">SUM(D279:D286)</f>
        <v>0</v>
      </c>
      <c r="E287" s="116">
        <f t="shared" si="25"/>
        <v>0</v>
      </c>
      <c r="F287" s="116">
        <f t="shared" si="25"/>
        <v>0</v>
      </c>
      <c r="G287" s="116">
        <f t="shared" si="25"/>
        <v>0</v>
      </c>
      <c r="H287" s="116">
        <f t="shared" si="25"/>
        <v>0</v>
      </c>
      <c r="I287" s="62"/>
      <c r="J287" s="262"/>
      <c r="K287" s="102"/>
    </row>
    <row r="288" spans="1:11" ht="15.5" x14ac:dyDescent="0.35">
      <c r="A288" s="13"/>
      <c r="B288" s="10" t="s">
        <v>636</v>
      </c>
      <c r="C288" s="61"/>
      <c r="D288" s="61"/>
      <c r="E288" s="61"/>
      <c r="F288" s="61"/>
      <c r="G288" s="61"/>
      <c r="H288" s="61"/>
      <c r="J288" s="266"/>
      <c r="K288" s="17"/>
    </row>
    <row r="289" spans="1:11" ht="62" x14ac:dyDescent="0.35">
      <c r="A289" s="11" t="s">
        <v>637</v>
      </c>
      <c r="B289" s="11" t="s">
        <v>638</v>
      </c>
      <c r="C289" s="221">
        <f>(WEEKNUM("December 31, 2023",1)-WEEKNUM("August 1, 2023",1)+WEEKNUM(C7,1))*(25*20)</f>
        <v>24500</v>
      </c>
      <c r="D289" s="221">
        <f>(WEEKNUM(D7,1)-WEEKNUM(D6,1))*(25*20)</f>
        <v>2000</v>
      </c>
      <c r="E289" s="221">
        <f>(WEEKNUM("December 31, 2024",1)-WEEKNUM(E6,1)+WEEKNUM(E7,1))*(25*20)</f>
        <v>24500</v>
      </c>
      <c r="F289" s="112"/>
      <c r="G289" s="112"/>
      <c r="H289" s="113">
        <f>SUM(C289:G289)</f>
        <v>51000</v>
      </c>
      <c r="J289" s="259" t="s">
        <v>744</v>
      </c>
      <c r="K289" s="1" t="s">
        <v>639</v>
      </c>
    </row>
    <row r="290" spans="1:11" ht="15.5" x14ac:dyDescent="0.35">
      <c r="A290" s="64"/>
      <c r="B290" s="65"/>
      <c r="C290" s="267"/>
      <c r="D290" s="267"/>
      <c r="E290" s="267"/>
      <c r="F290" s="114"/>
      <c r="G290" s="114"/>
      <c r="H290" s="113">
        <f t="shared" ref="H290:H291" si="26">SUM(C290:G290)</f>
        <v>0</v>
      </c>
      <c r="J290" s="262"/>
      <c r="K290" s="29"/>
    </row>
    <row r="291" spans="1:11" ht="15.5" x14ac:dyDescent="0.35">
      <c r="A291" s="64"/>
      <c r="B291" s="65"/>
      <c r="C291" s="114"/>
      <c r="D291" s="114"/>
      <c r="E291" s="114"/>
      <c r="F291" s="114"/>
      <c r="G291" s="114"/>
      <c r="H291" s="113">
        <f t="shared" si="26"/>
        <v>0</v>
      </c>
      <c r="J291" s="262"/>
      <c r="K291" s="29"/>
    </row>
    <row r="292" spans="1:11" ht="15.5" x14ac:dyDescent="0.35">
      <c r="A292" s="64"/>
      <c r="B292" s="65"/>
      <c r="C292" s="114"/>
      <c r="D292" s="114"/>
      <c r="E292" s="114"/>
      <c r="F292" s="114"/>
      <c r="G292" s="114"/>
      <c r="H292" s="113">
        <f>SUM(C292:G292)</f>
        <v>0</v>
      </c>
      <c r="J292" s="262"/>
      <c r="K292" s="29"/>
    </row>
    <row r="293" spans="1:11" s="28" customFormat="1" ht="15.5" x14ac:dyDescent="0.35">
      <c r="A293" s="90"/>
      <c r="B293" s="41" t="s">
        <v>640</v>
      </c>
      <c r="C293" s="116">
        <f>SUM(C289:C292)</f>
        <v>24500</v>
      </c>
      <c r="D293" s="116">
        <f t="shared" ref="D293:H293" si="27">SUM(D289:D292)</f>
        <v>2000</v>
      </c>
      <c r="E293" s="116">
        <f t="shared" si="27"/>
        <v>24500</v>
      </c>
      <c r="F293" s="116">
        <f t="shared" si="27"/>
        <v>0</v>
      </c>
      <c r="G293" s="116">
        <f t="shared" si="27"/>
        <v>0</v>
      </c>
      <c r="H293" s="116">
        <f t="shared" si="27"/>
        <v>51000</v>
      </c>
      <c r="I293" s="62"/>
      <c r="J293" s="262"/>
      <c r="K293" s="29"/>
    </row>
    <row r="294" spans="1:11" ht="15.5" x14ac:dyDescent="0.35">
      <c r="A294" s="13"/>
      <c r="B294" s="10" t="s">
        <v>641</v>
      </c>
      <c r="C294" s="61"/>
      <c r="D294" s="61"/>
      <c r="E294" s="61"/>
      <c r="F294" s="61"/>
      <c r="G294" s="61"/>
      <c r="H294" s="61"/>
      <c r="J294" s="266"/>
      <c r="K294" s="17"/>
    </row>
    <row r="295" spans="1:11" ht="15.5" x14ac:dyDescent="0.35">
      <c r="A295" s="12" t="s">
        <v>642</v>
      </c>
      <c r="B295" s="12" t="s">
        <v>643</v>
      </c>
      <c r="C295" s="112"/>
      <c r="D295" s="112"/>
      <c r="E295" s="112"/>
      <c r="F295" s="112"/>
      <c r="G295" s="112"/>
      <c r="H295" s="113">
        <f>SUM(C295:G295)</f>
        <v>0</v>
      </c>
      <c r="J295" s="2"/>
      <c r="K295" s="24" t="s">
        <v>644</v>
      </c>
    </row>
    <row r="296" spans="1:11" ht="15.5" x14ac:dyDescent="0.35">
      <c r="A296" s="66"/>
      <c r="B296" s="67"/>
      <c r="C296" s="114"/>
      <c r="D296" s="114"/>
      <c r="E296" s="114"/>
      <c r="F296" s="114"/>
      <c r="G296" s="114"/>
      <c r="H296" s="113">
        <f t="shared" ref="H296:H297" si="28">SUM(C296:G296)</f>
        <v>0</v>
      </c>
      <c r="J296" s="45"/>
      <c r="K296" s="38"/>
    </row>
    <row r="297" spans="1:11" ht="15.5" x14ac:dyDescent="0.35">
      <c r="A297" s="66"/>
      <c r="B297" s="67"/>
      <c r="C297" s="114"/>
      <c r="D297" s="114"/>
      <c r="E297" s="114"/>
      <c r="F297" s="114"/>
      <c r="G297" s="114"/>
      <c r="H297" s="113">
        <f t="shared" si="28"/>
        <v>0</v>
      </c>
      <c r="J297" s="45"/>
      <c r="K297" s="38"/>
    </row>
    <row r="298" spans="1:11" ht="15.5" x14ac:dyDescent="0.35">
      <c r="A298" s="66"/>
      <c r="B298" s="67"/>
      <c r="C298" s="114"/>
      <c r="D298" s="114"/>
      <c r="E298" s="114"/>
      <c r="F298" s="114"/>
      <c r="G298" s="114"/>
      <c r="H298" s="113">
        <f>SUM(C298:G298)</f>
        <v>0</v>
      </c>
      <c r="J298" s="45"/>
      <c r="K298" s="38"/>
    </row>
    <row r="299" spans="1:11" s="28" customFormat="1" ht="15.5" x14ac:dyDescent="0.35">
      <c r="A299" s="79"/>
      <c r="B299" s="41" t="s">
        <v>645</v>
      </c>
      <c r="C299" s="116">
        <f>SUM(C295:C298)</f>
        <v>0</v>
      </c>
      <c r="D299" s="116">
        <f t="shared" ref="D299:H299" si="29">SUM(D295:D298)</f>
        <v>0</v>
      </c>
      <c r="E299" s="116">
        <f t="shared" si="29"/>
        <v>0</v>
      </c>
      <c r="F299" s="116">
        <f t="shared" si="29"/>
        <v>0</v>
      </c>
      <c r="G299" s="116">
        <f t="shared" si="29"/>
        <v>0</v>
      </c>
      <c r="H299" s="116">
        <f t="shared" si="29"/>
        <v>0</v>
      </c>
      <c r="I299" s="62"/>
      <c r="J299" s="45"/>
      <c r="K299" s="38"/>
    </row>
    <row r="300" spans="1:11" ht="15.5" x14ac:dyDescent="0.35">
      <c r="A300" s="13"/>
      <c r="B300" s="77" t="s">
        <v>646</v>
      </c>
      <c r="C300" s="61"/>
      <c r="D300" s="61"/>
      <c r="E300" s="61"/>
      <c r="F300" s="61"/>
      <c r="G300" s="61"/>
      <c r="H300" s="61"/>
      <c r="J300" s="9"/>
      <c r="K300" s="17"/>
    </row>
    <row r="301" spans="1:11" ht="15.5" x14ac:dyDescent="0.35">
      <c r="A301" s="12" t="s">
        <v>647</v>
      </c>
      <c r="B301" s="12" t="s">
        <v>648</v>
      </c>
      <c r="C301" s="112"/>
      <c r="D301" s="112"/>
      <c r="E301" s="112"/>
      <c r="F301" s="112"/>
      <c r="G301" s="112"/>
      <c r="H301" s="113">
        <f>SUM(C301:G301)</f>
        <v>0</v>
      </c>
      <c r="J301" s="2"/>
      <c r="K301" s="1" t="s">
        <v>649</v>
      </c>
    </row>
    <row r="302" spans="1:11" ht="15.5" x14ac:dyDescent="0.35">
      <c r="A302" s="66"/>
      <c r="B302" s="67"/>
      <c r="C302" s="114"/>
      <c r="D302" s="114"/>
      <c r="E302" s="114"/>
      <c r="F302" s="114"/>
      <c r="G302" s="114"/>
      <c r="H302" s="113">
        <f t="shared" ref="H302:H303" si="30">SUM(C302:G302)</f>
        <v>0</v>
      </c>
      <c r="J302" s="45"/>
      <c r="K302" s="29"/>
    </row>
    <row r="303" spans="1:11" ht="15.5" x14ac:dyDescent="0.35">
      <c r="A303" s="66"/>
      <c r="B303" s="67"/>
      <c r="C303" s="114"/>
      <c r="D303" s="114"/>
      <c r="E303" s="114"/>
      <c r="F303" s="114"/>
      <c r="G303" s="114"/>
      <c r="H303" s="113">
        <f t="shared" si="30"/>
        <v>0</v>
      </c>
      <c r="J303" s="45"/>
      <c r="K303" s="29"/>
    </row>
    <row r="304" spans="1:11" s="28" customFormat="1" ht="15.5" x14ac:dyDescent="0.35">
      <c r="A304" s="79"/>
      <c r="B304" s="41" t="s">
        <v>650</v>
      </c>
      <c r="C304" s="115">
        <f>SUM(C301:C303)</f>
        <v>0</v>
      </c>
      <c r="D304" s="115">
        <f t="shared" ref="D304:H304" si="31">SUM(D301:D303)</f>
        <v>0</v>
      </c>
      <c r="E304" s="115">
        <f t="shared" si="31"/>
        <v>0</v>
      </c>
      <c r="F304" s="115">
        <f t="shared" si="31"/>
        <v>0</v>
      </c>
      <c r="G304" s="115">
        <f>SUM(G301:G303)</f>
        <v>0</v>
      </c>
      <c r="H304" s="115">
        <f t="shared" si="31"/>
        <v>0</v>
      </c>
      <c r="I304" s="62"/>
      <c r="J304" s="45"/>
      <c r="K304" s="29"/>
    </row>
    <row r="305" spans="1:10" ht="15.5" x14ac:dyDescent="0.35">
      <c r="A305" s="98"/>
      <c r="B305" s="99" t="s">
        <v>651</v>
      </c>
      <c r="C305" s="27"/>
      <c r="D305" s="27"/>
      <c r="E305" s="27"/>
      <c r="F305" s="27"/>
      <c r="G305" s="27"/>
      <c r="H305" s="61"/>
      <c r="J305" s="9"/>
    </row>
    <row r="306" spans="1:10" ht="15.5" x14ac:dyDescent="0.35">
      <c r="A306" s="68"/>
      <c r="B306" s="68"/>
      <c r="C306" s="112"/>
      <c r="D306" s="112"/>
      <c r="E306" s="112"/>
      <c r="F306" s="112"/>
      <c r="G306" s="112"/>
      <c r="H306" s="113">
        <f>SUM(C306:G306)</f>
        <v>0</v>
      </c>
      <c r="J306" s="2"/>
    </row>
    <row r="307" spans="1:10" ht="15.5" x14ac:dyDescent="0.35">
      <c r="A307" s="69"/>
      <c r="B307" s="70"/>
      <c r="C307" s="114"/>
      <c r="D307" s="114"/>
      <c r="E307" s="114"/>
      <c r="F307" s="114"/>
      <c r="G307" s="114"/>
      <c r="H307" s="113">
        <f>SUM(C307:G307)</f>
        <v>0</v>
      </c>
      <c r="J307" s="45"/>
    </row>
    <row r="308" spans="1:10" s="28" customFormat="1" ht="15.5" x14ac:dyDescent="0.35">
      <c r="A308" s="80"/>
      <c r="B308" s="78" t="s">
        <v>652</v>
      </c>
      <c r="C308" s="116">
        <f>SUM(C306:C307)</f>
        <v>0</v>
      </c>
      <c r="D308" s="116">
        <f t="shared" ref="D308:G308" si="32">SUM(D306:D307)</f>
        <v>0</v>
      </c>
      <c r="E308" s="116">
        <f t="shared" si="32"/>
        <v>0</v>
      </c>
      <c r="F308" s="116">
        <f t="shared" si="32"/>
        <v>0</v>
      </c>
      <c r="G308" s="116">
        <f t="shared" si="32"/>
        <v>0</v>
      </c>
      <c r="H308" s="116">
        <f>SUM(H306:H307)</f>
        <v>0</v>
      </c>
      <c r="I308" s="62"/>
      <c r="J308" s="46"/>
    </row>
    <row r="309" spans="1:10" ht="18.5" x14ac:dyDescent="0.45">
      <c r="G309" s="58" t="s">
        <v>653</v>
      </c>
      <c r="H309" s="82">
        <f>SUM(H173,H188,H216,H235,H245,H255,H266,H277,H287,H293,H299,H304,H308)</f>
        <v>1020288</v>
      </c>
    </row>
  </sheetData>
  <mergeCells count="8">
    <mergeCell ref="A6:B8"/>
    <mergeCell ref="K219:K234"/>
    <mergeCell ref="K237:K240"/>
    <mergeCell ref="K269:K271"/>
    <mergeCell ref="K175:K181"/>
    <mergeCell ref="K190:K207"/>
    <mergeCell ref="K247:K250"/>
    <mergeCell ref="K258:K261"/>
  </mergeCells>
  <pageMargins left="0.25" right="0.25" top="0.75" bottom="0.75" header="0.3" footer="0.3"/>
  <pageSetup paperSize="3" scale="54"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A25CD-EDD9-DF40-A6A7-46939E0E3D92}">
  <dimension ref="A1:V256"/>
  <sheetViews>
    <sheetView topLeftCell="A195" workbookViewId="0">
      <selection activeCell="B214" sqref="B214"/>
    </sheetView>
  </sheetViews>
  <sheetFormatPr defaultColWidth="9.36328125" defaultRowHeight="14.5" x14ac:dyDescent="0.35"/>
  <cols>
    <col min="1" max="1" width="17" customWidth="1"/>
    <col min="2" max="2" width="87.36328125" bestFit="1" customWidth="1"/>
    <col min="3" max="3" width="20.81640625" customWidth="1"/>
    <col min="4" max="4" width="18.6328125" customWidth="1"/>
    <col min="5" max="5" width="23.6328125" customWidth="1"/>
    <col min="6" max="6" width="21.1796875" customWidth="1"/>
    <col min="7" max="7" width="20.36328125" customWidth="1"/>
    <col min="8" max="8" width="21" customWidth="1"/>
  </cols>
  <sheetData>
    <row r="1" spans="1:22" ht="46.5" x14ac:dyDescent="0.35">
      <c r="A1" s="206" t="s">
        <v>671</v>
      </c>
      <c r="B1" s="118" t="s">
        <v>672</v>
      </c>
      <c r="C1" s="118"/>
      <c r="D1" s="118"/>
      <c r="E1" t="s">
        <v>721</v>
      </c>
    </row>
    <row r="2" spans="1:22" x14ac:dyDescent="0.35">
      <c r="A2" s="118" t="s">
        <v>673</v>
      </c>
      <c r="B2" s="119" t="s">
        <v>674</v>
      </c>
      <c r="C2" s="119"/>
      <c r="D2" s="119"/>
      <c r="E2" s="120" t="s">
        <v>675</v>
      </c>
    </row>
    <row r="3" spans="1:22" x14ac:dyDescent="0.35">
      <c r="B3" s="119" t="s">
        <v>676</v>
      </c>
      <c r="C3" s="119"/>
      <c r="D3" s="119"/>
    </row>
    <row r="4" spans="1:22" ht="16" thickBot="1" x14ac:dyDescent="0.4">
      <c r="C4" s="245" t="s">
        <v>677</v>
      </c>
      <c r="D4" s="245"/>
      <c r="E4" s="122"/>
      <c r="V4" s="123" t="s">
        <v>53</v>
      </c>
    </row>
    <row r="5" spans="1:22" s="126" customFormat="1" ht="15.5" x14ac:dyDescent="0.35">
      <c r="A5" s="124"/>
      <c r="C5" s="121"/>
      <c r="D5" s="121" t="s">
        <v>678</v>
      </c>
      <c r="E5" s="125"/>
      <c r="F5" s="125"/>
      <c r="G5" s="125"/>
      <c r="H5" s="125"/>
      <c r="V5" s="123" t="s">
        <v>54</v>
      </c>
    </row>
    <row r="6" spans="1:22" s="126" customFormat="1" ht="16" thickBot="1" x14ac:dyDescent="0.4">
      <c r="A6" s="124"/>
      <c r="C6" s="121"/>
      <c r="D6" s="121" t="s">
        <v>679</v>
      </c>
      <c r="E6" s="127"/>
      <c r="F6" s="127"/>
      <c r="G6" s="127"/>
      <c r="H6" s="127"/>
    </row>
    <row r="7" spans="1:22" s="126" customFormat="1" ht="15.5" x14ac:dyDescent="0.35">
      <c r="A7" s="124"/>
    </row>
    <row r="8" spans="1:22" s="126" customFormat="1" ht="18" customHeight="1" thickBot="1" x14ac:dyDescent="0.5">
      <c r="A8" s="128"/>
      <c r="B8" s="129"/>
      <c r="C8" s="207"/>
      <c r="D8" s="207"/>
      <c r="E8" s="208" t="s">
        <v>717</v>
      </c>
      <c r="F8" s="208" t="s">
        <v>717</v>
      </c>
      <c r="G8" s="208" t="s">
        <v>717</v>
      </c>
      <c r="H8" s="208" t="s">
        <v>717</v>
      </c>
    </row>
    <row r="9" spans="1:22" s="126" customFormat="1" ht="37" x14ac:dyDescent="0.45">
      <c r="A9" s="35"/>
      <c r="B9" s="130"/>
      <c r="C9" s="217" t="s">
        <v>719</v>
      </c>
      <c r="D9" s="209" t="s">
        <v>716</v>
      </c>
      <c r="E9" s="131">
        <f>E169+E179+E201+E217+E223+E229+E235+E241+E247+E250+E253+E256</f>
        <v>151</v>
      </c>
      <c r="F9" s="131">
        <f>F169+F179+F201+F217+F223+F229+F235+F241+F247+F250+F253+F256</f>
        <v>2</v>
      </c>
      <c r="G9" s="131">
        <f>G169+G179+G201+G217+G223+G229+G235+G241+G247+G250+G253+G256</f>
        <v>3</v>
      </c>
      <c r="H9" s="131">
        <f>H169+H179+H201+H217+H223+H229+H235+H241+H247+H250+H253+H256</f>
        <v>1</v>
      </c>
    </row>
    <row r="10" spans="1:22" s="126" customFormat="1" ht="15.5" x14ac:dyDescent="0.35">
      <c r="F10" s="132"/>
    </row>
    <row r="11" spans="1:22" s="126" customFormat="1" ht="31" x14ac:dyDescent="0.35">
      <c r="A11" s="133" t="s">
        <v>61</v>
      </c>
      <c r="B11" s="134" t="s">
        <v>680</v>
      </c>
      <c r="C11" s="134" t="s">
        <v>720</v>
      </c>
      <c r="D11" s="134" t="s">
        <v>718</v>
      </c>
      <c r="E11" s="133" t="s">
        <v>681</v>
      </c>
      <c r="F11" s="133" t="s">
        <v>681</v>
      </c>
      <c r="G11" s="133" t="s">
        <v>681</v>
      </c>
      <c r="H11" s="133" t="s">
        <v>681</v>
      </c>
    </row>
    <row r="12" spans="1:22" s="126" customFormat="1" ht="15.5" x14ac:dyDescent="0.35">
      <c r="A12" s="135"/>
      <c r="B12" s="136" t="s">
        <v>66</v>
      </c>
      <c r="C12" s="136"/>
      <c r="D12" s="136"/>
      <c r="E12" s="137"/>
      <c r="F12" s="137"/>
      <c r="G12" s="137"/>
      <c r="H12" s="137"/>
    </row>
    <row r="13" spans="1:22" s="126" customFormat="1" ht="15.5" x14ac:dyDescent="0.35">
      <c r="A13" s="14" t="s">
        <v>69</v>
      </c>
      <c r="B13" s="14" t="s">
        <v>70</v>
      </c>
      <c r="C13" s="214">
        <f>'CSP Budget Detail'!C12-'Monthly Expense Summary Y1P '!D13</f>
        <v>99987</v>
      </c>
      <c r="D13" s="210">
        <f>SUM(E13:H13)</f>
        <v>13</v>
      </c>
      <c r="E13" s="138">
        <v>10</v>
      </c>
      <c r="F13" s="138">
        <v>1</v>
      </c>
      <c r="G13" s="138">
        <v>1</v>
      </c>
      <c r="H13" s="138">
        <v>1</v>
      </c>
    </row>
    <row r="14" spans="1:22" s="126" customFormat="1" ht="15.5" x14ac:dyDescent="0.35">
      <c r="A14" s="14" t="s">
        <v>72</v>
      </c>
      <c r="B14" s="14" t="s">
        <v>73</v>
      </c>
      <c r="C14" s="214">
        <f>'CSP Budget Detail'!C13-'Monthly Expense Summary Y1P '!D14</f>
        <v>139</v>
      </c>
      <c r="D14" s="210">
        <f t="shared" ref="D14:D77" si="0">SUM(E14:H14)</f>
        <v>11</v>
      </c>
      <c r="E14" s="138">
        <v>10</v>
      </c>
      <c r="F14" s="138"/>
      <c r="G14" s="138">
        <v>1</v>
      </c>
      <c r="H14" s="138"/>
    </row>
    <row r="15" spans="1:22" s="126" customFormat="1" ht="15.5" x14ac:dyDescent="0.35">
      <c r="A15" s="14" t="s">
        <v>75</v>
      </c>
      <c r="B15" s="14" t="s">
        <v>76</v>
      </c>
      <c r="C15" s="214">
        <f>'CSP Budget Detail'!C14-'Monthly Expense Summary Y1P '!D15</f>
        <v>1348</v>
      </c>
      <c r="D15" s="210">
        <f t="shared" si="0"/>
        <v>102</v>
      </c>
      <c r="E15" s="138">
        <v>101</v>
      </c>
      <c r="F15" s="138">
        <v>1</v>
      </c>
      <c r="G15" s="138"/>
      <c r="H15" s="138"/>
    </row>
    <row r="16" spans="1:22" s="126" customFormat="1" ht="15.5" x14ac:dyDescent="0.35">
      <c r="A16" s="14" t="s">
        <v>78</v>
      </c>
      <c r="B16" s="14" t="s">
        <v>79</v>
      </c>
      <c r="C16" s="214">
        <f>'CSP Budget Detail'!C15-'Monthly Expense Summary Y1P '!D16</f>
        <v>17489</v>
      </c>
      <c r="D16" s="210">
        <f t="shared" si="0"/>
        <v>11</v>
      </c>
      <c r="E16" s="138">
        <v>10</v>
      </c>
      <c r="F16" s="138"/>
      <c r="G16" s="138">
        <v>1</v>
      </c>
      <c r="H16" s="138"/>
    </row>
    <row r="17" spans="1:8" s="126" customFormat="1" ht="15.5" x14ac:dyDescent="0.35">
      <c r="A17" s="14" t="s">
        <v>81</v>
      </c>
      <c r="B17" s="14" t="s">
        <v>82</v>
      </c>
      <c r="C17" s="214">
        <f>'CSP Budget Detail'!C16-'Monthly Expense Summary Y1P '!D17</f>
        <v>-10</v>
      </c>
      <c r="D17" s="210">
        <f t="shared" si="0"/>
        <v>10</v>
      </c>
      <c r="E17" s="138">
        <v>10</v>
      </c>
      <c r="F17" s="138"/>
      <c r="G17" s="138"/>
      <c r="H17" s="138"/>
    </row>
    <row r="18" spans="1:8" s="126" customFormat="1" ht="15.5" x14ac:dyDescent="0.35">
      <c r="A18" s="14" t="s">
        <v>84</v>
      </c>
      <c r="B18" s="14" t="s">
        <v>85</v>
      </c>
      <c r="C18" s="214">
        <f>'CSP Budget Detail'!C17-'Monthly Expense Summary Y1P '!D18</f>
        <v>2186</v>
      </c>
      <c r="D18" s="210">
        <f t="shared" si="0"/>
        <v>10</v>
      </c>
      <c r="E18" s="138">
        <v>10</v>
      </c>
      <c r="F18" s="138"/>
      <c r="G18" s="138"/>
      <c r="H18" s="138"/>
    </row>
    <row r="19" spans="1:8" s="126" customFormat="1" ht="15.5" x14ac:dyDescent="0.35">
      <c r="A19" s="14" t="s">
        <v>87</v>
      </c>
      <c r="B19" s="14" t="s">
        <v>88</v>
      </c>
      <c r="C19" s="214">
        <f>'CSP Budget Detail'!C18-'Monthly Expense Summary Y1P '!D19</f>
        <v>638</v>
      </c>
      <c r="D19" s="210">
        <f t="shared" si="0"/>
        <v>0</v>
      </c>
      <c r="E19" s="138"/>
      <c r="F19" s="138"/>
      <c r="G19" s="138"/>
      <c r="H19" s="138"/>
    </row>
    <row r="20" spans="1:8" s="126" customFormat="1" ht="15.5" x14ac:dyDescent="0.35">
      <c r="A20" s="14" t="s">
        <v>90</v>
      </c>
      <c r="B20" s="14" t="s">
        <v>91</v>
      </c>
      <c r="C20" s="214">
        <f>'CSP Budget Detail'!C19-'Monthly Expense Summary Y1P '!D20</f>
        <v>16000</v>
      </c>
      <c r="D20" s="210">
        <f t="shared" si="0"/>
        <v>0</v>
      </c>
      <c r="E20" s="138"/>
      <c r="F20" s="138"/>
      <c r="G20" s="138"/>
      <c r="H20" s="138"/>
    </row>
    <row r="21" spans="1:8" s="126" customFormat="1" ht="15.5" x14ac:dyDescent="0.35">
      <c r="A21" s="14" t="s">
        <v>93</v>
      </c>
      <c r="B21" s="14" t="s">
        <v>94</v>
      </c>
      <c r="C21" s="214">
        <f>'CSP Budget Detail'!C20-'Monthly Expense Summary Y1P '!D21</f>
        <v>0</v>
      </c>
      <c r="D21" s="210">
        <f t="shared" si="0"/>
        <v>0</v>
      </c>
      <c r="E21" s="138"/>
      <c r="F21" s="138"/>
      <c r="G21" s="138"/>
      <c r="H21" s="138"/>
    </row>
    <row r="22" spans="1:8" s="126" customFormat="1" ht="15.5" x14ac:dyDescent="0.35">
      <c r="A22" s="14" t="s">
        <v>96</v>
      </c>
      <c r="B22" s="14" t="s">
        <v>97</v>
      </c>
      <c r="C22" s="214">
        <f>'CSP Budget Detail'!C21-'Monthly Expense Summary Y1P '!D22</f>
        <v>8333.3333333333339</v>
      </c>
      <c r="D22" s="210">
        <f t="shared" si="0"/>
        <v>0</v>
      </c>
      <c r="E22" s="138"/>
      <c r="F22" s="138"/>
      <c r="G22" s="138"/>
      <c r="H22" s="138"/>
    </row>
    <row r="23" spans="1:8" s="126" customFormat="1" ht="15.5" x14ac:dyDescent="0.35">
      <c r="A23" s="14" t="s">
        <v>99</v>
      </c>
      <c r="B23" s="14" t="s">
        <v>100</v>
      </c>
      <c r="C23" s="214">
        <f>'CSP Budget Detail'!C22-'Monthly Expense Summary Y1P '!D23</f>
        <v>12.500000000000002</v>
      </c>
      <c r="D23" s="210">
        <f t="shared" si="0"/>
        <v>0</v>
      </c>
      <c r="E23" s="138"/>
      <c r="F23" s="138"/>
      <c r="G23" s="138"/>
      <c r="H23" s="138"/>
    </row>
    <row r="24" spans="1:8" s="126" customFormat="1" ht="15.5" x14ac:dyDescent="0.35">
      <c r="A24" s="14" t="s">
        <v>102</v>
      </c>
      <c r="B24" s="14" t="s">
        <v>103</v>
      </c>
      <c r="C24" s="214">
        <f>'CSP Budget Detail'!C23-'Monthly Expense Summary Y1P '!D24</f>
        <v>120.83333333333333</v>
      </c>
      <c r="D24" s="210">
        <f t="shared" si="0"/>
        <v>0</v>
      </c>
      <c r="E24" s="138"/>
      <c r="F24" s="138"/>
      <c r="G24" s="138"/>
      <c r="H24" s="138"/>
    </row>
    <row r="25" spans="1:8" s="126" customFormat="1" ht="15.5" x14ac:dyDescent="0.35">
      <c r="A25" s="14" t="s">
        <v>105</v>
      </c>
      <c r="B25" s="14" t="s">
        <v>106</v>
      </c>
      <c r="C25" s="214">
        <f>'CSP Budget Detail'!C24-'Monthly Expense Summary Y1P '!D25</f>
        <v>1458.3333333333333</v>
      </c>
      <c r="D25" s="210">
        <f t="shared" si="0"/>
        <v>0</v>
      </c>
      <c r="E25" s="138"/>
      <c r="F25" s="138"/>
      <c r="G25" s="138"/>
      <c r="H25" s="138"/>
    </row>
    <row r="26" spans="1:8" s="126" customFormat="1" ht="15.5" x14ac:dyDescent="0.35">
      <c r="A26" s="14" t="s">
        <v>108</v>
      </c>
      <c r="B26" s="14" t="s">
        <v>109</v>
      </c>
      <c r="C26" s="214">
        <f>'CSP Budget Detail'!C25-'Monthly Expense Summary Y1P '!D26</f>
        <v>0</v>
      </c>
      <c r="D26" s="210">
        <f t="shared" si="0"/>
        <v>0</v>
      </c>
      <c r="E26" s="138"/>
      <c r="F26" s="138"/>
      <c r="G26" s="138"/>
      <c r="H26" s="138"/>
    </row>
    <row r="27" spans="1:8" s="126" customFormat="1" ht="15.5" x14ac:dyDescent="0.35">
      <c r="A27" s="14" t="s">
        <v>111</v>
      </c>
      <c r="B27" s="14" t="s">
        <v>112</v>
      </c>
      <c r="C27" s="214">
        <f>'CSP Budget Detail'!C26-'Monthly Expense Summary Y1P '!D27</f>
        <v>366</v>
      </c>
      <c r="D27" s="210">
        <f t="shared" si="0"/>
        <v>0</v>
      </c>
      <c r="E27" s="138"/>
      <c r="F27" s="138"/>
      <c r="G27" s="138"/>
      <c r="H27" s="138"/>
    </row>
    <row r="28" spans="1:8" s="126" customFormat="1" ht="15.5" x14ac:dyDescent="0.35">
      <c r="A28" s="14" t="s">
        <v>114</v>
      </c>
      <c r="B28" s="14" t="s">
        <v>115</v>
      </c>
      <c r="C28" s="214">
        <f>'CSP Budget Detail'!C27-'Monthly Expense Summary Y1P '!D28</f>
        <v>106.33333333333333</v>
      </c>
      <c r="D28" s="210">
        <f t="shared" si="0"/>
        <v>0</v>
      </c>
      <c r="E28" s="138"/>
      <c r="F28" s="138"/>
      <c r="G28" s="138"/>
      <c r="H28" s="138"/>
    </row>
    <row r="29" spans="1:8" s="126" customFormat="1" ht="15.5" x14ac:dyDescent="0.35">
      <c r="A29" s="14" t="s">
        <v>117</v>
      </c>
      <c r="B29" s="14" t="s">
        <v>118</v>
      </c>
      <c r="C29" s="214">
        <f>'CSP Budget Detail'!C28-'Monthly Expense Summary Y1P '!D29</f>
        <v>2666.6666666666665</v>
      </c>
      <c r="D29" s="210">
        <f t="shared" si="0"/>
        <v>0</v>
      </c>
      <c r="E29" s="138"/>
      <c r="F29" s="138"/>
      <c r="G29" s="138"/>
      <c r="H29" s="138"/>
    </row>
    <row r="30" spans="1:8" s="126" customFormat="1" ht="15.5" x14ac:dyDescent="0.35">
      <c r="A30" s="14" t="s">
        <v>120</v>
      </c>
      <c r="B30" s="14" t="s">
        <v>121</v>
      </c>
      <c r="C30" s="214">
        <f>'CSP Budget Detail'!C29-'Monthly Expense Summary Y1P '!D30</f>
        <v>0</v>
      </c>
      <c r="D30" s="210">
        <f t="shared" si="0"/>
        <v>0</v>
      </c>
      <c r="E30" s="138"/>
      <c r="F30" s="138"/>
      <c r="G30" s="138"/>
      <c r="H30" s="138"/>
    </row>
    <row r="31" spans="1:8" s="126" customFormat="1" ht="15.5" x14ac:dyDescent="0.35">
      <c r="A31" s="14" t="s">
        <v>69</v>
      </c>
      <c r="B31" s="14" t="s">
        <v>123</v>
      </c>
      <c r="C31" s="214">
        <f>'CSP Budget Detail'!C30-'Monthly Expense Summary Y1P '!D31</f>
        <v>0</v>
      </c>
      <c r="D31" s="210">
        <f t="shared" si="0"/>
        <v>0</v>
      </c>
      <c r="E31" s="138"/>
      <c r="F31" s="138"/>
      <c r="G31" s="138"/>
      <c r="H31" s="138"/>
    </row>
    <row r="32" spans="1:8" s="126" customFormat="1" ht="15.5" x14ac:dyDescent="0.35">
      <c r="A32" s="14" t="s">
        <v>72</v>
      </c>
      <c r="B32" s="14" t="s">
        <v>125</v>
      </c>
      <c r="C32" s="214">
        <f>'CSP Budget Detail'!C31-'Monthly Expense Summary Y1P '!D32</f>
        <v>0</v>
      </c>
      <c r="D32" s="210">
        <f t="shared" si="0"/>
        <v>0</v>
      </c>
      <c r="E32" s="138"/>
      <c r="F32" s="138"/>
      <c r="G32" s="138"/>
      <c r="H32" s="138"/>
    </row>
    <row r="33" spans="1:8" s="126" customFormat="1" ht="15.5" x14ac:dyDescent="0.35">
      <c r="A33" s="14" t="s">
        <v>75</v>
      </c>
      <c r="B33" s="14" t="s">
        <v>127</v>
      </c>
      <c r="C33" s="214">
        <f>'CSP Budget Detail'!C32-'Monthly Expense Summary Y1P '!D33</f>
        <v>0</v>
      </c>
      <c r="D33" s="210">
        <f t="shared" si="0"/>
        <v>0</v>
      </c>
      <c r="E33" s="138"/>
      <c r="F33" s="138"/>
      <c r="G33" s="138"/>
      <c r="H33" s="138"/>
    </row>
    <row r="34" spans="1:8" s="126" customFormat="1" ht="15.5" x14ac:dyDescent="0.35">
      <c r="A34" s="14" t="s">
        <v>78</v>
      </c>
      <c r="B34" s="14" t="s">
        <v>129</v>
      </c>
      <c r="C34" s="214">
        <f>'CSP Budget Detail'!C33-'Monthly Expense Summary Y1P '!D34</f>
        <v>0</v>
      </c>
      <c r="D34" s="210">
        <f t="shared" si="0"/>
        <v>0</v>
      </c>
      <c r="E34" s="138"/>
      <c r="F34" s="138"/>
      <c r="G34" s="138"/>
      <c r="H34" s="138"/>
    </row>
    <row r="35" spans="1:8" s="126" customFormat="1" ht="15.5" x14ac:dyDescent="0.35">
      <c r="A35" s="14" t="s">
        <v>81</v>
      </c>
      <c r="B35" s="14" t="s">
        <v>131</v>
      </c>
      <c r="C35" s="214">
        <f>'CSP Budget Detail'!C34-'Monthly Expense Summary Y1P '!D35</f>
        <v>0</v>
      </c>
      <c r="D35" s="210">
        <f t="shared" si="0"/>
        <v>0</v>
      </c>
      <c r="E35" s="138"/>
      <c r="F35" s="138"/>
      <c r="G35" s="138"/>
      <c r="H35" s="138"/>
    </row>
    <row r="36" spans="1:8" s="126" customFormat="1" ht="15.5" x14ac:dyDescent="0.35">
      <c r="A36" s="14" t="s">
        <v>84</v>
      </c>
      <c r="B36" s="14" t="s">
        <v>133</v>
      </c>
      <c r="C36" s="214">
        <f>'CSP Budget Detail'!C35-'Monthly Expense Summary Y1P '!D36</f>
        <v>0</v>
      </c>
      <c r="D36" s="210">
        <f t="shared" si="0"/>
        <v>0</v>
      </c>
      <c r="E36" s="138"/>
      <c r="F36" s="138"/>
      <c r="G36" s="138"/>
      <c r="H36" s="138"/>
    </row>
    <row r="37" spans="1:8" s="126" customFormat="1" ht="15.5" x14ac:dyDescent="0.35">
      <c r="A37" s="14" t="s">
        <v>87</v>
      </c>
      <c r="B37" s="14" t="s">
        <v>135</v>
      </c>
      <c r="C37" s="214">
        <f>'CSP Budget Detail'!C36-'Monthly Expense Summary Y1P '!D37</f>
        <v>0</v>
      </c>
      <c r="D37" s="210">
        <f t="shared" si="0"/>
        <v>0</v>
      </c>
      <c r="E37" s="138"/>
      <c r="F37" s="138"/>
      <c r="G37" s="138"/>
      <c r="H37" s="138"/>
    </row>
    <row r="38" spans="1:8" s="126" customFormat="1" ht="15.5" x14ac:dyDescent="0.35">
      <c r="A38" s="14" t="s">
        <v>90</v>
      </c>
      <c r="B38" s="14" t="s">
        <v>137</v>
      </c>
      <c r="C38" s="214">
        <f>'CSP Budget Detail'!C37-'Monthly Expense Summary Y1P '!D38</f>
        <v>0</v>
      </c>
      <c r="D38" s="210">
        <f t="shared" si="0"/>
        <v>0</v>
      </c>
      <c r="E38" s="138"/>
      <c r="F38" s="138"/>
      <c r="G38" s="138"/>
      <c r="H38" s="138"/>
    </row>
    <row r="39" spans="1:8" s="126" customFormat="1" ht="15.5" x14ac:dyDescent="0.35">
      <c r="A39" s="14" t="s">
        <v>93</v>
      </c>
      <c r="B39" s="14" t="s">
        <v>139</v>
      </c>
      <c r="C39" s="214">
        <f>'CSP Budget Detail'!C38-'Monthly Expense Summary Y1P '!D39</f>
        <v>0</v>
      </c>
      <c r="D39" s="210">
        <f t="shared" si="0"/>
        <v>0</v>
      </c>
      <c r="E39" s="138"/>
      <c r="F39" s="138"/>
      <c r="G39" s="138"/>
      <c r="H39" s="138"/>
    </row>
    <row r="40" spans="1:8" s="126" customFormat="1" ht="15.5" x14ac:dyDescent="0.35">
      <c r="A40" s="14" t="s">
        <v>96</v>
      </c>
      <c r="B40" s="14" t="s">
        <v>141</v>
      </c>
      <c r="C40" s="214">
        <f>'CSP Budget Detail'!C39-'Monthly Expense Summary Y1P '!D40</f>
        <v>0</v>
      </c>
      <c r="D40" s="210">
        <f t="shared" si="0"/>
        <v>0</v>
      </c>
      <c r="E40" s="139"/>
      <c r="F40" s="139"/>
      <c r="G40" s="139"/>
      <c r="H40" s="139"/>
    </row>
    <row r="41" spans="1:8" s="126" customFormat="1" ht="15.5" x14ac:dyDescent="0.35">
      <c r="A41" s="14" t="s">
        <v>99</v>
      </c>
      <c r="B41" s="14" t="s">
        <v>143</v>
      </c>
      <c r="C41" s="214">
        <f>'CSP Budget Detail'!C40-'Monthly Expense Summary Y1P '!D41</f>
        <v>0</v>
      </c>
      <c r="D41" s="210">
        <f t="shared" si="0"/>
        <v>0</v>
      </c>
      <c r="E41" s="139"/>
      <c r="F41" s="139"/>
      <c r="G41" s="139"/>
      <c r="H41" s="139"/>
    </row>
    <row r="42" spans="1:8" s="126" customFormat="1" ht="15.5" x14ac:dyDescent="0.35">
      <c r="A42" s="14" t="s">
        <v>102</v>
      </c>
      <c r="B42" s="14" t="s">
        <v>145</v>
      </c>
      <c r="C42" s="214">
        <f>'CSP Budget Detail'!C41-'Monthly Expense Summary Y1P '!D42</f>
        <v>0</v>
      </c>
      <c r="D42" s="210">
        <f t="shared" si="0"/>
        <v>0</v>
      </c>
      <c r="E42" s="140"/>
      <c r="F42" s="140"/>
      <c r="G42" s="140"/>
      <c r="H42" s="140"/>
    </row>
    <row r="43" spans="1:8" s="126" customFormat="1" ht="15.5" x14ac:dyDescent="0.35">
      <c r="A43" s="14" t="s">
        <v>105</v>
      </c>
      <c r="B43" s="14" t="s">
        <v>147</v>
      </c>
      <c r="C43" s="214">
        <f>'CSP Budget Detail'!C42-'Monthly Expense Summary Y1P '!D43</f>
        <v>0</v>
      </c>
      <c r="D43" s="210">
        <f t="shared" si="0"/>
        <v>0</v>
      </c>
      <c r="E43" s="139"/>
      <c r="F43" s="139"/>
      <c r="G43" s="139"/>
      <c r="H43" s="139"/>
    </row>
    <row r="44" spans="1:8" s="126" customFormat="1" ht="15.5" x14ac:dyDescent="0.35">
      <c r="A44" s="14" t="s">
        <v>108</v>
      </c>
      <c r="B44" s="14" t="s">
        <v>149</v>
      </c>
      <c r="C44" s="214">
        <f>'CSP Budget Detail'!C43-'Monthly Expense Summary Y1P '!D44</f>
        <v>0</v>
      </c>
      <c r="D44" s="210">
        <f t="shared" si="0"/>
        <v>0</v>
      </c>
      <c r="E44" s="139"/>
      <c r="F44" s="139"/>
      <c r="G44" s="139"/>
      <c r="H44" s="139"/>
    </row>
    <row r="45" spans="1:8" s="126" customFormat="1" ht="15.5" x14ac:dyDescent="0.35">
      <c r="A45" s="14" t="s">
        <v>111</v>
      </c>
      <c r="B45" s="14" t="s">
        <v>151</v>
      </c>
      <c r="C45" s="214">
        <f>'CSP Budget Detail'!C44-'Monthly Expense Summary Y1P '!D45</f>
        <v>0</v>
      </c>
      <c r="D45" s="210">
        <f t="shared" si="0"/>
        <v>0</v>
      </c>
      <c r="E45" s="139"/>
      <c r="F45" s="139"/>
      <c r="G45" s="139"/>
      <c r="H45" s="139"/>
    </row>
    <row r="46" spans="1:8" s="126" customFormat="1" ht="15.5" x14ac:dyDescent="0.35">
      <c r="A46" s="14" t="s">
        <v>114</v>
      </c>
      <c r="B46" s="14" t="s">
        <v>153</v>
      </c>
      <c r="C46" s="214">
        <f>'CSP Budget Detail'!C45-'Monthly Expense Summary Y1P '!D46</f>
        <v>0</v>
      </c>
      <c r="D46" s="210">
        <f t="shared" si="0"/>
        <v>0</v>
      </c>
      <c r="E46" s="139"/>
      <c r="F46" s="139"/>
      <c r="G46" s="139"/>
      <c r="H46" s="139"/>
    </row>
    <row r="47" spans="1:8" s="126" customFormat="1" ht="15.5" x14ac:dyDescent="0.35">
      <c r="A47" s="14" t="s">
        <v>117</v>
      </c>
      <c r="B47" s="14" t="s">
        <v>155</v>
      </c>
      <c r="C47" s="214">
        <f>'CSP Budget Detail'!C46-'Monthly Expense Summary Y1P '!D47</f>
        <v>0</v>
      </c>
      <c r="D47" s="210">
        <f t="shared" si="0"/>
        <v>0</v>
      </c>
      <c r="E47" s="139"/>
      <c r="F47" s="139"/>
      <c r="G47" s="139"/>
      <c r="H47" s="139"/>
    </row>
    <row r="48" spans="1:8" s="126" customFormat="1" ht="15.5" x14ac:dyDescent="0.35">
      <c r="A48" s="14" t="s">
        <v>120</v>
      </c>
      <c r="B48" s="14" t="s">
        <v>157</v>
      </c>
      <c r="C48" s="214">
        <f>'CSP Budget Detail'!C47-'Monthly Expense Summary Y1P '!D48</f>
        <v>0</v>
      </c>
      <c r="D48" s="210">
        <f t="shared" si="0"/>
        <v>0</v>
      </c>
      <c r="E48" s="139"/>
      <c r="F48" s="139"/>
      <c r="G48" s="139"/>
      <c r="H48" s="139"/>
    </row>
    <row r="49" spans="1:8" s="126" customFormat="1" ht="15.5" x14ac:dyDescent="0.35">
      <c r="A49" s="14" t="s">
        <v>159</v>
      </c>
      <c r="B49" s="14" t="s">
        <v>160</v>
      </c>
      <c r="C49" s="214">
        <f>'CSP Budget Detail'!C48-'Monthly Expense Summary Y1P '!D49</f>
        <v>7500</v>
      </c>
      <c r="D49" s="210">
        <f t="shared" si="0"/>
        <v>0</v>
      </c>
      <c r="E49" s="139"/>
      <c r="F49" s="139"/>
      <c r="G49" s="139"/>
      <c r="H49" s="139"/>
    </row>
    <row r="50" spans="1:8" s="126" customFormat="1" ht="15.5" x14ac:dyDescent="0.35">
      <c r="A50" s="14" t="s">
        <v>162</v>
      </c>
      <c r="B50" s="14" t="s">
        <v>163</v>
      </c>
      <c r="C50" s="214">
        <f>'CSP Budget Detail'!C49-'Monthly Expense Summary Y1P '!D50</f>
        <v>11.25</v>
      </c>
      <c r="D50" s="210">
        <f t="shared" si="0"/>
        <v>0</v>
      </c>
      <c r="E50" s="139"/>
      <c r="F50" s="139"/>
      <c r="G50" s="139"/>
      <c r="H50" s="139"/>
    </row>
    <row r="51" spans="1:8" s="126" customFormat="1" ht="15.5" x14ac:dyDescent="0.35">
      <c r="A51" s="14" t="s">
        <v>165</v>
      </c>
      <c r="B51" s="14" t="s">
        <v>166</v>
      </c>
      <c r="C51" s="214">
        <f>'CSP Budget Detail'!C50-'Monthly Expense Summary Y1P '!D51</f>
        <v>108.74999999999999</v>
      </c>
      <c r="D51" s="210">
        <f t="shared" si="0"/>
        <v>0</v>
      </c>
      <c r="E51" s="140"/>
      <c r="F51" s="140"/>
      <c r="G51" s="140"/>
      <c r="H51" s="140"/>
    </row>
    <row r="52" spans="1:8" s="126" customFormat="1" ht="15.5" x14ac:dyDescent="0.35">
      <c r="A52" s="14" t="s">
        <v>168</v>
      </c>
      <c r="B52" s="14" t="s">
        <v>169</v>
      </c>
      <c r="C52" s="214">
        <f>'CSP Budget Detail'!C51-'Monthly Expense Summary Y1P '!D52</f>
        <v>1312.5</v>
      </c>
      <c r="D52" s="210">
        <f t="shared" si="0"/>
        <v>0</v>
      </c>
      <c r="E52" s="139"/>
      <c r="F52" s="139"/>
      <c r="G52" s="139"/>
      <c r="H52" s="139"/>
    </row>
    <row r="53" spans="1:8" s="126" customFormat="1" ht="15.5" x14ac:dyDescent="0.35">
      <c r="A53" s="14" t="s">
        <v>171</v>
      </c>
      <c r="B53" s="14" t="s">
        <v>172</v>
      </c>
      <c r="C53" s="214">
        <f>'CSP Budget Detail'!C52-'Monthly Expense Summary Y1P '!D53</f>
        <v>0</v>
      </c>
      <c r="D53" s="210">
        <f t="shared" si="0"/>
        <v>0</v>
      </c>
      <c r="E53" s="139"/>
      <c r="F53" s="139"/>
      <c r="G53" s="139"/>
      <c r="H53" s="139"/>
    </row>
    <row r="54" spans="1:8" s="126" customFormat="1" ht="15.5" x14ac:dyDescent="0.35">
      <c r="A54" s="14" t="s">
        <v>174</v>
      </c>
      <c r="B54" s="14" t="s">
        <v>175</v>
      </c>
      <c r="C54" s="214">
        <f>'CSP Budget Detail'!C53-'Monthly Expense Summary Y1P '!D54</f>
        <v>183</v>
      </c>
      <c r="D54" s="210">
        <f t="shared" si="0"/>
        <v>0</v>
      </c>
      <c r="E54" s="139"/>
      <c r="F54" s="139"/>
      <c r="G54" s="139"/>
      <c r="H54" s="139"/>
    </row>
    <row r="55" spans="1:8" s="126" customFormat="1" ht="15.5" x14ac:dyDescent="0.35">
      <c r="A55" s="14" t="s">
        <v>177</v>
      </c>
      <c r="B55" s="14" t="s">
        <v>178</v>
      </c>
      <c r="C55" s="214">
        <f>'CSP Budget Detail'!C54-'Monthly Expense Summary Y1P '!D55</f>
        <v>53.166666666666664</v>
      </c>
      <c r="D55" s="210">
        <f t="shared" si="0"/>
        <v>0</v>
      </c>
      <c r="E55" s="139"/>
      <c r="F55" s="139"/>
      <c r="G55" s="139"/>
      <c r="H55" s="139"/>
    </row>
    <row r="56" spans="1:8" s="126" customFormat="1" ht="15.5" x14ac:dyDescent="0.35">
      <c r="A56" s="14" t="s">
        <v>180</v>
      </c>
      <c r="B56" s="14" t="s">
        <v>181</v>
      </c>
      <c r="C56" s="214">
        <f>'CSP Budget Detail'!C55-'Monthly Expense Summary Y1P '!D56</f>
        <v>1333.3333333333333</v>
      </c>
      <c r="D56" s="210">
        <f t="shared" si="0"/>
        <v>0</v>
      </c>
      <c r="E56" s="139"/>
      <c r="F56" s="139"/>
      <c r="G56" s="139"/>
      <c r="H56" s="139"/>
    </row>
    <row r="57" spans="1:8" s="126" customFormat="1" ht="15.5" x14ac:dyDescent="0.35">
      <c r="A57" s="14" t="s">
        <v>183</v>
      </c>
      <c r="B57" s="14" t="s">
        <v>184</v>
      </c>
      <c r="C57" s="214">
        <f>'CSP Budget Detail'!C56-'Monthly Expense Summary Y1P '!D57</f>
        <v>0</v>
      </c>
      <c r="D57" s="210">
        <f t="shared" si="0"/>
        <v>0</v>
      </c>
      <c r="E57" s="139"/>
      <c r="F57" s="139"/>
      <c r="G57" s="139"/>
      <c r="H57" s="139"/>
    </row>
    <row r="58" spans="1:8" s="126" customFormat="1" ht="15.5" x14ac:dyDescent="0.35">
      <c r="A58" s="14" t="s">
        <v>186</v>
      </c>
      <c r="B58" s="14" t="s">
        <v>187</v>
      </c>
      <c r="C58" s="214">
        <f>'CSP Budget Detail'!C57-'Monthly Expense Summary Y1P '!D58</f>
        <v>0</v>
      </c>
      <c r="D58" s="210">
        <f t="shared" si="0"/>
        <v>0</v>
      </c>
      <c r="E58" s="139"/>
      <c r="F58" s="139"/>
      <c r="G58" s="139"/>
      <c r="H58" s="139"/>
    </row>
    <row r="59" spans="1:8" s="126" customFormat="1" ht="15.5" x14ac:dyDescent="0.35">
      <c r="A59" s="14" t="s">
        <v>189</v>
      </c>
      <c r="B59" s="14" t="s">
        <v>190</v>
      </c>
      <c r="C59" s="214">
        <f>'CSP Budget Detail'!C58-'Monthly Expense Summary Y1P '!D59</f>
        <v>0</v>
      </c>
      <c r="D59" s="210">
        <f t="shared" si="0"/>
        <v>0</v>
      </c>
      <c r="E59" s="139"/>
      <c r="F59" s="139"/>
      <c r="G59" s="139"/>
      <c r="H59" s="139"/>
    </row>
    <row r="60" spans="1:8" s="126" customFormat="1" ht="15.5" x14ac:dyDescent="0.35">
      <c r="A60" s="14" t="s">
        <v>192</v>
      </c>
      <c r="B60" s="14" t="s">
        <v>193</v>
      </c>
      <c r="C60" s="214">
        <f>'CSP Budget Detail'!C59-'Monthly Expense Summary Y1P '!D60</f>
        <v>0</v>
      </c>
      <c r="D60" s="210">
        <f t="shared" si="0"/>
        <v>0</v>
      </c>
      <c r="E60" s="139"/>
      <c r="F60" s="139"/>
      <c r="G60" s="139"/>
      <c r="H60" s="139"/>
    </row>
    <row r="61" spans="1:8" s="126" customFormat="1" ht="15.5" x14ac:dyDescent="0.35">
      <c r="A61" s="14" t="s">
        <v>195</v>
      </c>
      <c r="B61" s="14" t="s">
        <v>196</v>
      </c>
      <c r="C61" s="214">
        <f>'CSP Budget Detail'!C60-'Monthly Expense Summary Y1P '!D61</f>
        <v>0</v>
      </c>
      <c r="D61" s="210">
        <f t="shared" si="0"/>
        <v>0</v>
      </c>
      <c r="E61" s="140"/>
      <c r="F61" s="140"/>
      <c r="G61" s="140"/>
      <c r="H61" s="140"/>
    </row>
    <row r="62" spans="1:8" s="126" customFormat="1" ht="15.5" x14ac:dyDescent="0.35">
      <c r="A62" s="14" t="s">
        <v>198</v>
      </c>
      <c r="B62" s="14" t="s">
        <v>199</v>
      </c>
      <c r="C62" s="214">
        <f>'CSP Budget Detail'!C61-'Monthly Expense Summary Y1P '!D62</f>
        <v>0</v>
      </c>
      <c r="D62" s="210">
        <f t="shared" si="0"/>
        <v>0</v>
      </c>
      <c r="E62" s="139"/>
      <c r="F62" s="139"/>
      <c r="G62" s="139"/>
      <c r="H62" s="139"/>
    </row>
    <row r="63" spans="1:8" s="126" customFormat="1" ht="15.5" x14ac:dyDescent="0.35">
      <c r="A63" s="14" t="s">
        <v>201</v>
      </c>
      <c r="B63" s="14" t="s">
        <v>202</v>
      </c>
      <c r="C63" s="214">
        <f>'CSP Budget Detail'!C62-'Monthly Expense Summary Y1P '!D63</f>
        <v>0</v>
      </c>
      <c r="D63" s="210">
        <f t="shared" si="0"/>
        <v>0</v>
      </c>
      <c r="E63" s="139"/>
      <c r="F63" s="139"/>
      <c r="G63" s="139"/>
      <c r="H63" s="139"/>
    </row>
    <row r="64" spans="1:8" s="126" customFormat="1" ht="15.5" x14ac:dyDescent="0.35">
      <c r="A64" s="14" t="s">
        <v>204</v>
      </c>
      <c r="B64" s="14" t="s">
        <v>205</v>
      </c>
      <c r="C64" s="214">
        <f>'CSP Budget Detail'!C63-'Monthly Expense Summary Y1P '!D64</f>
        <v>0</v>
      </c>
      <c r="D64" s="210">
        <f t="shared" si="0"/>
        <v>0</v>
      </c>
      <c r="E64" s="139"/>
      <c r="F64" s="139"/>
      <c r="G64" s="139"/>
      <c r="H64" s="139"/>
    </row>
    <row r="65" spans="1:8" s="126" customFormat="1" ht="15.5" x14ac:dyDescent="0.35">
      <c r="A65" s="14" t="s">
        <v>207</v>
      </c>
      <c r="B65" s="14" t="s">
        <v>208</v>
      </c>
      <c r="C65" s="214">
        <f>'CSP Budget Detail'!C64-'Monthly Expense Summary Y1P '!D65</f>
        <v>0</v>
      </c>
      <c r="D65" s="210">
        <f t="shared" si="0"/>
        <v>0</v>
      </c>
      <c r="E65" s="139"/>
      <c r="F65" s="139"/>
      <c r="G65" s="139"/>
      <c r="H65" s="139"/>
    </row>
    <row r="66" spans="1:8" s="126" customFormat="1" ht="15.5" x14ac:dyDescent="0.35">
      <c r="A66" s="14" t="s">
        <v>210</v>
      </c>
      <c r="B66" s="14" t="s">
        <v>211</v>
      </c>
      <c r="C66" s="214">
        <f>'CSP Budget Detail'!C65-'Monthly Expense Summary Y1P '!D66</f>
        <v>0</v>
      </c>
      <c r="D66" s="210">
        <f t="shared" si="0"/>
        <v>0</v>
      </c>
      <c r="E66" s="139"/>
      <c r="F66" s="139"/>
      <c r="G66" s="139"/>
      <c r="H66" s="139"/>
    </row>
    <row r="67" spans="1:8" s="126" customFormat="1" ht="15.5" x14ac:dyDescent="0.35">
      <c r="A67" s="14" t="s">
        <v>213</v>
      </c>
      <c r="B67" s="14" t="s">
        <v>214</v>
      </c>
      <c r="C67" s="214">
        <f>'CSP Budget Detail'!C66-'Monthly Expense Summary Y1P '!D67</f>
        <v>4166.666666666667</v>
      </c>
      <c r="D67" s="210">
        <f t="shared" si="0"/>
        <v>0</v>
      </c>
      <c r="E67" s="139"/>
      <c r="F67" s="139"/>
      <c r="G67" s="139"/>
      <c r="H67" s="139"/>
    </row>
    <row r="68" spans="1:8" s="126" customFormat="1" ht="15.5" x14ac:dyDescent="0.35">
      <c r="A68" s="14" t="s">
        <v>216</v>
      </c>
      <c r="B68" s="14" t="s">
        <v>217</v>
      </c>
      <c r="C68" s="214">
        <f>'CSP Budget Detail'!C67-'Monthly Expense Summary Y1P '!D68</f>
        <v>6.2500000000000009</v>
      </c>
      <c r="D68" s="210">
        <f t="shared" si="0"/>
        <v>0</v>
      </c>
      <c r="E68" s="139"/>
      <c r="F68" s="139"/>
      <c r="G68" s="139"/>
      <c r="H68" s="139"/>
    </row>
    <row r="69" spans="1:8" s="126" customFormat="1" ht="15.5" x14ac:dyDescent="0.35">
      <c r="A69" s="14" t="s">
        <v>219</v>
      </c>
      <c r="B69" s="14" t="s">
        <v>220</v>
      </c>
      <c r="C69" s="214">
        <f>'CSP Budget Detail'!C68-'Monthly Expense Summary Y1P '!D69</f>
        <v>60.416666666666664</v>
      </c>
      <c r="D69" s="210">
        <f t="shared" si="0"/>
        <v>0</v>
      </c>
      <c r="E69" s="139"/>
      <c r="F69" s="139"/>
      <c r="G69" s="139"/>
      <c r="H69" s="139"/>
    </row>
    <row r="70" spans="1:8" s="126" customFormat="1" ht="15.5" x14ac:dyDescent="0.35">
      <c r="A70" s="14" t="s">
        <v>222</v>
      </c>
      <c r="B70" s="14" t="s">
        <v>223</v>
      </c>
      <c r="C70" s="214">
        <f>'CSP Budget Detail'!C69-'Monthly Expense Summary Y1P '!D70</f>
        <v>729.16666666666663</v>
      </c>
      <c r="D70" s="210">
        <f t="shared" si="0"/>
        <v>0</v>
      </c>
      <c r="E70" s="139"/>
      <c r="F70" s="139"/>
      <c r="G70" s="139"/>
      <c r="H70" s="139"/>
    </row>
    <row r="71" spans="1:8" s="126" customFormat="1" ht="15.5" x14ac:dyDescent="0.35">
      <c r="A71" s="14" t="s">
        <v>225</v>
      </c>
      <c r="B71" s="14" t="s">
        <v>226</v>
      </c>
      <c r="C71" s="214">
        <f>'CSP Budget Detail'!C70-'Monthly Expense Summary Y1P '!D71</f>
        <v>0</v>
      </c>
      <c r="D71" s="210">
        <f t="shared" si="0"/>
        <v>0</v>
      </c>
      <c r="E71" s="139"/>
      <c r="F71" s="139"/>
      <c r="G71" s="139"/>
      <c r="H71" s="139"/>
    </row>
    <row r="72" spans="1:8" s="126" customFormat="1" ht="15.5" x14ac:dyDescent="0.35">
      <c r="A72" s="14" t="s">
        <v>228</v>
      </c>
      <c r="B72" s="14" t="s">
        <v>229</v>
      </c>
      <c r="C72" s="214">
        <f>'CSP Budget Detail'!C71-'Monthly Expense Summary Y1P '!D72</f>
        <v>183</v>
      </c>
      <c r="D72" s="210">
        <f t="shared" si="0"/>
        <v>0</v>
      </c>
      <c r="E72" s="140"/>
      <c r="F72" s="140"/>
      <c r="G72" s="140"/>
      <c r="H72" s="140"/>
    </row>
    <row r="73" spans="1:8" s="126" customFormat="1" ht="15.5" x14ac:dyDescent="0.35">
      <c r="A73" s="14" t="s">
        <v>231</v>
      </c>
      <c r="B73" s="14" t="s">
        <v>232</v>
      </c>
      <c r="C73" s="214">
        <f>'CSP Budget Detail'!C72-'Monthly Expense Summary Y1P '!D73</f>
        <v>53.166666666666664</v>
      </c>
      <c r="D73" s="210">
        <f t="shared" si="0"/>
        <v>0</v>
      </c>
      <c r="E73" s="139"/>
      <c r="F73" s="139"/>
      <c r="G73" s="139"/>
      <c r="H73" s="139"/>
    </row>
    <row r="74" spans="1:8" s="126" customFormat="1" ht="15.5" x14ac:dyDescent="0.35">
      <c r="A74" s="14" t="s">
        <v>234</v>
      </c>
      <c r="B74" s="14" t="s">
        <v>235</v>
      </c>
      <c r="C74" s="214">
        <f>'CSP Budget Detail'!C73-'Monthly Expense Summary Y1P '!D74</f>
        <v>1333.3333333333333</v>
      </c>
      <c r="D74" s="210">
        <f t="shared" si="0"/>
        <v>0</v>
      </c>
      <c r="E74" s="139"/>
      <c r="F74" s="139"/>
      <c r="G74" s="139"/>
      <c r="H74" s="139"/>
    </row>
    <row r="75" spans="1:8" s="126" customFormat="1" ht="15.5" x14ac:dyDescent="0.35">
      <c r="A75" s="14" t="s">
        <v>237</v>
      </c>
      <c r="B75" s="14" t="s">
        <v>238</v>
      </c>
      <c r="C75" s="214">
        <f>'CSP Budget Detail'!C74-'Monthly Expense Summary Y1P '!D75</f>
        <v>0</v>
      </c>
      <c r="D75" s="210">
        <f t="shared" si="0"/>
        <v>0</v>
      </c>
      <c r="E75" s="139"/>
      <c r="F75" s="139"/>
      <c r="G75" s="139"/>
      <c r="H75" s="139"/>
    </row>
    <row r="76" spans="1:8" s="126" customFormat="1" ht="15.5" x14ac:dyDescent="0.35">
      <c r="A76" s="14" t="s">
        <v>240</v>
      </c>
      <c r="B76" s="14" t="s">
        <v>241</v>
      </c>
      <c r="C76" s="214">
        <f>'CSP Budget Detail'!C75-'Monthly Expense Summary Y1P '!D76</f>
        <v>0</v>
      </c>
      <c r="D76" s="210">
        <f t="shared" si="0"/>
        <v>0</v>
      </c>
      <c r="E76" s="139"/>
      <c r="F76" s="139"/>
      <c r="G76" s="139"/>
      <c r="H76" s="139"/>
    </row>
    <row r="77" spans="1:8" s="126" customFormat="1" ht="15.5" x14ac:dyDescent="0.35">
      <c r="A77" s="14" t="s">
        <v>243</v>
      </c>
      <c r="B77" s="14" t="s">
        <v>244</v>
      </c>
      <c r="C77" s="214">
        <f>'CSP Budget Detail'!C76-'Monthly Expense Summary Y1P '!D77</f>
        <v>0</v>
      </c>
      <c r="D77" s="210">
        <f t="shared" si="0"/>
        <v>0</v>
      </c>
      <c r="E77" s="139"/>
      <c r="F77" s="139"/>
      <c r="G77" s="139"/>
      <c r="H77" s="139"/>
    </row>
    <row r="78" spans="1:8" s="126" customFormat="1" ht="15.5" x14ac:dyDescent="0.35">
      <c r="A78" s="14" t="s">
        <v>246</v>
      </c>
      <c r="B78" s="14" t="s">
        <v>247</v>
      </c>
      <c r="C78" s="214">
        <f>'CSP Budget Detail'!C77-'Monthly Expense Summary Y1P '!D78</f>
        <v>0</v>
      </c>
      <c r="D78" s="210">
        <f t="shared" ref="D78:D141" si="1">SUM(E78:H78)</f>
        <v>0</v>
      </c>
      <c r="E78" s="140"/>
      <c r="F78" s="140"/>
      <c r="G78" s="140"/>
      <c r="H78" s="140"/>
    </row>
    <row r="79" spans="1:8" s="126" customFormat="1" ht="15.5" x14ac:dyDescent="0.35">
      <c r="A79" s="14" t="s">
        <v>249</v>
      </c>
      <c r="B79" s="14" t="s">
        <v>250</v>
      </c>
      <c r="C79" s="214">
        <f>'CSP Budget Detail'!C78-'Monthly Expense Summary Y1P '!D79</f>
        <v>0</v>
      </c>
      <c r="D79" s="210">
        <f t="shared" si="1"/>
        <v>0</v>
      </c>
      <c r="E79" s="139"/>
      <c r="F79" s="139"/>
      <c r="G79" s="139"/>
      <c r="H79" s="139"/>
    </row>
    <row r="80" spans="1:8" s="126" customFormat="1" ht="15.5" x14ac:dyDescent="0.35">
      <c r="A80" s="14" t="s">
        <v>252</v>
      </c>
      <c r="B80" s="14" t="s">
        <v>253</v>
      </c>
      <c r="C80" s="214">
        <f>'CSP Budget Detail'!C79-'Monthly Expense Summary Y1P '!D80</f>
        <v>0</v>
      </c>
      <c r="D80" s="210">
        <f t="shared" si="1"/>
        <v>0</v>
      </c>
      <c r="E80" s="139"/>
      <c r="F80" s="139"/>
      <c r="G80" s="139"/>
      <c r="H80" s="139"/>
    </row>
    <row r="81" spans="1:8" s="126" customFormat="1" ht="15.5" x14ac:dyDescent="0.35">
      <c r="A81" s="14" t="s">
        <v>255</v>
      </c>
      <c r="B81" s="14" t="s">
        <v>256</v>
      </c>
      <c r="C81" s="214">
        <f>'CSP Budget Detail'!C80-'Monthly Expense Summary Y1P '!D81</f>
        <v>0</v>
      </c>
      <c r="D81" s="210">
        <f t="shared" si="1"/>
        <v>0</v>
      </c>
      <c r="E81" s="139"/>
      <c r="F81" s="139"/>
      <c r="G81" s="139"/>
      <c r="H81" s="139"/>
    </row>
    <row r="82" spans="1:8" s="126" customFormat="1" ht="15.5" x14ac:dyDescent="0.35">
      <c r="A82" s="14" t="s">
        <v>258</v>
      </c>
      <c r="B82" s="14" t="s">
        <v>259</v>
      </c>
      <c r="C82" s="214">
        <f>'CSP Budget Detail'!C81-'Monthly Expense Summary Y1P '!D82</f>
        <v>0</v>
      </c>
      <c r="D82" s="210">
        <f t="shared" si="1"/>
        <v>0</v>
      </c>
      <c r="E82" s="139"/>
      <c r="F82" s="139"/>
      <c r="G82" s="139"/>
      <c r="H82" s="139"/>
    </row>
    <row r="83" spans="1:8" s="126" customFormat="1" ht="15.5" x14ac:dyDescent="0.35">
      <c r="A83" s="14" t="s">
        <v>261</v>
      </c>
      <c r="B83" s="14" t="s">
        <v>262</v>
      </c>
      <c r="C83" s="214">
        <f>'CSP Budget Detail'!C82-'Monthly Expense Summary Y1P '!D83</f>
        <v>0</v>
      </c>
      <c r="D83" s="210">
        <f t="shared" si="1"/>
        <v>0</v>
      </c>
      <c r="E83" s="139"/>
      <c r="F83" s="139"/>
      <c r="G83" s="139"/>
      <c r="H83" s="139"/>
    </row>
    <row r="84" spans="1:8" s="126" customFormat="1" ht="15.5" x14ac:dyDescent="0.35">
      <c r="A84" s="14" t="s">
        <v>264</v>
      </c>
      <c r="B84" s="14" t="s">
        <v>265</v>
      </c>
      <c r="C84" s="214">
        <f>'CSP Budget Detail'!C83-'Monthly Expense Summary Y1P '!D84</f>
        <v>0</v>
      </c>
      <c r="D84" s="210">
        <f t="shared" si="1"/>
        <v>0</v>
      </c>
      <c r="E84" s="140"/>
      <c r="F84" s="140"/>
      <c r="G84" s="140"/>
      <c r="H84" s="140"/>
    </row>
    <row r="85" spans="1:8" s="126" customFormat="1" ht="15.5" x14ac:dyDescent="0.35">
      <c r="A85" s="14" t="s">
        <v>267</v>
      </c>
      <c r="B85" s="14" t="s">
        <v>268</v>
      </c>
      <c r="C85" s="214">
        <f>'CSP Budget Detail'!C84-'Monthly Expense Summary Y1P '!D85</f>
        <v>0</v>
      </c>
      <c r="D85" s="210">
        <f t="shared" si="1"/>
        <v>0</v>
      </c>
      <c r="E85" s="139"/>
      <c r="F85" s="139"/>
      <c r="G85" s="139"/>
      <c r="H85" s="139"/>
    </row>
    <row r="86" spans="1:8" s="126" customFormat="1" ht="15.5" x14ac:dyDescent="0.35">
      <c r="A86" s="14" t="s">
        <v>270</v>
      </c>
      <c r="B86" s="14" t="s">
        <v>271</v>
      </c>
      <c r="C86" s="214">
        <f>'CSP Budget Detail'!C85-'Monthly Expense Summary Y1P '!D86</f>
        <v>0</v>
      </c>
      <c r="D86" s="210">
        <f t="shared" si="1"/>
        <v>0</v>
      </c>
      <c r="E86" s="139"/>
      <c r="F86" s="139"/>
      <c r="G86" s="139"/>
      <c r="H86" s="139"/>
    </row>
    <row r="87" spans="1:8" s="126" customFormat="1" ht="15.5" x14ac:dyDescent="0.35">
      <c r="A87" s="14" t="s">
        <v>273</v>
      </c>
      <c r="B87" s="14" t="s">
        <v>274</v>
      </c>
      <c r="C87" s="214">
        <f>'CSP Budget Detail'!C86-'Monthly Expense Summary Y1P '!D87</f>
        <v>0</v>
      </c>
      <c r="D87" s="210">
        <f t="shared" si="1"/>
        <v>0</v>
      </c>
      <c r="E87" s="139"/>
      <c r="F87" s="139"/>
      <c r="G87" s="139"/>
      <c r="H87" s="139"/>
    </row>
    <row r="88" spans="1:8" s="126" customFormat="1" ht="15.5" x14ac:dyDescent="0.35">
      <c r="A88" s="14" t="s">
        <v>276</v>
      </c>
      <c r="B88" s="14" t="s">
        <v>277</v>
      </c>
      <c r="C88" s="214">
        <f>'CSP Budget Detail'!C87-'Monthly Expense Summary Y1P '!D88</f>
        <v>0</v>
      </c>
      <c r="D88" s="210">
        <f t="shared" si="1"/>
        <v>0</v>
      </c>
      <c r="E88" s="139"/>
      <c r="F88" s="139"/>
      <c r="G88" s="139"/>
      <c r="H88" s="139"/>
    </row>
    <row r="89" spans="1:8" s="126" customFormat="1" ht="15.5" x14ac:dyDescent="0.35">
      <c r="A89" s="14" t="s">
        <v>279</v>
      </c>
      <c r="B89" s="14" t="s">
        <v>280</v>
      </c>
      <c r="C89" s="214">
        <f>'CSP Budget Detail'!C88-'Monthly Expense Summary Y1P '!D89</f>
        <v>0</v>
      </c>
      <c r="D89" s="210">
        <f t="shared" si="1"/>
        <v>0</v>
      </c>
      <c r="E89" s="139"/>
      <c r="F89" s="139"/>
      <c r="G89" s="139"/>
      <c r="H89" s="139"/>
    </row>
    <row r="90" spans="1:8" s="126" customFormat="1" ht="15.5" x14ac:dyDescent="0.35">
      <c r="A90" s="14" t="s">
        <v>282</v>
      </c>
      <c r="B90" s="14" t="s">
        <v>283</v>
      </c>
      <c r="C90" s="214">
        <f>'CSP Budget Detail'!C89-'Monthly Expense Summary Y1P '!D90</f>
        <v>0</v>
      </c>
      <c r="D90" s="210">
        <f t="shared" si="1"/>
        <v>0</v>
      </c>
      <c r="E90" s="140"/>
      <c r="F90" s="140"/>
      <c r="G90" s="140"/>
      <c r="H90" s="140"/>
    </row>
    <row r="91" spans="1:8" x14ac:dyDescent="0.35">
      <c r="A91" s="14" t="s">
        <v>285</v>
      </c>
      <c r="B91" s="14" t="s">
        <v>286</v>
      </c>
      <c r="C91" s="214">
        <f>'CSP Budget Detail'!C90-'Monthly Expense Summary Y1P '!D91</f>
        <v>0</v>
      </c>
      <c r="D91" s="210">
        <f t="shared" si="1"/>
        <v>0</v>
      </c>
      <c r="E91" s="139"/>
      <c r="F91" s="139"/>
      <c r="G91" s="139"/>
      <c r="H91" s="139"/>
    </row>
    <row r="92" spans="1:8" x14ac:dyDescent="0.35">
      <c r="A92" s="14" t="s">
        <v>288</v>
      </c>
      <c r="B92" s="14" t="s">
        <v>289</v>
      </c>
      <c r="C92" s="214">
        <f>'CSP Budget Detail'!C91-'Monthly Expense Summary Y1P '!D92</f>
        <v>0</v>
      </c>
      <c r="D92" s="210">
        <f t="shared" si="1"/>
        <v>0</v>
      </c>
      <c r="E92" s="139"/>
      <c r="F92" s="139"/>
      <c r="G92" s="139"/>
      <c r="H92" s="139"/>
    </row>
    <row r="93" spans="1:8" s="126" customFormat="1" ht="15.5" x14ac:dyDescent="0.35">
      <c r="A93" s="14" t="s">
        <v>291</v>
      </c>
      <c r="B93" s="14" t="s">
        <v>292</v>
      </c>
      <c r="C93" s="214">
        <f>'CSP Budget Detail'!C92-'Monthly Expense Summary Y1P '!D93</f>
        <v>0</v>
      </c>
      <c r="D93" s="210">
        <f t="shared" si="1"/>
        <v>0</v>
      </c>
      <c r="E93" s="139"/>
      <c r="F93" s="139"/>
      <c r="G93" s="139"/>
      <c r="H93" s="139"/>
    </row>
    <row r="94" spans="1:8" s="126" customFormat="1" ht="15.5" x14ac:dyDescent="0.35">
      <c r="A94" s="14" t="s">
        <v>294</v>
      </c>
      <c r="B94" s="14" t="s">
        <v>295</v>
      </c>
      <c r="C94" s="214">
        <f>'CSP Budget Detail'!C93-'Monthly Expense Summary Y1P '!D94</f>
        <v>41666.666666666672</v>
      </c>
      <c r="D94" s="210">
        <f t="shared" si="1"/>
        <v>0</v>
      </c>
      <c r="E94" s="139"/>
      <c r="F94" s="139"/>
      <c r="G94" s="139"/>
      <c r="H94" s="139"/>
    </row>
    <row r="95" spans="1:8" x14ac:dyDescent="0.35">
      <c r="A95" s="14" t="s">
        <v>297</v>
      </c>
      <c r="B95" s="14" t="s">
        <v>298</v>
      </c>
      <c r="C95" s="214">
        <f>'CSP Budget Detail'!C94-'Monthly Expense Summary Y1P '!D95</f>
        <v>62.500000000000007</v>
      </c>
      <c r="D95" s="210">
        <f t="shared" si="1"/>
        <v>0</v>
      </c>
      <c r="E95" s="139"/>
      <c r="F95" s="139"/>
      <c r="G95" s="139"/>
      <c r="H95" s="139"/>
    </row>
    <row r="96" spans="1:8" ht="15.5" x14ac:dyDescent="0.35">
      <c r="A96" s="14" t="s">
        <v>300</v>
      </c>
      <c r="B96" s="14" t="s">
        <v>301</v>
      </c>
      <c r="C96" s="214">
        <f>'CSP Budget Detail'!C95-'Monthly Expense Summary Y1P '!D96</f>
        <v>604.16666666666674</v>
      </c>
      <c r="D96" s="210">
        <f t="shared" si="1"/>
        <v>0</v>
      </c>
      <c r="E96" s="140"/>
      <c r="F96" s="140"/>
      <c r="G96" s="140"/>
      <c r="H96" s="140"/>
    </row>
    <row r="97" spans="1:8" x14ac:dyDescent="0.35">
      <c r="A97" s="14" t="s">
        <v>303</v>
      </c>
      <c r="B97" s="14" t="s">
        <v>304</v>
      </c>
      <c r="C97" s="214">
        <f>'CSP Budget Detail'!C96-'Monthly Expense Summary Y1P '!D97</f>
        <v>7291.666666666667</v>
      </c>
      <c r="D97" s="210">
        <f t="shared" si="1"/>
        <v>0</v>
      </c>
      <c r="E97" s="139"/>
      <c r="F97" s="139"/>
      <c r="G97" s="139"/>
      <c r="H97" s="139"/>
    </row>
    <row r="98" spans="1:8" x14ac:dyDescent="0.35">
      <c r="A98" s="14" t="s">
        <v>306</v>
      </c>
      <c r="B98" s="14" t="s">
        <v>307</v>
      </c>
      <c r="C98" s="214">
        <f>'CSP Budget Detail'!C97-'Monthly Expense Summary Y1P '!D98</f>
        <v>0</v>
      </c>
      <c r="D98" s="210">
        <f t="shared" si="1"/>
        <v>0</v>
      </c>
      <c r="E98" s="139"/>
      <c r="F98" s="139"/>
      <c r="G98" s="139"/>
      <c r="H98" s="139"/>
    </row>
    <row r="99" spans="1:8" x14ac:dyDescent="0.35">
      <c r="A99" s="14" t="s">
        <v>309</v>
      </c>
      <c r="B99" s="14" t="s">
        <v>310</v>
      </c>
      <c r="C99" s="214">
        <f>'CSP Budget Detail'!C98-'Monthly Expense Summary Y1P '!D99</f>
        <v>457.5</v>
      </c>
      <c r="D99" s="210">
        <f t="shared" si="1"/>
        <v>0</v>
      </c>
      <c r="E99" s="139"/>
      <c r="F99" s="139"/>
      <c r="G99" s="139"/>
      <c r="H99" s="139"/>
    </row>
    <row r="100" spans="1:8" x14ac:dyDescent="0.35">
      <c r="A100" s="14" t="s">
        <v>312</v>
      </c>
      <c r="B100" s="14" t="s">
        <v>313</v>
      </c>
      <c r="C100" s="214">
        <f>'CSP Budget Detail'!C99-'Monthly Expense Summary Y1P '!D100</f>
        <v>132.91666666666666</v>
      </c>
      <c r="D100" s="210">
        <f t="shared" si="1"/>
        <v>0</v>
      </c>
      <c r="E100" s="139"/>
      <c r="F100" s="139"/>
      <c r="G100" s="139"/>
      <c r="H100" s="139"/>
    </row>
    <row r="101" spans="1:8" ht="15.5" x14ac:dyDescent="0.35">
      <c r="A101" s="14" t="s">
        <v>315</v>
      </c>
      <c r="B101" s="14" t="s">
        <v>316</v>
      </c>
      <c r="C101" s="214">
        <f>'CSP Budget Detail'!C100-'Monthly Expense Summary Y1P '!D101</f>
        <v>3333.333333333333</v>
      </c>
      <c r="D101" s="210">
        <f t="shared" si="1"/>
        <v>0</v>
      </c>
      <c r="E101" s="140"/>
      <c r="F101" s="140"/>
      <c r="G101" s="140"/>
      <c r="H101" s="140"/>
    </row>
    <row r="102" spans="1:8" x14ac:dyDescent="0.35">
      <c r="A102" s="14" t="s">
        <v>318</v>
      </c>
      <c r="B102" s="14" t="s">
        <v>319</v>
      </c>
      <c r="C102" s="214">
        <f>'CSP Budget Detail'!C101-'Monthly Expense Summary Y1P '!D102</f>
        <v>0</v>
      </c>
      <c r="D102" s="210">
        <f t="shared" si="1"/>
        <v>0</v>
      </c>
      <c r="E102" s="139"/>
      <c r="F102" s="139"/>
      <c r="G102" s="139"/>
      <c r="H102" s="139"/>
    </row>
    <row r="103" spans="1:8" ht="15.5" x14ac:dyDescent="0.35">
      <c r="A103" s="14" t="s">
        <v>321</v>
      </c>
      <c r="B103" s="14" t="s">
        <v>322</v>
      </c>
      <c r="C103" s="214">
        <f>'CSP Budget Detail'!C102-'Monthly Expense Summary Y1P '!D103</f>
        <v>16666.666666666668</v>
      </c>
      <c r="D103" s="210">
        <f t="shared" si="1"/>
        <v>0</v>
      </c>
      <c r="E103" s="140"/>
      <c r="F103" s="140"/>
      <c r="G103" s="140"/>
      <c r="H103" s="140"/>
    </row>
    <row r="104" spans="1:8" x14ac:dyDescent="0.35">
      <c r="A104" s="14" t="s">
        <v>324</v>
      </c>
      <c r="B104" s="14" t="s">
        <v>325</v>
      </c>
      <c r="C104" s="214">
        <f>'CSP Budget Detail'!C103-'Monthly Expense Summary Y1P '!D104</f>
        <v>25.000000000000004</v>
      </c>
      <c r="D104" s="210">
        <f t="shared" si="1"/>
        <v>0</v>
      </c>
      <c r="E104" s="139"/>
      <c r="F104" s="139"/>
      <c r="G104" s="139"/>
      <c r="H104" s="139"/>
    </row>
    <row r="105" spans="1:8" ht="15.5" x14ac:dyDescent="0.35">
      <c r="A105" s="14" t="s">
        <v>327</v>
      </c>
      <c r="B105" s="14" t="s">
        <v>328</v>
      </c>
      <c r="C105" s="214">
        <f>'CSP Budget Detail'!C104-'Monthly Expense Summary Y1P '!D105</f>
        <v>241.66666666666666</v>
      </c>
      <c r="D105" s="210">
        <f t="shared" si="1"/>
        <v>0</v>
      </c>
      <c r="E105" s="140"/>
      <c r="F105" s="140"/>
      <c r="G105" s="140"/>
      <c r="H105" s="140"/>
    </row>
    <row r="106" spans="1:8" x14ac:dyDescent="0.35">
      <c r="A106" s="14" t="s">
        <v>330</v>
      </c>
      <c r="B106" s="14" t="s">
        <v>331</v>
      </c>
      <c r="C106" s="214">
        <f>'CSP Budget Detail'!C105-'Monthly Expense Summary Y1P '!D106</f>
        <v>2916.6666666666665</v>
      </c>
      <c r="D106" s="210">
        <f t="shared" si="1"/>
        <v>0</v>
      </c>
      <c r="E106" s="139"/>
      <c r="F106" s="139"/>
      <c r="G106" s="139"/>
      <c r="H106" s="139"/>
    </row>
    <row r="107" spans="1:8" x14ac:dyDescent="0.35">
      <c r="A107" s="14" t="s">
        <v>333</v>
      </c>
      <c r="B107" s="14" t="s">
        <v>334</v>
      </c>
      <c r="C107" s="214">
        <f>'CSP Budget Detail'!C106-'Monthly Expense Summary Y1P '!D107</f>
        <v>0</v>
      </c>
      <c r="D107" s="210">
        <f t="shared" si="1"/>
        <v>0</v>
      </c>
      <c r="E107" s="141"/>
      <c r="F107" s="141"/>
      <c r="G107" s="141"/>
      <c r="H107" s="141"/>
    </row>
    <row r="108" spans="1:8" x14ac:dyDescent="0.35">
      <c r="A108" s="14" t="s">
        <v>336</v>
      </c>
      <c r="B108" s="14" t="s">
        <v>337</v>
      </c>
      <c r="C108" s="214">
        <f>'CSP Budget Detail'!C107-'Monthly Expense Summary Y1P '!D108</f>
        <v>457.5</v>
      </c>
      <c r="D108" s="210">
        <f t="shared" si="1"/>
        <v>0</v>
      </c>
      <c r="E108" s="141"/>
      <c r="F108" s="141"/>
      <c r="G108" s="141"/>
      <c r="H108" s="141"/>
    </row>
    <row r="109" spans="1:8" x14ac:dyDescent="0.35">
      <c r="A109" s="14" t="s">
        <v>339</v>
      </c>
      <c r="B109" s="14" t="s">
        <v>340</v>
      </c>
      <c r="C109" s="214">
        <f>'CSP Budget Detail'!C108-'Monthly Expense Summary Y1P '!D109</f>
        <v>132.91666666666666</v>
      </c>
      <c r="D109" s="210">
        <f t="shared" si="1"/>
        <v>0</v>
      </c>
      <c r="E109" s="141"/>
      <c r="F109" s="141"/>
      <c r="G109" s="141"/>
      <c r="H109" s="141"/>
    </row>
    <row r="110" spans="1:8" x14ac:dyDescent="0.35">
      <c r="A110" s="14" t="s">
        <v>342</v>
      </c>
      <c r="B110" s="14" t="s">
        <v>343</v>
      </c>
      <c r="C110" s="214">
        <f>'CSP Budget Detail'!C109-'Monthly Expense Summary Y1P '!D110</f>
        <v>3333.333333333333</v>
      </c>
      <c r="D110" s="210">
        <f t="shared" si="1"/>
        <v>0</v>
      </c>
      <c r="E110" s="141"/>
      <c r="F110" s="141"/>
      <c r="G110" s="141"/>
      <c r="H110" s="141"/>
    </row>
    <row r="111" spans="1:8" x14ac:dyDescent="0.35">
      <c r="A111" s="14" t="s">
        <v>345</v>
      </c>
      <c r="B111" s="14" t="s">
        <v>346</v>
      </c>
      <c r="C111" s="214">
        <f>'CSP Budget Detail'!C110-'Monthly Expense Summary Y1P '!D111</f>
        <v>0</v>
      </c>
      <c r="D111" s="210">
        <f t="shared" si="1"/>
        <v>0</v>
      </c>
      <c r="E111" s="141"/>
      <c r="F111" s="141"/>
      <c r="G111" s="141"/>
      <c r="H111" s="141"/>
    </row>
    <row r="112" spans="1:8" x14ac:dyDescent="0.35">
      <c r="A112" s="14" t="s">
        <v>348</v>
      </c>
      <c r="B112" s="14" t="s">
        <v>349</v>
      </c>
      <c r="C112" s="214">
        <f>'CSP Budget Detail'!C111-'Monthly Expense Summary Y1P '!D112</f>
        <v>0</v>
      </c>
      <c r="D112" s="210">
        <f t="shared" si="1"/>
        <v>0</v>
      </c>
      <c r="E112" s="141"/>
      <c r="F112" s="141"/>
      <c r="G112" s="141"/>
      <c r="H112" s="141"/>
    </row>
    <row r="113" spans="1:8" x14ac:dyDescent="0.35">
      <c r="A113" s="14" t="s">
        <v>351</v>
      </c>
      <c r="B113" s="14" t="s">
        <v>352</v>
      </c>
      <c r="C113" s="214">
        <f>'CSP Budget Detail'!C112-'Monthly Expense Summary Y1P '!D113</f>
        <v>0</v>
      </c>
      <c r="D113" s="210">
        <f t="shared" si="1"/>
        <v>0</v>
      </c>
      <c r="E113" s="141"/>
      <c r="F113" s="141"/>
      <c r="G113" s="141"/>
      <c r="H113" s="141"/>
    </row>
    <row r="114" spans="1:8" x14ac:dyDescent="0.35">
      <c r="A114" s="14" t="s">
        <v>354</v>
      </c>
      <c r="B114" s="14" t="s">
        <v>355</v>
      </c>
      <c r="C114" s="214">
        <f>'CSP Budget Detail'!C113-'Monthly Expense Summary Y1P '!D114</f>
        <v>0</v>
      </c>
      <c r="D114" s="210">
        <f t="shared" si="1"/>
        <v>0</v>
      </c>
      <c r="E114" s="141"/>
      <c r="F114" s="141"/>
      <c r="G114" s="141"/>
      <c r="H114" s="141"/>
    </row>
    <row r="115" spans="1:8" x14ac:dyDescent="0.35">
      <c r="A115" s="14" t="s">
        <v>357</v>
      </c>
      <c r="B115" s="14" t="s">
        <v>358</v>
      </c>
      <c r="C115" s="214">
        <f>'CSP Budget Detail'!C114-'Monthly Expense Summary Y1P '!D115</f>
        <v>0</v>
      </c>
      <c r="D115" s="210">
        <f t="shared" si="1"/>
        <v>0</v>
      </c>
      <c r="E115" s="141"/>
      <c r="F115" s="141"/>
      <c r="G115" s="141"/>
      <c r="H115" s="141"/>
    </row>
    <row r="116" spans="1:8" x14ac:dyDescent="0.35">
      <c r="A116" s="14" t="s">
        <v>360</v>
      </c>
      <c r="B116" s="14" t="s">
        <v>361</v>
      </c>
      <c r="C116" s="214">
        <f>'CSP Budget Detail'!C115-'Monthly Expense Summary Y1P '!D116</f>
        <v>0</v>
      </c>
      <c r="D116" s="210">
        <f t="shared" si="1"/>
        <v>0</v>
      </c>
      <c r="E116" s="141"/>
      <c r="F116" s="141"/>
      <c r="G116" s="141"/>
      <c r="H116" s="141"/>
    </row>
    <row r="117" spans="1:8" x14ac:dyDescent="0.35">
      <c r="A117" s="14" t="s">
        <v>363</v>
      </c>
      <c r="B117" s="14" t="s">
        <v>364</v>
      </c>
      <c r="C117" s="214">
        <f>'CSP Budget Detail'!C116-'Monthly Expense Summary Y1P '!D117</f>
        <v>0</v>
      </c>
      <c r="D117" s="210">
        <f t="shared" si="1"/>
        <v>0</v>
      </c>
      <c r="E117" s="141"/>
      <c r="F117" s="141"/>
      <c r="G117" s="141"/>
      <c r="H117" s="141"/>
    </row>
    <row r="118" spans="1:8" x14ac:dyDescent="0.35">
      <c r="A118" s="14" t="s">
        <v>366</v>
      </c>
      <c r="B118" s="14" t="s">
        <v>367</v>
      </c>
      <c r="C118" s="214">
        <f>'CSP Budget Detail'!C117-'Monthly Expense Summary Y1P '!D118</f>
        <v>0</v>
      </c>
      <c r="D118" s="210">
        <f t="shared" si="1"/>
        <v>0</v>
      </c>
      <c r="E118" s="141"/>
      <c r="F118" s="141"/>
      <c r="G118" s="141"/>
      <c r="H118" s="141"/>
    </row>
    <row r="119" spans="1:8" x14ac:dyDescent="0.35">
      <c r="A119" s="14" t="s">
        <v>369</v>
      </c>
      <c r="B119" s="14" t="s">
        <v>370</v>
      </c>
      <c r="C119" s="214">
        <f>'CSP Budget Detail'!C118-'Monthly Expense Summary Y1P '!D119</f>
        <v>0</v>
      </c>
      <c r="D119" s="210">
        <f t="shared" si="1"/>
        <v>0</v>
      </c>
      <c r="E119" s="141"/>
      <c r="F119" s="141"/>
      <c r="G119" s="141"/>
      <c r="H119" s="141"/>
    </row>
    <row r="120" spans="1:8" x14ac:dyDescent="0.35">
      <c r="A120" s="14" t="s">
        <v>372</v>
      </c>
      <c r="B120" s="14" t="s">
        <v>373</v>
      </c>
      <c r="C120" s="214">
        <f>'CSP Budget Detail'!C119-'Monthly Expense Summary Y1P '!D120</f>
        <v>0</v>
      </c>
      <c r="D120" s="210">
        <f t="shared" si="1"/>
        <v>0</v>
      </c>
      <c r="E120" s="141"/>
      <c r="F120" s="141"/>
      <c r="G120" s="141"/>
      <c r="H120" s="141"/>
    </row>
    <row r="121" spans="1:8" x14ac:dyDescent="0.35">
      <c r="A121" s="14" t="s">
        <v>375</v>
      </c>
      <c r="B121" s="14" t="s">
        <v>376</v>
      </c>
      <c r="C121" s="214">
        <f>'CSP Budget Detail'!C120-'Monthly Expense Summary Y1P '!D121</f>
        <v>0</v>
      </c>
      <c r="D121" s="210">
        <f t="shared" si="1"/>
        <v>0</v>
      </c>
      <c r="E121" s="141"/>
      <c r="F121" s="141"/>
      <c r="G121" s="141"/>
      <c r="H121" s="141"/>
    </row>
    <row r="122" spans="1:8" x14ac:dyDescent="0.35">
      <c r="A122" s="14" t="s">
        <v>378</v>
      </c>
      <c r="B122" s="14" t="s">
        <v>379</v>
      </c>
      <c r="C122" s="214">
        <f>'CSP Budget Detail'!C121-'Monthly Expense Summary Y1P '!D122</f>
        <v>0</v>
      </c>
      <c r="D122" s="210">
        <f t="shared" si="1"/>
        <v>0</v>
      </c>
      <c r="E122" s="141"/>
      <c r="F122" s="141"/>
      <c r="G122" s="141"/>
      <c r="H122" s="141"/>
    </row>
    <row r="123" spans="1:8" x14ac:dyDescent="0.35">
      <c r="A123" s="14" t="s">
        <v>381</v>
      </c>
      <c r="B123" s="14" t="s">
        <v>382</v>
      </c>
      <c r="C123" s="214">
        <f>'CSP Budget Detail'!C122-'Monthly Expense Summary Y1P '!D123</f>
        <v>0</v>
      </c>
      <c r="D123" s="210">
        <f t="shared" si="1"/>
        <v>0</v>
      </c>
      <c r="E123" s="141"/>
      <c r="F123" s="141"/>
      <c r="G123" s="141"/>
      <c r="H123" s="141"/>
    </row>
    <row r="124" spans="1:8" x14ac:dyDescent="0.35">
      <c r="A124" s="14" t="s">
        <v>384</v>
      </c>
      <c r="B124" s="14" t="s">
        <v>385</v>
      </c>
      <c r="C124" s="214">
        <f>'CSP Budget Detail'!C123-'Monthly Expense Summary Y1P '!D124</f>
        <v>0</v>
      </c>
      <c r="D124" s="210">
        <f t="shared" si="1"/>
        <v>0</v>
      </c>
      <c r="E124" s="141"/>
      <c r="F124" s="141"/>
      <c r="G124" s="141"/>
      <c r="H124" s="141"/>
    </row>
    <row r="125" spans="1:8" x14ac:dyDescent="0.35">
      <c r="A125" s="14" t="s">
        <v>387</v>
      </c>
      <c r="B125" s="14" t="s">
        <v>388</v>
      </c>
      <c r="C125" s="214">
        <f>'CSP Budget Detail'!C124-'Monthly Expense Summary Y1P '!D125</f>
        <v>0</v>
      </c>
      <c r="D125" s="210">
        <f t="shared" si="1"/>
        <v>0</v>
      </c>
      <c r="E125" s="141"/>
      <c r="F125" s="141"/>
      <c r="G125" s="141"/>
      <c r="H125" s="141"/>
    </row>
    <row r="126" spans="1:8" x14ac:dyDescent="0.35">
      <c r="A126" s="14" t="s">
        <v>390</v>
      </c>
      <c r="B126" s="14" t="s">
        <v>391</v>
      </c>
      <c r="C126" s="214">
        <f>'CSP Budget Detail'!C125-'Monthly Expense Summary Y1P '!D126</f>
        <v>0</v>
      </c>
      <c r="D126" s="210">
        <f t="shared" si="1"/>
        <v>0</v>
      </c>
      <c r="E126" s="141"/>
      <c r="F126" s="141"/>
      <c r="G126" s="141"/>
      <c r="H126" s="141"/>
    </row>
    <row r="127" spans="1:8" x14ac:dyDescent="0.35">
      <c r="A127" s="14" t="s">
        <v>393</v>
      </c>
      <c r="B127" s="14" t="s">
        <v>394</v>
      </c>
      <c r="C127" s="214">
        <f>'CSP Budget Detail'!C126-'Monthly Expense Summary Y1P '!D127</f>
        <v>0</v>
      </c>
      <c r="D127" s="210">
        <f t="shared" si="1"/>
        <v>0</v>
      </c>
      <c r="E127" s="141"/>
      <c r="F127" s="141"/>
      <c r="G127" s="141"/>
      <c r="H127" s="141"/>
    </row>
    <row r="128" spans="1:8" x14ac:dyDescent="0.35">
      <c r="A128" s="14" t="s">
        <v>396</v>
      </c>
      <c r="B128" s="14" t="s">
        <v>397</v>
      </c>
      <c r="C128" s="214">
        <f>'CSP Budget Detail'!C127-'Monthly Expense Summary Y1P '!D128</f>
        <v>0</v>
      </c>
      <c r="D128" s="210">
        <f t="shared" si="1"/>
        <v>0</v>
      </c>
      <c r="E128" s="141"/>
      <c r="F128" s="141"/>
      <c r="G128" s="141"/>
      <c r="H128" s="141"/>
    </row>
    <row r="129" spans="1:8" x14ac:dyDescent="0.35">
      <c r="A129" s="14" t="s">
        <v>399</v>
      </c>
      <c r="B129" s="14" t="s">
        <v>400</v>
      </c>
      <c r="C129" s="214">
        <f>'CSP Budget Detail'!C128-'Monthly Expense Summary Y1P '!D129</f>
        <v>0</v>
      </c>
      <c r="D129" s="210">
        <f t="shared" si="1"/>
        <v>0</v>
      </c>
      <c r="E129" s="141"/>
      <c r="F129" s="141"/>
      <c r="G129" s="141"/>
      <c r="H129" s="141"/>
    </row>
    <row r="130" spans="1:8" x14ac:dyDescent="0.35">
      <c r="A130" s="14" t="s">
        <v>402</v>
      </c>
      <c r="B130" s="14" t="s">
        <v>403</v>
      </c>
      <c r="C130" s="214">
        <f>'CSP Budget Detail'!C129-'Monthly Expense Summary Y1P '!D130</f>
        <v>0</v>
      </c>
      <c r="D130" s="210">
        <f t="shared" si="1"/>
        <v>0</v>
      </c>
      <c r="E130" s="141"/>
      <c r="F130" s="141"/>
      <c r="G130" s="141"/>
      <c r="H130" s="141"/>
    </row>
    <row r="131" spans="1:8" x14ac:dyDescent="0.35">
      <c r="A131" s="14" t="s">
        <v>405</v>
      </c>
      <c r="B131" s="14" t="s">
        <v>406</v>
      </c>
      <c r="C131" s="214">
        <f>'CSP Budget Detail'!C130-'Monthly Expense Summary Y1P '!D131</f>
        <v>0</v>
      </c>
      <c r="D131" s="210">
        <f t="shared" si="1"/>
        <v>0</v>
      </c>
      <c r="E131" s="141"/>
      <c r="F131" s="141"/>
      <c r="G131" s="141"/>
      <c r="H131" s="141"/>
    </row>
    <row r="132" spans="1:8" x14ac:dyDescent="0.35">
      <c r="A132" s="14" t="s">
        <v>408</v>
      </c>
      <c r="B132" s="14" t="s">
        <v>409</v>
      </c>
      <c r="C132" s="214">
        <f>'CSP Budget Detail'!C131-'Monthly Expense Summary Y1P '!D132</f>
        <v>0</v>
      </c>
      <c r="D132" s="210">
        <f t="shared" si="1"/>
        <v>0</v>
      </c>
      <c r="E132" s="141"/>
      <c r="F132" s="141"/>
      <c r="G132" s="141"/>
      <c r="H132" s="141"/>
    </row>
    <row r="133" spans="1:8" x14ac:dyDescent="0.35">
      <c r="A133" s="14" t="s">
        <v>411</v>
      </c>
      <c r="B133" s="14" t="s">
        <v>412</v>
      </c>
      <c r="C133" s="214">
        <f>'CSP Budget Detail'!C132-'Monthly Expense Summary Y1P '!D133</f>
        <v>0</v>
      </c>
      <c r="D133" s="210">
        <f t="shared" si="1"/>
        <v>0</v>
      </c>
      <c r="E133" s="141"/>
      <c r="F133" s="141"/>
      <c r="G133" s="141"/>
      <c r="H133" s="141"/>
    </row>
    <row r="134" spans="1:8" x14ac:dyDescent="0.35">
      <c r="A134" s="14" t="s">
        <v>414</v>
      </c>
      <c r="B134" s="14" t="s">
        <v>415</v>
      </c>
      <c r="C134" s="214">
        <f>'CSP Budget Detail'!C133-'Monthly Expense Summary Y1P '!D134</f>
        <v>0</v>
      </c>
      <c r="D134" s="210">
        <f t="shared" si="1"/>
        <v>0</v>
      </c>
      <c r="E134" s="141"/>
      <c r="F134" s="141"/>
      <c r="G134" s="141"/>
      <c r="H134" s="141"/>
    </row>
    <row r="135" spans="1:8" x14ac:dyDescent="0.35">
      <c r="A135" s="14" t="s">
        <v>417</v>
      </c>
      <c r="B135" s="14" t="s">
        <v>418</v>
      </c>
      <c r="C135" s="214">
        <f>'CSP Budget Detail'!C134-'Monthly Expense Summary Y1P '!D135</f>
        <v>0</v>
      </c>
      <c r="D135" s="210">
        <f t="shared" si="1"/>
        <v>0</v>
      </c>
      <c r="E135" s="141"/>
      <c r="F135" s="141"/>
      <c r="G135" s="141"/>
      <c r="H135" s="141"/>
    </row>
    <row r="136" spans="1:8" x14ac:dyDescent="0.35">
      <c r="A136" s="14" t="s">
        <v>420</v>
      </c>
      <c r="B136" s="14" t="s">
        <v>421</v>
      </c>
      <c r="C136" s="214">
        <f>'CSP Budget Detail'!C135-'Monthly Expense Summary Y1P '!D136</f>
        <v>0</v>
      </c>
      <c r="D136" s="210">
        <f t="shared" si="1"/>
        <v>0</v>
      </c>
      <c r="E136" s="141"/>
      <c r="F136" s="141"/>
      <c r="G136" s="141"/>
      <c r="H136" s="141"/>
    </row>
    <row r="137" spans="1:8" x14ac:dyDescent="0.35">
      <c r="A137" s="14" t="s">
        <v>423</v>
      </c>
      <c r="B137" s="14" t="s">
        <v>424</v>
      </c>
      <c r="C137" s="214">
        <f>'CSP Budget Detail'!C136-'Monthly Expense Summary Y1P '!D137</f>
        <v>0</v>
      </c>
      <c r="D137" s="210">
        <f t="shared" si="1"/>
        <v>0</v>
      </c>
      <c r="E137" s="141"/>
      <c r="F137" s="141"/>
      <c r="G137" s="141"/>
      <c r="H137" s="141"/>
    </row>
    <row r="138" spans="1:8" x14ac:dyDescent="0.35">
      <c r="A138" s="14" t="s">
        <v>426</v>
      </c>
      <c r="B138" s="14" t="s">
        <v>427</v>
      </c>
      <c r="C138" s="214">
        <f>'CSP Budget Detail'!C137-'Monthly Expense Summary Y1P '!D138</f>
        <v>0</v>
      </c>
      <c r="D138" s="210">
        <f t="shared" si="1"/>
        <v>0</v>
      </c>
      <c r="E138" s="141"/>
      <c r="F138" s="141"/>
      <c r="G138" s="141"/>
      <c r="H138" s="141"/>
    </row>
    <row r="139" spans="1:8" x14ac:dyDescent="0.35">
      <c r="A139" s="14" t="s">
        <v>429</v>
      </c>
      <c r="B139" s="14" t="s">
        <v>430</v>
      </c>
      <c r="C139" s="214">
        <f>'CSP Budget Detail'!C138-'Monthly Expense Summary Y1P '!D139</f>
        <v>0</v>
      </c>
      <c r="D139" s="210">
        <f t="shared" si="1"/>
        <v>0</v>
      </c>
      <c r="E139" s="141"/>
      <c r="F139" s="141"/>
      <c r="G139" s="141"/>
      <c r="H139" s="141"/>
    </row>
    <row r="140" spans="1:8" x14ac:dyDescent="0.35">
      <c r="A140" s="14" t="s">
        <v>432</v>
      </c>
      <c r="B140" s="14" t="s">
        <v>433</v>
      </c>
      <c r="C140" s="214">
        <f>'CSP Budget Detail'!C139-'Monthly Expense Summary Y1P '!D140</f>
        <v>0</v>
      </c>
      <c r="D140" s="210">
        <f t="shared" si="1"/>
        <v>0</v>
      </c>
      <c r="E140" s="141"/>
      <c r="F140" s="141"/>
      <c r="G140" s="141"/>
      <c r="H140" s="141"/>
    </row>
    <row r="141" spans="1:8" x14ac:dyDescent="0.35">
      <c r="A141" s="14" t="s">
        <v>435</v>
      </c>
      <c r="B141" s="14" t="s">
        <v>436</v>
      </c>
      <c r="C141" s="214">
        <f>'CSP Budget Detail'!C140-'Monthly Expense Summary Y1P '!D141</f>
        <v>0</v>
      </c>
      <c r="D141" s="210">
        <f t="shared" si="1"/>
        <v>0</v>
      </c>
      <c r="E141" s="141"/>
      <c r="F141" s="141"/>
      <c r="G141" s="141"/>
      <c r="H141" s="141"/>
    </row>
    <row r="142" spans="1:8" x14ac:dyDescent="0.35">
      <c r="A142" s="14" t="s">
        <v>438</v>
      </c>
      <c r="B142" s="14" t="s">
        <v>439</v>
      </c>
      <c r="C142" s="214">
        <f>'CSP Budget Detail'!C141-'Monthly Expense Summary Y1P '!D142</f>
        <v>0</v>
      </c>
      <c r="D142" s="210">
        <f t="shared" ref="D142:D165" si="2">SUM(E142:H142)</f>
        <v>0</v>
      </c>
      <c r="E142" s="141"/>
      <c r="F142" s="141"/>
      <c r="G142" s="141"/>
      <c r="H142" s="141"/>
    </row>
    <row r="143" spans="1:8" x14ac:dyDescent="0.35">
      <c r="A143" s="14" t="s">
        <v>441</v>
      </c>
      <c r="B143" s="14" t="s">
        <v>442</v>
      </c>
      <c r="C143" s="214">
        <f>'CSP Budget Detail'!C142-'Monthly Expense Summary Y1P '!D143</f>
        <v>0</v>
      </c>
      <c r="D143" s="210">
        <f t="shared" si="2"/>
        <v>0</v>
      </c>
      <c r="E143" s="141"/>
      <c r="F143" s="141"/>
      <c r="G143" s="141"/>
      <c r="H143" s="141"/>
    </row>
    <row r="144" spans="1:8" x14ac:dyDescent="0.35">
      <c r="A144" s="14" t="s">
        <v>444</v>
      </c>
      <c r="B144" s="14" t="s">
        <v>445</v>
      </c>
      <c r="C144" s="214">
        <f>'CSP Budget Detail'!C143-'Monthly Expense Summary Y1P '!D144</f>
        <v>0</v>
      </c>
      <c r="D144" s="210">
        <f t="shared" si="2"/>
        <v>0</v>
      </c>
      <c r="E144" s="141"/>
      <c r="F144" s="141"/>
      <c r="G144" s="141"/>
      <c r="H144" s="141"/>
    </row>
    <row r="145" spans="1:8" x14ac:dyDescent="0.35">
      <c r="A145" s="14" t="s">
        <v>447</v>
      </c>
      <c r="B145" s="14" t="s">
        <v>448</v>
      </c>
      <c r="C145" s="214">
        <f>'CSP Budget Detail'!C144-'Monthly Expense Summary Y1P '!D145</f>
        <v>0</v>
      </c>
      <c r="D145" s="210">
        <f t="shared" si="2"/>
        <v>0</v>
      </c>
      <c r="E145" s="141"/>
      <c r="F145" s="141"/>
      <c r="G145" s="141"/>
      <c r="H145" s="141"/>
    </row>
    <row r="146" spans="1:8" x14ac:dyDescent="0.35">
      <c r="A146" s="14" t="s">
        <v>450</v>
      </c>
      <c r="B146" s="14" t="s">
        <v>451</v>
      </c>
      <c r="C146" s="214">
        <f>'CSP Budget Detail'!C145-'Monthly Expense Summary Y1P '!D146</f>
        <v>0</v>
      </c>
      <c r="D146" s="210">
        <f t="shared" si="2"/>
        <v>0</v>
      </c>
      <c r="E146" s="141"/>
      <c r="F146" s="141"/>
      <c r="G146" s="141"/>
      <c r="H146" s="141"/>
    </row>
    <row r="147" spans="1:8" x14ac:dyDescent="0.35">
      <c r="A147" s="14" t="s">
        <v>453</v>
      </c>
      <c r="B147" s="14" t="s">
        <v>454</v>
      </c>
      <c r="C147" s="214">
        <f>'CSP Budget Detail'!C146-'Monthly Expense Summary Y1P '!D147</f>
        <v>0</v>
      </c>
      <c r="D147" s="210">
        <f t="shared" si="2"/>
        <v>0</v>
      </c>
      <c r="E147" s="141"/>
      <c r="F147" s="141"/>
      <c r="G147" s="141"/>
      <c r="H147" s="141"/>
    </row>
    <row r="148" spans="1:8" x14ac:dyDescent="0.35">
      <c r="A148" s="14" t="s">
        <v>456</v>
      </c>
      <c r="B148" s="14" t="s">
        <v>457</v>
      </c>
      <c r="C148" s="214">
        <f>'CSP Budget Detail'!C147-'Monthly Expense Summary Y1P '!D148</f>
        <v>0</v>
      </c>
      <c r="D148" s="210">
        <f t="shared" si="2"/>
        <v>0</v>
      </c>
      <c r="E148" s="141"/>
      <c r="F148" s="141"/>
      <c r="G148" s="141"/>
      <c r="H148" s="141"/>
    </row>
    <row r="149" spans="1:8" x14ac:dyDescent="0.35">
      <c r="A149" s="39" t="s">
        <v>459</v>
      </c>
      <c r="B149" s="14" t="s">
        <v>460</v>
      </c>
      <c r="C149" s="214">
        <f>'CSP Budget Detail'!C148-'Monthly Expense Summary Y1P '!D149</f>
        <v>0</v>
      </c>
      <c r="D149" s="210">
        <f t="shared" si="2"/>
        <v>0</v>
      </c>
      <c r="E149" s="141"/>
      <c r="F149" s="141"/>
      <c r="G149" s="141"/>
      <c r="H149" s="141"/>
    </row>
    <row r="150" spans="1:8" x14ac:dyDescent="0.35">
      <c r="A150" s="14" t="s">
        <v>462</v>
      </c>
      <c r="B150" s="14" t="s">
        <v>463</v>
      </c>
      <c r="C150" s="214">
        <f>'CSP Budget Detail'!C149-'Monthly Expense Summary Y1P '!D150</f>
        <v>0</v>
      </c>
      <c r="D150" s="210">
        <f t="shared" si="2"/>
        <v>0</v>
      </c>
      <c r="E150" s="141"/>
      <c r="F150" s="141"/>
      <c r="G150" s="141"/>
      <c r="H150" s="141"/>
    </row>
    <row r="151" spans="1:8" x14ac:dyDescent="0.35">
      <c r="A151" s="14" t="s">
        <v>465</v>
      </c>
      <c r="B151" s="14" t="s">
        <v>466</v>
      </c>
      <c r="C151" s="214">
        <f>'CSP Budget Detail'!C150-'Monthly Expense Summary Y1P '!D151</f>
        <v>0</v>
      </c>
      <c r="D151" s="210">
        <f t="shared" si="2"/>
        <v>0</v>
      </c>
      <c r="E151" s="141"/>
      <c r="F151" s="141"/>
      <c r="G151" s="141"/>
      <c r="H151" s="141"/>
    </row>
    <row r="152" spans="1:8" x14ac:dyDescent="0.35">
      <c r="A152" s="14" t="s">
        <v>468</v>
      </c>
      <c r="B152" s="14" t="s">
        <v>469</v>
      </c>
      <c r="C152" s="214">
        <f>'CSP Budget Detail'!C151-'Monthly Expense Summary Y1P '!D152</f>
        <v>0</v>
      </c>
      <c r="D152" s="210">
        <f t="shared" si="2"/>
        <v>0</v>
      </c>
      <c r="E152" s="141"/>
      <c r="F152" s="141"/>
      <c r="G152" s="141"/>
      <c r="H152" s="141"/>
    </row>
    <row r="153" spans="1:8" x14ac:dyDescent="0.35">
      <c r="A153" s="14" t="s">
        <v>471</v>
      </c>
      <c r="B153" s="14" t="s">
        <v>472</v>
      </c>
      <c r="C153" s="214">
        <f>'CSP Budget Detail'!C152-'Monthly Expense Summary Y1P '!D153</f>
        <v>0</v>
      </c>
      <c r="D153" s="210">
        <f t="shared" si="2"/>
        <v>0</v>
      </c>
      <c r="E153" s="141"/>
      <c r="F153" s="141"/>
      <c r="G153" s="141"/>
      <c r="H153" s="141"/>
    </row>
    <row r="154" spans="1:8" x14ac:dyDescent="0.35">
      <c r="A154" s="14" t="s">
        <v>474</v>
      </c>
      <c r="B154" s="14" t="s">
        <v>475</v>
      </c>
      <c r="C154" s="214">
        <f>'CSP Budget Detail'!C153-'Monthly Expense Summary Y1P '!D154</f>
        <v>0</v>
      </c>
      <c r="D154" s="210">
        <f t="shared" si="2"/>
        <v>0</v>
      </c>
      <c r="E154" s="141"/>
      <c r="F154" s="141"/>
      <c r="G154" s="141"/>
      <c r="H154" s="141"/>
    </row>
    <row r="155" spans="1:8" x14ac:dyDescent="0.35">
      <c r="A155" s="14" t="s">
        <v>477</v>
      </c>
      <c r="B155" s="14" t="s">
        <v>478</v>
      </c>
      <c r="C155" s="214">
        <f>'CSP Budget Detail'!C154-'Monthly Expense Summary Y1P '!D155</f>
        <v>0</v>
      </c>
      <c r="D155" s="210">
        <f t="shared" si="2"/>
        <v>0</v>
      </c>
      <c r="E155" s="141"/>
      <c r="F155" s="141"/>
      <c r="G155" s="141"/>
      <c r="H155" s="141"/>
    </row>
    <row r="156" spans="1:8" x14ac:dyDescent="0.35">
      <c r="A156" s="14" t="s">
        <v>480</v>
      </c>
      <c r="B156" s="14" t="s">
        <v>481</v>
      </c>
      <c r="C156" s="214">
        <f>'CSP Budget Detail'!C155-'Monthly Expense Summary Y1P '!D156</f>
        <v>0</v>
      </c>
      <c r="D156" s="210">
        <f t="shared" si="2"/>
        <v>0</v>
      </c>
      <c r="E156" s="141"/>
      <c r="F156" s="141"/>
      <c r="G156" s="141"/>
      <c r="H156" s="141"/>
    </row>
    <row r="157" spans="1:8" x14ac:dyDescent="0.35">
      <c r="A157" s="14" t="s">
        <v>483</v>
      </c>
      <c r="B157" s="14" t="s">
        <v>484</v>
      </c>
      <c r="C157" s="214">
        <f>'CSP Budget Detail'!C156-'Monthly Expense Summary Y1P '!D157</f>
        <v>0</v>
      </c>
      <c r="D157" s="210">
        <f t="shared" si="2"/>
        <v>0</v>
      </c>
      <c r="E157" s="141"/>
      <c r="F157" s="141"/>
      <c r="G157" s="141"/>
      <c r="H157" s="141"/>
    </row>
    <row r="158" spans="1:8" x14ac:dyDescent="0.35">
      <c r="A158" s="39" t="s">
        <v>486</v>
      </c>
      <c r="B158" s="14" t="s">
        <v>487</v>
      </c>
      <c r="C158" s="214">
        <f>'CSP Budget Detail'!C157-'Monthly Expense Summary Y1P '!D158</f>
        <v>0</v>
      </c>
      <c r="D158" s="210">
        <f t="shared" si="2"/>
        <v>0</v>
      </c>
      <c r="E158" s="141"/>
      <c r="F158" s="141"/>
      <c r="G158" s="141"/>
      <c r="H158" s="141"/>
    </row>
    <row r="159" spans="1:8" x14ac:dyDescent="0.35">
      <c r="A159" s="14" t="s">
        <v>489</v>
      </c>
      <c r="B159" s="14" t="s">
        <v>490</v>
      </c>
      <c r="C159" s="214">
        <f>'CSP Budget Detail'!C158-'Monthly Expense Summary Y1P '!D159</f>
        <v>0</v>
      </c>
      <c r="D159" s="210">
        <f t="shared" si="2"/>
        <v>0</v>
      </c>
      <c r="E159" s="141"/>
      <c r="F159" s="141"/>
      <c r="G159" s="141"/>
      <c r="H159" s="141"/>
    </row>
    <row r="160" spans="1:8" x14ac:dyDescent="0.35">
      <c r="A160" s="14" t="s">
        <v>492</v>
      </c>
      <c r="B160" s="14" t="s">
        <v>493</v>
      </c>
      <c r="C160" s="214">
        <f>'CSP Budget Detail'!C159-'Monthly Expense Summary Y1P '!D160</f>
        <v>0</v>
      </c>
      <c r="D160" s="210">
        <f t="shared" si="2"/>
        <v>0</v>
      </c>
      <c r="E160" s="141"/>
      <c r="F160" s="141"/>
      <c r="G160" s="141"/>
      <c r="H160" s="141"/>
    </row>
    <row r="161" spans="1:8" x14ac:dyDescent="0.35">
      <c r="A161" s="14" t="s">
        <v>495</v>
      </c>
      <c r="B161" s="14" t="s">
        <v>496</v>
      </c>
      <c r="C161" s="214">
        <f>'CSP Budget Detail'!C160-'Monthly Expense Summary Y1P '!D161</f>
        <v>0</v>
      </c>
      <c r="D161" s="210">
        <f t="shared" si="2"/>
        <v>0</v>
      </c>
      <c r="E161" s="141"/>
      <c r="F161" s="141"/>
      <c r="G161" s="141"/>
      <c r="H161" s="141"/>
    </row>
    <row r="162" spans="1:8" x14ac:dyDescent="0.35">
      <c r="A162" s="14" t="s">
        <v>498</v>
      </c>
      <c r="B162" s="14" t="s">
        <v>499</v>
      </c>
      <c r="C162" s="214">
        <f>'CSP Budget Detail'!C161-'Monthly Expense Summary Y1P '!D162</f>
        <v>0</v>
      </c>
      <c r="D162" s="210">
        <f t="shared" si="2"/>
        <v>0</v>
      </c>
      <c r="E162" s="141"/>
      <c r="F162" s="141"/>
      <c r="G162" s="141"/>
      <c r="H162" s="141"/>
    </row>
    <row r="163" spans="1:8" x14ac:dyDescent="0.35">
      <c r="A163" s="14" t="s">
        <v>501</v>
      </c>
      <c r="B163" s="14" t="s">
        <v>502</v>
      </c>
      <c r="C163" s="214">
        <f>'CSP Budget Detail'!C162-'Monthly Expense Summary Y1P '!D163</f>
        <v>0</v>
      </c>
      <c r="D163" s="210">
        <f t="shared" si="2"/>
        <v>0</v>
      </c>
      <c r="E163" s="141"/>
      <c r="F163" s="141"/>
      <c r="G163" s="141"/>
      <c r="H163" s="141"/>
    </row>
    <row r="164" spans="1:8" x14ac:dyDescent="0.35">
      <c r="A164" s="14" t="s">
        <v>504</v>
      </c>
      <c r="B164" s="14" t="s">
        <v>505</v>
      </c>
      <c r="C164" s="214">
        <f>'CSP Budget Detail'!C163-'Monthly Expense Summary Y1P '!D164</f>
        <v>0</v>
      </c>
      <c r="D164" s="210">
        <f t="shared" si="2"/>
        <v>0</v>
      </c>
      <c r="E164" s="141"/>
      <c r="F164" s="141"/>
      <c r="G164" s="141"/>
      <c r="H164" s="141"/>
    </row>
    <row r="165" spans="1:8" x14ac:dyDescent="0.35">
      <c r="A165" s="14" t="s">
        <v>507</v>
      </c>
      <c r="B165" s="14" t="s">
        <v>508</v>
      </c>
      <c r="C165" s="214">
        <f>'CSP Budget Detail'!C164-'Monthly Expense Summary Y1P '!D165</f>
        <v>0</v>
      </c>
      <c r="D165" s="210">
        <f t="shared" si="2"/>
        <v>0</v>
      </c>
      <c r="E165" s="141"/>
      <c r="F165" s="141"/>
      <c r="G165" s="141"/>
      <c r="H165" s="141"/>
    </row>
    <row r="166" spans="1:8" x14ac:dyDescent="0.35">
      <c r="A166" s="14"/>
      <c r="B166" s="14"/>
      <c r="C166" s="14"/>
      <c r="D166" s="210"/>
      <c r="E166" s="141"/>
      <c r="F166" s="141"/>
      <c r="G166" s="141"/>
      <c r="H166" s="141"/>
    </row>
    <row r="167" spans="1:8" x14ac:dyDescent="0.35">
      <c r="A167" s="14"/>
      <c r="B167" s="14"/>
      <c r="C167" s="14"/>
      <c r="D167" s="210"/>
      <c r="E167" s="141"/>
      <c r="F167" s="141"/>
      <c r="G167" s="141"/>
      <c r="H167" s="141"/>
    </row>
    <row r="168" spans="1:8" x14ac:dyDescent="0.35">
      <c r="A168" s="14"/>
      <c r="B168" s="14"/>
      <c r="C168" s="14"/>
      <c r="D168" s="210"/>
      <c r="E168" s="141"/>
      <c r="F168" s="141"/>
      <c r="G168" s="141"/>
      <c r="H168" s="141"/>
    </row>
    <row r="169" spans="1:8" ht="15.5" x14ac:dyDescent="0.35">
      <c r="A169" s="142"/>
      <c r="B169" s="143" t="s">
        <v>682</v>
      </c>
      <c r="C169" s="212">
        <f>'CSP Budget Detail'!C173-D169</f>
        <v>245197.49999999997</v>
      </c>
      <c r="D169" s="212">
        <f>SUM(E169:H169)</f>
        <v>157</v>
      </c>
      <c r="E169" s="144">
        <f>SUM(E13:E168)</f>
        <v>151</v>
      </c>
      <c r="F169" s="144">
        <f>SUM(F13:F168)</f>
        <v>2</v>
      </c>
      <c r="G169" s="144">
        <f>SUM(G13:G168)</f>
        <v>3</v>
      </c>
      <c r="H169" s="144">
        <f>SUM(H13:H168)</f>
        <v>1</v>
      </c>
    </row>
    <row r="170" spans="1:8" x14ac:dyDescent="0.35">
      <c r="A170" s="14"/>
      <c r="B170" s="145" t="s">
        <v>658</v>
      </c>
      <c r="C170" s="145"/>
      <c r="D170" s="145"/>
      <c r="E170" s="141"/>
      <c r="F170" s="141"/>
      <c r="G170" s="141"/>
      <c r="H170" s="141"/>
    </row>
    <row r="171" spans="1:8" x14ac:dyDescent="0.35">
      <c r="A171" s="14" t="s">
        <v>513</v>
      </c>
      <c r="B171" s="14" t="s">
        <v>514</v>
      </c>
      <c r="C171" s="210">
        <f>'CSP Budget Detail'!C175-'Monthly Expense Summary Y1P '!D171</f>
        <v>28800</v>
      </c>
      <c r="D171" s="210">
        <f>SUM(E171:H171)</f>
        <v>0</v>
      </c>
      <c r="E171" s="141"/>
      <c r="F171" s="141"/>
      <c r="G171" s="141"/>
      <c r="H171" s="141"/>
    </row>
    <row r="172" spans="1:8" x14ac:dyDescent="0.35">
      <c r="A172" s="14" t="s">
        <v>516</v>
      </c>
      <c r="B172" s="14" t="s">
        <v>517</v>
      </c>
      <c r="C172" s="210">
        <f>'CSP Budget Detail'!C176-'Monthly Expense Summary Y1P '!D172</f>
        <v>0</v>
      </c>
      <c r="D172" s="210">
        <f t="shared" ref="D172:D177" si="3">SUM(E172:H172)</f>
        <v>0</v>
      </c>
      <c r="E172" s="141"/>
      <c r="F172" s="141"/>
      <c r="G172" s="141"/>
      <c r="H172" s="141"/>
    </row>
    <row r="173" spans="1:8" x14ac:dyDescent="0.35">
      <c r="A173" s="14" t="s">
        <v>518</v>
      </c>
      <c r="B173" s="14" t="s">
        <v>519</v>
      </c>
      <c r="C173" s="210">
        <f>'CSP Budget Detail'!C177-'Monthly Expense Summary Y1P '!D173</f>
        <v>0</v>
      </c>
      <c r="D173" s="210">
        <f t="shared" si="3"/>
        <v>0</v>
      </c>
      <c r="E173" s="141"/>
      <c r="F173" s="141"/>
      <c r="G173" s="141"/>
      <c r="H173" s="141"/>
    </row>
    <row r="174" spans="1:8" x14ac:dyDescent="0.35">
      <c r="A174" s="14" t="s">
        <v>520</v>
      </c>
      <c r="B174" s="14" t="s">
        <v>521</v>
      </c>
      <c r="C174" s="210">
        <f>'CSP Budget Detail'!C178-'Monthly Expense Summary Y1P '!D174</f>
        <v>0</v>
      </c>
      <c r="D174" s="210">
        <f t="shared" si="3"/>
        <v>0</v>
      </c>
      <c r="E174" s="141"/>
      <c r="F174" s="141"/>
      <c r="G174" s="141"/>
      <c r="H174" s="141"/>
    </row>
    <row r="175" spans="1:8" x14ac:dyDescent="0.35">
      <c r="A175" s="14" t="s">
        <v>522</v>
      </c>
      <c r="B175" s="14" t="s">
        <v>523</v>
      </c>
      <c r="C175" s="210">
        <f>'CSP Budget Detail'!C179-'Monthly Expense Summary Y1P '!D175</f>
        <v>0</v>
      </c>
      <c r="D175" s="210">
        <f t="shared" si="3"/>
        <v>0</v>
      </c>
      <c r="E175" s="141"/>
      <c r="F175" s="141"/>
      <c r="G175" s="141"/>
      <c r="H175" s="141"/>
    </row>
    <row r="176" spans="1:8" x14ac:dyDescent="0.35">
      <c r="A176" s="14" t="s">
        <v>524</v>
      </c>
      <c r="B176" s="14" t="s">
        <v>525</v>
      </c>
      <c r="C176" s="210">
        <f>'CSP Budget Detail'!C180-'Monthly Expense Summary Y1P '!D176</f>
        <v>0</v>
      </c>
      <c r="D176" s="210">
        <f t="shared" si="3"/>
        <v>0</v>
      </c>
      <c r="E176" s="141"/>
      <c r="F176" s="141"/>
      <c r="G176" s="141"/>
      <c r="H176" s="141"/>
    </row>
    <row r="177" spans="1:8" x14ac:dyDescent="0.35">
      <c r="A177" s="14" t="s">
        <v>526</v>
      </c>
      <c r="B177" s="14" t="s">
        <v>527</v>
      </c>
      <c r="C177" s="210">
        <f>'CSP Budget Detail'!C181-'Monthly Expense Summary Y1P '!D177</f>
        <v>0</v>
      </c>
      <c r="D177" s="210">
        <f t="shared" si="3"/>
        <v>0</v>
      </c>
      <c r="E177" s="141"/>
      <c r="F177" s="141"/>
      <c r="G177" s="141"/>
      <c r="H177" s="141"/>
    </row>
    <row r="178" spans="1:8" x14ac:dyDescent="0.35">
      <c r="A178" s="14"/>
      <c r="B178" s="14"/>
      <c r="C178" s="14"/>
      <c r="D178" s="14"/>
      <c r="E178" s="141"/>
      <c r="F178" s="141"/>
      <c r="G178" s="141"/>
      <c r="H178" s="141"/>
    </row>
    <row r="179" spans="1:8" ht="15.5" x14ac:dyDescent="0.35">
      <c r="A179" s="142"/>
      <c r="B179" s="143" t="s">
        <v>683</v>
      </c>
      <c r="C179" s="216">
        <f>'CSP Budget Detail'!C188-D179</f>
        <v>43600</v>
      </c>
      <c r="D179" s="212">
        <f>SUM(E179:H179)</f>
        <v>0</v>
      </c>
      <c r="E179" s="144">
        <f>SUM(E171:E178)</f>
        <v>0</v>
      </c>
      <c r="F179" s="144">
        <f>SUM(F171:F178)</f>
        <v>0</v>
      </c>
      <c r="G179" s="144">
        <f>SUM(G171:G178)</f>
        <v>0</v>
      </c>
      <c r="H179" s="144">
        <f>SUM(H171:H178)</f>
        <v>0</v>
      </c>
    </row>
    <row r="180" spans="1:8" ht="15.5" x14ac:dyDescent="0.35">
      <c r="A180" s="146"/>
      <c r="B180" s="136" t="s">
        <v>659</v>
      </c>
      <c r="C180" s="136"/>
      <c r="D180" s="136"/>
      <c r="E180" s="141"/>
      <c r="F180" s="141"/>
      <c r="G180" s="141"/>
      <c r="H180" s="141"/>
    </row>
    <row r="181" spans="1:8" x14ac:dyDescent="0.35">
      <c r="A181" s="14" t="s">
        <v>530</v>
      </c>
      <c r="B181" s="14" t="s">
        <v>531</v>
      </c>
      <c r="C181" s="214">
        <f>'CSP Budget Detail'!C190-D181</f>
        <v>0</v>
      </c>
      <c r="D181" s="210">
        <f>SUM(E181:H181)</f>
        <v>0</v>
      </c>
      <c r="E181" s="141"/>
      <c r="F181" s="141"/>
      <c r="G181" s="141"/>
      <c r="H181" s="141"/>
    </row>
    <row r="182" spans="1:8" x14ac:dyDescent="0.35">
      <c r="A182" s="14" t="s">
        <v>530</v>
      </c>
      <c r="B182" s="14" t="s">
        <v>533</v>
      </c>
      <c r="C182" s="214">
        <f>'CSP Budget Detail'!C191-D182</f>
        <v>0</v>
      </c>
      <c r="D182" s="210">
        <f t="shared" ref="D182:D214" si="4">SUM(E182:H182)</f>
        <v>0</v>
      </c>
      <c r="E182" s="141"/>
      <c r="F182" s="141"/>
      <c r="G182" s="141"/>
      <c r="H182" s="141"/>
    </row>
    <row r="183" spans="1:8" x14ac:dyDescent="0.35">
      <c r="A183" s="14" t="s">
        <v>534</v>
      </c>
      <c r="B183" s="14" t="s">
        <v>535</v>
      </c>
      <c r="C183" s="214">
        <f>'CSP Budget Detail'!C192-D183</f>
        <v>0</v>
      </c>
      <c r="D183" s="210">
        <f t="shared" si="4"/>
        <v>0</v>
      </c>
      <c r="E183" s="141"/>
      <c r="F183" s="141"/>
      <c r="G183" s="141"/>
      <c r="H183" s="141"/>
    </row>
    <row r="184" spans="1:8" x14ac:dyDescent="0.35">
      <c r="A184" s="14" t="s">
        <v>536</v>
      </c>
      <c r="B184" s="14" t="s">
        <v>537</v>
      </c>
      <c r="C184" s="214">
        <f>'CSP Budget Detail'!C193-D184</f>
        <v>0</v>
      </c>
      <c r="D184" s="210">
        <f t="shared" si="4"/>
        <v>0</v>
      </c>
      <c r="E184" s="141"/>
      <c r="F184" s="141"/>
      <c r="G184" s="141"/>
      <c r="H184" s="141"/>
    </row>
    <row r="185" spans="1:8" x14ac:dyDescent="0.35">
      <c r="A185" s="14" t="s">
        <v>538</v>
      </c>
      <c r="B185" s="14" t="s">
        <v>539</v>
      </c>
      <c r="C185" s="214">
        <f>'CSP Budget Detail'!C194-D185</f>
        <v>0</v>
      </c>
      <c r="D185" s="210">
        <f t="shared" si="4"/>
        <v>0</v>
      </c>
      <c r="E185" s="141"/>
      <c r="F185" s="141"/>
      <c r="G185" s="141"/>
      <c r="H185" s="141"/>
    </row>
    <row r="186" spans="1:8" x14ac:dyDescent="0.35">
      <c r="A186" s="14" t="s">
        <v>538</v>
      </c>
      <c r="B186" s="14" t="s">
        <v>540</v>
      </c>
      <c r="C186" s="214">
        <f>'CSP Budget Detail'!C195-D186</f>
        <v>0</v>
      </c>
      <c r="D186" s="210">
        <f t="shared" si="4"/>
        <v>0</v>
      </c>
      <c r="E186" s="141"/>
      <c r="F186" s="141"/>
      <c r="G186" s="141"/>
      <c r="H186" s="141"/>
    </row>
    <row r="187" spans="1:8" x14ac:dyDescent="0.35">
      <c r="A187" s="14" t="s">
        <v>541</v>
      </c>
      <c r="B187" s="14" t="s">
        <v>542</v>
      </c>
      <c r="C187" s="214">
        <f>'CSP Budget Detail'!C196-D187</f>
        <v>0</v>
      </c>
      <c r="D187" s="210">
        <f t="shared" si="4"/>
        <v>0</v>
      </c>
      <c r="E187" s="141"/>
      <c r="F187" s="141"/>
      <c r="G187" s="141"/>
      <c r="H187" s="141"/>
    </row>
    <row r="188" spans="1:8" x14ac:dyDescent="0.35">
      <c r="A188" s="14" t="s">
        <v>543</v>
      </c>
      <c r="B188" s="14" t="s">
        <v>544</v>
      </c>
      <c r="C188" s="214">
        <f>'CSP Budget Detail'!C197-D188</f>
        <v>0</v>
      </c>
      <c r="D188" s="210">
        <f t="shared" si="4"/>
        <v>0</v>
      </c>
      <c r="E188" s="141"/>
      <c r="F188" s="141"/>
      <c r="G188" s="141"/>
      <c r="H188" s="141"/>
    </row>
    <row r="189" spans="1:8" x14ac:dyDescent="0.35">
      <c r="A189" s="14" t="s">
        <v>543</v>
      </c>
      <c r="B189" s="14" t="s">
        <v>545</v>
      </c>
      <c r="C189" s="214">
        <f>'CSP Budget Detail'!C198-D189</f>
        <v>0</v>
      </c>
      <c r="D189" s="210">
        <f t="shared" si="4"/>
        <v>0</v>
      </c>
      <c r="E189" s="141"/>
      <c r="F189" s="141"/>
      <c r="G189" s="141"/>
      <c r="H189" s="141"/>
    </row>
    <row r="190" spans="1:8" x14ac:dyDescent="0.35">
      <c r="A190" s="14" t="s">
        <v>546</v>
      </c>
      <c r="B190" s="14" t="s">
        <v>547</v>
      </c>
      <c r="C190" s="214">
        <f>'CSP Budget Detail'!C199-D190</f>
        <v>0</v>
      </c>
      <c r="D190" s="210">
        <f t="shared" si="4"/>
        <v>0</v>
      </c>
      <c r="E190" s="141"/>
      <c r="F190" s="141"/>
      <c r="G190" s="141"/>
      <c r="H190" s="141"/>
    </row>
    <row r="191" spans="1:8" x14ac:dyDescent="0.35">
      <c r="A191" s="14" t="s">
        <v>548</v>
      </c>
      <c r="B191" s="14" t="s">
        <v>549</v>
      </c>
      <c r="C191" s="214">
        <f>'CSP Budget Detail'!C200-D191</f>
        <v>0</v>
      </c>
      <c r="D191" s="210">
        <f t="shared" si="4"/>
        <v>0</v>
      </c>
      <c r="E191" s="141"/>
      <c r="F191" s="141"/>
      <c r="G191" s="141"/>
      <c r="H191" s="141"/>
    </row>
    <row r="192" spans="1:8" x14ac:dyDescent="0.35">
      <c r="A192" s="14" t="s">
        <v>548</v>
      </c>
      <c r="B192" s="14" t="s">
        <v>550</v>
      </c>
      <c r="C192" s="214">
        <f>'CSP Budget Detail'!C201-D192</f>
        <v>0</v>
      </c>
      <c r="D192" s="210">
        <f t="shared" si="4"/>
        <v>0</v>
      </c>
      <c r="E192" s="141"/>
      <c r="F192" s="141"/>
      <c r="G192" s="141"/>
      <c r="H192" s="141"/>
    </row>
    <row r="193" spans="1:8" x14ac:dyDescent="0.35">
      <c r="A193" s="14" t="s">
        <v>551</v>
      </c>
      <c r="B193" s="14" t="s">
        <v>552</v>
      </c>
      <c r="C193" s="214">
        <f>'CSP Budget Detail'!C202-D193</f>
        <v>0</v>
      </c>
      <c r="D193" s="210">
        <f t="shared" si="4"/>
        <v>0</v>
      </c>
      <c r="E193" s="141"/>
      <c r="F193" s="141"/>
      <c r="G193" s="141"/>
      <c r="H193" s="141"/>
    </row>
    <row r="194" spans="1:8" x14ac:dyDescent="0.35">
      <c r="A194" s="14" t="s">
        <v>553</v>
      </c>
      <c r="B194" s="14" t="s">
        <v>554</v>
      </c>
      <c r="C194" s="214">
        <f>'CSP Budget Detail'!C203-D194</f>
        <v>0</v>
      </c>
      <c r="D194" s="210">
        <f t="shared" si="4"/>
        <v>0</v>
      </c>
      <c r="E194" s="141"/>
      <c r="F194" s="141"/>
      <c r="G194" s="141"/>
      <c r="H194" s="141"/>
    </row>
    <row r="195" spans="1:8" x14ac:dyDescent="0.35">
      <c r="A195" s="14" t="s">
        <v>555</v>
      </c>
      <c r="B195" s="14" t="s">
        <v>556</v>
      </c>
      <c r="C195" s="214">
        <f>'CSP Budget Detail'!C204-D195</f>
        <v>0</v>
      </c>
      <c r="D195" s="210">
        <f t="shared" si="4"/>
        <v>0</v>
      </c>
      <c r="E195" s="141"/>
      <c r="F195" s="141"/>
      <c r="G195" s="141"/>
      <c r="H195" s="141"/>
    </row>
    <row r="196" spans="1:8" x14ac:dyDescent="0.35">
      <c r="A196" s="14" t="s">
        <v>555</v>
      </c>
      <c r="B196" s="14" t="s">
        <v>557</v>
      </c>
      <c r="C196" s="214">
        <f>'CSP Budget Detail'!C205-D196</f>
        <v>0</v>
      </c>
      <c r="D196" s="210">
        <f t="shared" si="4"/>
        <v>0</v>
      </c>
      <c r="E196" s="141"/>
      <c r="F196" s="141"/>
      <c r="G196" s="141"/>
      <c r="H196" s="141"/>
    </row>
    <row r="197" spans="1:8" x14ac:dyDescent="0.35">
      <c r="A197" s="14" t="s">
        <v>558</v>
      </c>
      <c r="B197" s="14" t="s">
        <v>559</v>
      </c>
      <c r="C197" s="214">
        <f>'CSP Budget Detail'!C206-D197</f>
        <v>0</v>
      </c>
      <c r="D197" s="210">
        <f t="shared" si="4"/>
        <v>0</v>
      </c>
      <c r="E197" s="141"/>
      <c r="F197" s="141"/>
      <c r="G197" s="141"/>
      <c r="H197" s="141"/>
    </row>
    <row r="198" spans="1:8" x14ac:dyDescent="0.35">
      <c r="A198" s="14" t="s">
        <v>560</v>
      </c>
      <c r="B198" s="14" t="s">
        <v>561</v>
      </c>
      <c r="C198" s="214">
        <f>'CSP Budget Detail'!C207-D198</f>
        <v>0</v>
      </c>
      <c r="D198" s="210">
        <f t="shared" si="4"/>
        <v>0</v>
      </c>
      <c r="E198" s="141"/>
      <c r="F198" s="141"/>
      <c r="G198" s="141"/>
      <c r="H198" s="141"/>
    </row>
    <row r="199" spans="1:8" x14ac:dyDescent="0.35">
      <c r="A199" s="14"/>
      <c r="B199" s="14"/>
      <c r="C199" s="14"/>
      <c r="D199" s="210"/>
      <c r="E199" s="141"/>
      <c r="F199" s="141"/>
      <c r="G199" s="141"/>
      <c r="H199" s="141"/>
    </row>
    <row r="200" spans="1:8" x14ac:dyDescent="0.35">
      <c r="A200" s="14"/>
      <c r="B200" s="14"/>
      <c r="C200" s="14"/>
      <c r="D200" s="210"/>
      <c r="E200" s="141"/>
      <c r="F200" s="141"/>
      <c r="G200" s="141"/>
      <c r="H200" s="141"/>
    </row>
    <row r="201" spans="1:8" ht="15.5" x14ac:dyDescent="0.35">
      <c r="A201" s="142"/>
      <c r="B201" s="143" t="s">
        <v>684</v>
      </c>
      <c r="C201" s="215">
        <f>'CSP Budget Detail'!C216-D201</f>
        <v>0</v>
      </c>
      <c r="D201" s="213">
        <f>SUM(E201:H201)</f>
        <v>0</v>
      </c>
      <c r="E201" s="144">
        <f>SUM(E181:E200)</f>
        <v>0</v>
      </c>
      <c r="F201" s="144">
        <f>SUM(F181:F200)</f>
        <v>0</v>
      </c>
      <c r="G201" s="144">
        <f>SUM(G181:G200)</f>
        <v>0</v>
      </c>
      <c r="H201" s="144">
        <f>SUM(H181:H200)</f>
        <v>0</v>
      </c>
    </row>
    <row r="202" spans="1:8" ht="15.5" x14ac:dyDescent="0.35">
      <c r="A202" s="14"/>
      <c r="B202" s="136" t="s">
        <v>660</v>
      </c>
      <c r="C202" s="136"/>
      <c r="D202" s="210"/>
      <c r="E202" s="141"/>
      <c r="F202" s="141"/>
      <c r="G202" s="141"/>
      <c r="H202" s="141"/>
    </row>
    <row r="203" spans="1:8" x14ac:dyDescent="0.35">
      <c r="A203" s="14" t="s">
        <v>565</v>
      </c>
      <c r="B203" s="14" t="s">
        <v>566</v>
      </c>
      <c r="C203" s="214">
        <f>'CSP Budget Detail'!C219-D203</f>
        <v>70270</v>
      </c>
      <c r="D203" s="210">
        <f>SUM(E203:H203)</f>
        <v>0</v>
      </c>
      <c r="E203" s="141"/>
      <c r="F203" s="141"/>
      <c r="G203" s="141"/>
      <c r="H203" s="141"/>
    </row>
    <row r="204" spans="1:8" x14ac:dyDescent="0.35">
      <c r="A204" s="14" t="s">
        <v>568</v>
      </c>
      <c r="B204" s="14" t="s">
        <v>569</v>
      </c>
      <c r="C204" s="214">
        <f>'CSP Budget Detail'!C220-D204</f>
        <v>0</v>
      </c>
      <c r="D204" s="210">
        <f t="shared" si="4"/>
        <v>0</v>
      </c>
      <c r="E204" s="141"/>
      <c r="F204" s="141"/>
      <c r="G204" s="141"/>
      <c r="H204" s="141"/>
    </row>
    <row r="205" spans="1:8" x14ac:dyDescent="0.35">
      <c r="A205" s="14" t="s">
        <v>570</v>
      </c>
      <c r="B205" s="14" t="s">
        <v>571</v>
      </c>
      <c r="C205" s="214">
        <f>'CSP Budget Detail'!C221-D205</f>
        <v>0</v>
      </c>
      <c r="D205" s="210">
        <f t="shared" si="4"/>
        <v>0</v>
      </c>
      <c r="E205" s="141"/>
      <c r="F205" s="141"/>
      <c r="G205" s="141"/>
      <c r="H205" s="141"/>
    </row>
    <row r="206" spans="1:8" x14ac:dyDescent="0.35">
      <c r="A206" s="14" t="s">
        <v>572</v>
      </c>
      <c r="B206" s="14" t="s">
        <v>573</v>
      </c>
      <c r="C206" s="214">
        <f>'CSP Budget Detail'!C222-D206</f>
        <v>0</v>
      </c>
      <c r="D206" s="210">
        <f t="shared" si="4"/>
        <v>0</v>
      </c>
      <c r="E206" s="141"/>
      <c r="F206" s="141"/>
      <c r="G206" s="141"/>
      <c r="H206" s="141"/>
    </row>
    <row r="207" spans="1:8" x14ac:dyDescent="0.35">
      <c r="A207" s="14" t="s">
        <v>574</v>
      </c>
      <c r="B207" s="14" t="s">
        <v>575</v>
      </c>
      <c r="C207" s="214">
        <f>'CSP Budget Detail'!C223-D207</f>
        <v>0</v>
      </c>
      <c r="D207" s="210">
        <f t="shared" si="4"/>
        <v>0</v>
      </c>
      <c r="E207" s="141"/>
      <c r="F207" s="141"/>
      <c r="G207" s="141"/>
      <c r="H207" s="141"/>
    </row>
    <row r="208" spans="1:8" x14ac:dyDescent="0.35">
      <c r="A208" s="14" t="s">
        <v>576</v>
      </c>
      <c r="B208" s="14" t="s">
        <v>577</v>
      </c>
      <c r="C208" s="214">
        <f>'CSP Budget Detail'!C224-D208</f>
        <v>0</v>
      </c>
      <c r="D208" s="210">
        <f t="shared" si="4"/>
        <v>0</v>
      </c>
      <c r="E208" s="141"/>
      <c r="F208" s="141"/>
      <c r="G208" s="141"/>
      <c r="H208" s="141"/>
    </row>
    <row r="209" spans="1:8" x14ac:dyDescent="0.35">
      <c r="A209" s="14" t="s">
        <v>578</v>
      </c>
      <c r="B209" s="14" t="s">
        <v>579</v>
      </c>
      <c r="C209" s="214">
        <f>'CSP Budget Detail'!C225-D209</f>
        <v>0</v>
      </c>
      <c r="D209" s="210">
        <f t="shared" si="4"/>
        <v>0</v>
      </c>
      <c r="E209" s="141"/>
      <c r="F209" s="141"/>
      <c r="G209" s="141"/>
      <c r="H209" s="141"/>
    </row>
    <row r="210" spans="1:8" x14ac:dyDescent="0.35">
      <c r="A210" s="14" t="s">
        <v>580</v>
      </c>
      <c r="B210" s="14" t="s">
        <v>581</v>
      </c>
      <c r="C210" s="214">
        <f>'CSP Budget Detail'!C226-D210</f>
        <v>0</v>
      </c>
      <c r="D210" s="210">
        <f t="shared" si="4"/>
        <v>0</v>
      </c>
      <c r="E210" s="141"/>
      <c r="F210" s="141"/>
      <c r="G210" s="141"/>
      <c r="H210" s="141"/>
    </row>
    <row r="211" spans="1:8" x14ac:dyDescent="0.35">
      <c r="A211" s="14" t="s">
        <v>582</v>
      </c>
      <c r="B211" s="14" t="s">
        <v>583</v>
      </c>
      <c r="C211" s="214">
        <f>'CSP Budget Detail'!C227-D211</f>
        <v>0</v>
      </c>
      <c r="D211" s="210">
        <f t="shared" si="4"/>
        <v>0</v>
      </c>
      <c r="E211" s="141"/>
      <c r="F211" s="141"/>
      <c r="G211" s="141"/>
      <c r="H211" s="141"/>
    </row>
    <row r="212" spans="1:8" x14ac:dyDescent="0.35">
      <c r="A212" s="14" t="s">
        <v>584</v>
      </c>
      <c r="B212" s="14" t="s">
        <v>585</v>
      </c>
      <c r="C212" s="214">
        <f>'CSP Budget Detail'!C228-D212</f>
        <v>0</v>
      </c>
      <c r="D212" s="210">
        <f t="shared" si="4"/>
        <v>0</v>
      </c>
      <c r="E212" s="141"/>
      <c r="F212" s="141"/>
      <c r="G212" s="141"/>
      <c r="H212" s="141"/>
    </row>
    <row r="213" spans="1:8" x14ac:dyDescent="0.35">
      <c r="A213" s="14" t="s">
        <v>586</v>
      </c>
      <c r="B213" s="14" t="s">
        <v>587</v>
      </c>
      <c r="C213" s="214">
        <f>'CSP Budget Detail'!C229-D213</f>
        <v>0</v>
      </c>
      <c r="D213" s="210">
        <f t="shared" si="4"/>
        <v>0</v>
      </c>
      <c r="E213" s="141"/>
      <c r="F213" s="141"/>
      <c r="G213" s="141"/>
      <c r="H213" s="141"/>
    </row>
    <row r="214" spans="1:8" x14ac:dyDescent="0.35">
      <c r="A214" s="14" t="s">
        <v>588</v>
      </c>
      <c r="B214" s="14" t="s">
        <v>589</v>
      </c>
      <c r="C214" s="214">
        <f>'CSP Budget Detail'!C230-D214</f>
        <v>0</v>
      </c>
      <c r="D214" s="210">
        <f t="shared" si="4"/>
        <v>0</v>
      </c>
      <c r="E214" s="141"/>
      <c r="F214" s="141"/>
      <c r="G214" s="141"/>
      <c r="H214" s="141"/>
    </row>
    <row r="215" spans="1:8" x14ac:dyDescent="0.35">
      <c r="A215" s="14"/>
      <c r="B215" s="14"/>
      <c r="C215" s="14"/>
      <c r="D215" s="14"/>
      <c r="E215" s="141"/>
      <c r="F215" s="141"/>
      <c r="G215" s="141"/>
      <c r="H215" s="141"/>
    </row>
    <row r="216" spans="1:8" x14ac:dyDescent="0.35">
      <c r="A216" s="14"/>
      <c r="B216" s="14"/>
      <c r="C216" s="14"/>
      <c r="D216" s="14"/>
      <c r="E216" s="141"/>
      <c r="F216" s="141"/>
      <c r="G216" s="141"/>
      <c r="H216" s="141"/>
    </row>
    <row r="217" spans="1:8" ht="15.5" x14ac:dyDescent="0.35">
      <c r="A217" s="142"/>
      <c r="B217" s="143" t="s">
        <v>685</v>
      </c>
      <c r="C217" s="215">
        <f>'CSP Budget Detail'!C235-D217</f>
        <v>70270</v>
      </c>
      <c r="D217" s="212">
        <f>SUM(E217:H217)</f>
        <v>0</v>
      </c>
      <c r="E217" s="144">
        <f>SUM(E203:E216)</f>
        <v>0</v>
      </c>
      <c r="F217" s="144">
        <f>SUM(F203:F216)</f>
        <v>0</v>
      </c>
      <c r="G217" s="144">
        <f>SUM(G203:G216)</f>
        <v>0</v>
      </c>
      <c r="H217" s="144">
        <f>SUM(H203:H216)</f>
        <v>0</v>
      </c>
    </row>
    <row r="218" spans="1:8" ht="15.5" x14ac:dyDescent="0.35">
      <c r="A218" s="14"/>
      <c r="B218" s="136" t="s">
        <v>662</v>
      </c>
      <c r="C218" s="136"/>
      <c r="D218" s="136"/>
      <c r="E218" s="141"/>
      <c r="F218" s="141"/>
      <c r="G218" s="141"/>
      <c r="H218" s="141"/>
    </row>
    <row r="219" spans="1:8" x14ac:dyDescent="0.35">
      <c r="A219" s="14" t="s">
        <v>592</v>
      </c>
      <c r="B219" s="14" t="s">
        <v>593</v>
      </c>
      <c r="C219" s="214">
        <f>'CSP Budget Detail'!C237-D219</f>
        <v>0</v>
      </c>
      <c r="D219" s="211">
        <f>SUM(E219:H219)</f>
        <v>0</v>
      </c>
      <c r="E219" s="141"/>
      <c r="F219" s="141"/>
      <c r="G219" s="141"/>
      <c r="H219" s="141"/>
    </row>
    <row r="220" spans="1:8" x14ac:dyDescent="0.35">
      <c r="A220" s="14" t="s">
        <v>592</v>
      </c>
      <c r="B220" s="14" t="s">
        <v>595</v>
      </c>
      <c r="C220" s="214">
        <f>'CSP Budget Detail'!C238-D220</f>
        <v>0</v>
      </c>
      <c r="D220" s="211">
        <f t="shared" ref="D220:D221" si="5">SUM(E220:H220)</f>
        <v>0</v>
      </c>
      <c r="E220" s="141"/>
      <c r="F220" s="141"/>
      <c r="G220" s="141"/>
      <c r="H220" s="141"/>
    </row>
    <row r="221" spans="1:8" x14ac:dyDescent="0.35">
      <c r="A221" s="14" t="s">
        <v>596</v>
      </c>
      <c r="B221" s="14" t="s">
        <v>597</v>
      </c>
      <c r="C221" s="214">
        <f>'CSP Budget Detail'!C239-D221</f>
        <v>0</v>
      </c>
      <c r="D221" s="211">
        <f t="shared" si="5"/>
        <v>0</v>
      </c>
      <c r="E221" s="141"/>
      <c r="F221" s="141"/>
      <c r="G221" s="141"/>
      <c r="H221" s="141"/>
    </row>
    <row r="222" spans="1:8" x14ac:dyDescent="0.35">
      <c r="A222" s="14" t="s">
        <v>598</v>
      </c>
      <c r="B222" s="14" t="s">
        <v>599</v>
      </c>
      <c r="C222" s="214">
        <f>'CSP Budget Detail'!C240-D222</f>
        <v>0</v>
      </c>
      <c r="D222" s="211">
        <f>SUM(E222:H222)</f>
        <v>0</v>
      </c>
      <c r="E222" s="141"/>
      <c r="F222" s="141"/>
      <c r="G222" s="141"/>
      <c r="H222" s="141"/>
    </row>
    <row r="223" spans="1:8" ht="15.5" x14ac:dyDescent="0.35">
      <c r="A223" s="142"/>
      <c r="B223" s="143" t="s">
        <v>686</v>
      </c>
      <c r="C223" s="215">
        <f>'CSP Budget Detail'!C245-D223</f>
        <v>0</v>
      </c>
      <c r="D223" s="212">
        <f>SUM(E223:H223)</f>
        <v>0</v>
      </c>
      <c r="E223" s="144">
        <f>SUM(E219:E222)</f>
        <v>0</v>
      </c>
      <c r="F223" s="144">
        <f>SUM(F219:F222)</f>
        <v>0</v>
      </c>
      <c r="G223" s="144">
        <f>SUM(G219:G222)</f>
        <v>0</v>
      </c>
      <c r="H223" s="144">
        <f>SUM(H219:H222)</f>
        <v>0</v>
      </c>
    </row>
    <row r="224" spans="1:8" ht="15.5" x14ac:dyDescent="0.35">
      <c r="A224" s="147"/>
      <c r="B224" s="136" t="s">
        <v>664</v>
      </c>
      <c r="C224" s="136"/>
      <c r="D224" s="136"/>
      <c r="E224" s="141"/>
      <c r="F224" s="141"/>
      <c r="G224" s="141"/>
      <c r="H224" s="141"/>
    </row>
    <row r="225" spans="1:8" x14ac:dyDescent="0.35">
      <c r="A225" s="14" t="s">
        <v>602</v>
      </c>
      <c r="B225" s="14" t="s">
        <v>603</v>
      </c>
      <c r="C225" s="214">
        <f>'CSP Budget Detail'!C247-D225</f>
        <v>0</v>
      </c>
      <c r="D225" s="211">
        <f>SUM(E225:H225)</f>
        <v>0</v>
      </c>
      <c r="E225" s="141"/>
      <c r="F225" s="141"/>
      <c r="G225" s="141"/>
      <c r="H225" s="141"/>
    </row>
    <row r="226" spans="1:8" x14ac:dyDescent="0.35">
      <c r="A226" s="14" t="s">
        <v>602</v>
      </c>
      <c r="B226" s="14" t="s">
        <v>605</v>
      </c>
      <c r="C226" s="214">
        <f>'CSP Budget Detail'!C248-D226</f>
        <v>0</v>
      </c>
      <c r="D226" s="211">
        <f t="shared" ref="D226:D228" si="6">SUM(E226:H226)</f>
        <v>0</v>
      </c>
      <c r="E226" s="141"/>
      <c r="F226" s="141"/>
      <c r="G226" s="141"/>
      <c r="H226" s="141"/>
    </row>
    <row r="227" spans="1:8" x14ac:dyDescent="0.35">
      <c r="A227" s="14" t="s">
        <v>606</v>
      </c>
      <c r="B227" s="14" t="s">
        <v>607</v>
      </c>
      <c r="C227" s="214">
        <f>'CSP Budget Detail'!C249-D227</f>
        <v>0</v>
      </c>
      <c r="D227" s="211">
        <f t="shared" si="6"/>
        <v>0</v>
      </c>
      <c r="E227" s="141"/>
      <c r="F227" s="141"/>
      <c r="G227" s="141"/>
      <c r="H227" s="141"/>
    </row>
    <row r="228" spans="1:8" x14ac:dyDescent="0.35">
      <c r="A228" s="14" t="s">
        <v>608</v>
      </c>
      <c r="B228" s="14" t="s">
        <v>609</v>
      </c>
      <c r="C228" s="214">
        <f>'CSP Budget Detail'!C250-D228</f>
        <v>0</v>
      </c>
      <c r="D228" s="211">
        <f t="shared" si="6"/>
        <v>0</v>
      </c>
      <c r="E228" s="141"/>
      <c r="F228" s="141"/>
      <c r="G228" s="141"/>
      <c r="H228" s="141"/>
    </row>
    <row r="229" spans="1:8" ht="15.5" x14ac:dyDescent="0.35">
      <c r="A229" s="142"/>
      <c r="B229" s="143" t="s">
        <v>687</v>
      </c>
      <c r="C229" s="215">
        <f>'CSP Budget Detail'!C255-D229</f>
        <v>0</v>
      </c>
      <c r="D229" s="212">
        <f>SUM(E229:H229)</f>
        <v>0</v>
      </c>
      <c r="E229" s="144">
        <f>SUM(E225:E228)</f>
        <v>0</v>
      </c>
      <c r="F229" s="144">
        <f>SUM(F225:F228)</f>
        <v>0</v>
      </c>
      <c r="G229" s="144">
        <f>SUM(G225:G228)</f>
        <v>0</v>
      </c>
      <c r="H229" s="144">
        <f>SUM(H225:H228)</f>
        <v>0</v>
      </c>
    </row>
    <row r="230" spans="1:8" ht="15.5" x14ac:dyDescent="0.35">
      <c r="A230" s="14"/>
      <c r="B230" s="136" t="s">
        <v>665</v>
      </c>
      <c r="C230" s="136"/>
      <c r="D230" s="136"/>
      <c r="E230" s="141"/>
      <c r="F230" s="141"/>
      <c r="G230" s="141"/>
      <c r="H230" s="141"/>
    </row>
    <row r="231" spans="1:8" x14ac:dyDescent="0.35">
      <c r="A231" s="14" t="s">
        <v>602</v>
      </c>
      <c r="B231" s="14" t="s">
        <v>612</v>
      </c>
      <c r="C231" s="214">
        <f>'CSP Budget Detail'!C258-'Monthly Expense Summary Y1P '!D231</f>
        <v>0</v>
      </c>
      <c r="D231" s="211">
        <f>SUM(E231:H231)</f>
        <v>0</v>
      </c>
      <c r="E231" s="141"/>
      <c r="F231" s="141"/>
      <c r="G231" s="141"/>
      <c r="H231" s="141"/>
    </row>
    <row r="232" spans="1:8" x14ac:dyDescent="0.35">
      <c r="A232" s="14" t="s">
        <v>602</v>
      </c>
      <c r="B232" s="14" t="s">
        <v>614</v>
      </c>
      <c r="C232" s="214">
        <f>'CSP Budget Detail'!C259-'Monthly Expense Summary Y1P '!D232</f>
        <v>0</v>
      </c>
      <c r="D232" s="211">
        <f t="shared" ref="D232:D234" si="7">SUM(E232:H232)</f>
        <v>0</v>
      </c>
      <c r="E232" s="141"/>
      <c r="F232" s="141"/>
      <c r="G232" s="141"/>
      <c r="H232" s="141"/>
    </row>
    <row r="233" spans="1:8" x14ac:dyDescent="0.35">
      <c r="A233" s="14" t="s">
        <v>606</v>
      </c>
      <c r="B233" s="14" t="s">
        <v>615</v>
      </c>
      <c r="C233" s="214">
        <f>'CSP Budget Detail'!C260-'Monthly Expense Summary Y1P '!D233</f>
        <v>0</v>
      </c>
      <c r="D233" s="211">
        <f t="shared" si="7"/>
        <v>0</v>
      </c>
      <c r="E233" s="141"/>
      <c r="F233" s="141"/>
      <c r="G233" s="141"/>
      <c r="H233" s="141"/>
    </row>
    <row r="234" spans="1:8" x14ac:dyDescent="0.35">
      <c r="A234" s="14" t="s">
        <v>608</v>
      </c>
      <c r="B234" s="14" t="s">
        <v>616</v>
      </c>
      <c r="C234" s="214">
        <f>'CSP Budget Detail'!C261-'Monthly Expense Summary Y1P '!D234</f>
        <v>0</v>
      </c>
      <c r="D234" s="211">
        <f t="shared" si="7"/>
        <v>0</v>
      </c>
      <c r="E234" s="141"/>
      <c r="F234" s="141"/>
      <c r="G234" s="141"/>
      <c r="H234" s="141"/>
    </row>
    <row r="235" spans="1:8" ht="15.5" x14ac:dyDescent="0.35">
      <c r="A235" s="142"/>
      <c r="B235" s="143" t="s">
        <v>688</v>
      </c>
      <c r="C235" s="215">
        <f>'CSP Budget Detail'!C266-'Monthly Expense Summary Y1P '!D235</f>
        <v>0</v>
      </c>
      <c r="D235" s="212">
        <f>SUM(E235:H235)</f>
        <v>0</v>
      </c>
      <c r="E235" s="144">
        <f>SUM(E231:E234)</f>
        <v>0</v>
      </c>
      <c r="F235" s="144">
        <f>SUM(F231:F234)</f>
        <v>0</v>
      </c>
      <c r="G235" s="144">
        <f>SUM(G231:G234)</f>
        <v>0</v>
      </c>
      <c r="H235" s="144">
        <f>SUM(H231:H234)</f>
        <v>0</v>
      </c>
    </row>
    <row r="236" spans="1:8" ht="15.5" x14ac:dyDescent="0.35">
      <c r="A236" s="14"/>
      <c r="B236" s="136" t="s">
        <v>666</v>
      </c>
      <c r="C236" s="136"/>
      <c r="D236" s="136"/>
      <c r="E236" s="141"/>
      <c r="F236" s="141"/>
      <c r="G236" s="141"/>
      <c r="H236" s="141"/>
    </row>
    <row r="237" spans="1:8" x14ac:dyDescent="0.35">
      <c r="A237" s="14" t="s">
        <v>620</v>
      </c>
      <c r="B237" s="14" t="s">
        <v>549</v>
      </c>
      <c r="C237" s="214">
        <f>'CSP Budget Detail'!C269-'Monthly Expense Summary Y1P '!D237</f>
        <v>0</v>
      </c>
      <c r="D237" s="211">
        <f>SUM(E237:H237)</f>
        <v>0</v>
      </c>
      <c r="E237" s="141"/>
      <c r="F237" s="141"/>
      <c r="G237" s="141"/>
      <c r="H237" s="141"/>
    </row>
    <row r="238" spans="1:8" x14ac:dyDescent="0.35">
      <c r="A238" s="14" t="s">
        <v>620</v>
      </c>
      <c r="B238" s="14" t="s">
        <v>550</v>
      </c>
      <c r="C238" s="214">
        <f>'CSP Budget Detail'!C270-'Monthly Expense Summary Y1P '!D238</f>
        <v>0</v>
      </c>
      <c r="D238" s="211">
        <f t="shared" ref="D238:D240" si="8">SUM(E238:H238)</f>
        <v>0</v>
      </c>
      <c r="E238" s="141"/>
      <c r="F238" s="141"/>
      <c r="G238" s="141"/>
      <c r="H238" s="141"/>
    </row>
    <row r="239" spans="1:8" x14ac:dyDescent="0.35">
      <c r="A239" s="14" t="s">
        <v>622</v>
      </c>
      <c r="B239" s="14" t="s">
        <v>552</v>
      </c>
      <c r="C239" s="214">
        <f>'CSP Budget Detail'!C271-'Monthly Expense Summary Y1P '!D239</f>
        <v>0</v>
      </c>
      <c r="D239" s="211">
        <f t="shared" si="8"/>
        <v>0</v>
      </c>
      <c r="E239" s="141"/>
      <c r="F239" s="141"/>
      <c r="G239" s="141"/>
      <c r="H239" s="141"/>
    </row>
    <row r="240" spans="1:8" x14ac:dyDescent="0.35">
      <c r="A240" s="14" t="s">
        <v>623</v>
      </c>
      <c r="B240" s="14" t="s">
        <v>554</v>
      </c>
      <c r="C240" s="214">
        <f>'CSP Budget Detail'!C272-'Monthly Expense Summary Y1P '!D240</f>
        <v>0</v>
      </c>
      <c r="D240" s="211">
        <f t="shared" si="8"/>
        <v>0</v>
      </c>
      <c r="E240" s="141"/>
      <c r="F240" s="141"/>
      <c r="G240" s="141"/>
      <c r="H240" s="141"/>
    </row>
    <row r="241" spans="1:8" ht="15.5" x14ac:dyDescent="0.35">
      <c r="A241" s="142"/>
      <c r="B241" s="143" t="s">
        <v>689</v>
      </c>
      <c r="C241" s="215">
        <f>'CSP Budget Detail'!C277-'Monthly Expense Summary Y1P '!D241</f>
        <v>0</v>
      </c>
      <c r="D241" s="212">
        <f>SUM(E241:H241)</f>
        <v>0</v>
      </c>
      <c r="E241" s="144">
        <f>SUM(E237:E240)</f>
        <v>0</v>
      </c>
      <c r="F241" s="144">
        <f>SUM(F237:F240)</f>
        <v>0</v>
      </c>
      <c r="G241" s="144">
        <f>SUM(G237:G240)</f>
        <v>0</v>
      </c>
      <c r="H241" s="144">
        <f>SUM(H237:H240)</f>
        <v>0</v>
      </c>
    </row>
    <row r="242" spans="1:8" ht="15.5" x14ac:dyDescent="0.35">
      <c r="A242" s="135"/>
      <c r="B242" s="136" t="s">
        <v>667</v>
      </c>
      <c r="C242" s="136"/>
      <c r="D242" s="136"/>
      <c r="E242" s="141"/>
      <c r="F242" s="141"/>
      <c r="G242" s="141"/>
      <c r="H242" s="141"/>
    </row>
    <row r="243" spans="1:8" x14ac:dyDescent="0.35">
      <c r="A243" s="14" t="s">
        <v>627</v>
      </c>
      <c r="B243" s="14" t="s">
        <v>628</v>
      </c>
      <c r="C243" s="214">
        <f>'CSP Budget Detail'!C279-'Monthly Expense Summary Y1P '!D243</f>
        <v>0</v>
      </c>
      <c r="D243" s="211">
        <f>SUM(E243:H243)</f>
        <v>0</v>
      </c>
      <c r="E243" s="141"/>
      <c r="F243" s="141"/>
      <c r="G243" s="141"/>
      <c r="H243" s="141"/>
    </row>
    <row r="244" spans="1:8" x14ac:dyDescent="0.35">
      <c r="A244" s="14" t="s">
        <v>627</v>
      </c>
      <c r="B244" s="14" t="s">
        <v>630</v>
      </c>
      <c r="C244" s="214">
        <f>'CSP Budget Detail'!C280-'Monthly Expense Summary Y1P '!D244</f>
        <v>0</v>
      </c>
      <c r="D244" s="211">
        <f t="shared" ref="D244:D246" si="9">SUM(E244:H244)</f>
        <v>0</v>
      </c>
      <c r="E244" s="141"/>
      <c r="F244" s="141"/>
      <c r="G244" s="141"/>
      <c r="H244" s="141"/>
    </row>
    <row r="245" spans="1:8" x14ac:dyDescent="0.35">
      <c r="A245" s="14" t="s">
        <v>631</v>
      </c>
      <c r="B245" s="14" t="s">
        <v>632</v>
      </c>
      <c r="C245" s="214">
        <f>'CSP Budget Detail'!C281-'Monthly Expense Summary Y1P '!D245</f>
        <v>0</v>
      </c>
      <c r="D245" s="211">
        <f t="shared" si="9"/>
        <v>0</v>
      </c>
      <c r="E245" s="141"/>
      <c r="F245" s="141"/>
      <c r="G245" s="141"/>
      <c r="H245" s="141"/>
    </row>
    <row r="246" spans="1:8" x14ac:dyDescent="0.35">
      <c r="A246" s="14" t="s">
        <v>633</v>
      </c>
      <c r="B246" s="14" t="s">
        <v>634</v>
      </c>
      <c r="C246" s="214">
        <f>'CSP Budget Detail'!C282-'Monthly Expense Summary Y1P '!D246</f>
        <v>0</v>
      </c>
      <c r="D246" s="211">
        <f t="shared" si="9"/>
        <v>0</v>
      </c>
      <c r="E246" s="141"/>
      <c r="F246" s="141"/>
      <c r="G246" s="141"/>
      <c r="H246" s="141"/>
    </row>
    <row r="247" spans="1:8" ht="15.5" x14ac:dyDescent="0.35">
      <c r="A247" s="142"/>
      <c r="B247" s="143" t="s">
        <v>690</v>
      </c>
      <c r="C247" s="215">
        <f>'CSP Budget Detail'!C287-'Monthly Expense Summary Y1P '!D247</f>
        <v>0</v>
      </c>
      <c r="D247" s="212">
        <f>SUM(E247:H247)</f>
        <v>0</v>
      </c>
      <c r="E247" s="144">
        <f>SUM(E243:E246)</f>
        <v>0</v>
      </c>
      <c r="F247" s="144">
        <f>SUM(F243:F246)</f>
        <v>0</v>
      </c>
      <c r="G247" s="144">
        <f>SUM(G243:G246)</f>
        <v>0</v>
      </c>
      <c r="H247" s="144">
        <f>SUM(H243:H246)</f>
        <v>0</v>
      </c>
    </row>
    <row r="248" spans="1:8" ht="15.5" x14ac:dyDescent="0.35">
      <c r="A248" s="135"/>
      <c r="B248" s="136" t="s">
        <v>668</v>
      </c>
      <c r="C248" s="136"/>
      <c r="D248" s="136"/>
      <c r="E248" s="141"/>
      <c r="F248" s="141"/>
      <c r="G248" s="141"/>
      <c r="H248" s="141"/>
    </row>
    <row r="249" spans="1:8" x14ac:dyDescent="0.35">
      <c r="A249" s="11" t="s">
        <v>637</v>
      </c>
      <c r="B249" s="11" t="s">
        <v>638</v>
      </c>
      <c r="C249" s="218">
        <f>'CSP Budget Detail'!C289-'Monthly Expense Summary Y1P '!D249</f>
        <v>24500</v>
      </c>
      <c r="D249" s="211">
        <f>SUM(E249:H249)</f>
        <v>0</v>
      </c>
      <c r="E249" s="141"/>
      <c r="F249" s="141"/>
      <c r="G249" s="141"/>
      <c r="H249" s="141"/>
    </row>
    <row r="250" spans="1:8" ht="15.5" x14ac:dyDescent="0.35">
      <c r="A250" s="148"/>
      <c r="B250" s="143" t="s">
        <v>691</v>
      </c>
      <c r="C250" s="215">
        <f>'CSP Budget Detail'!C293-'Monthly Expense Summary Y1P '!D250</f>
        <v>24500</v>
      </c>
      <c r="D250" s="212">
        <f>SUM(E250:H250)</f>
        <v>0</v>
      </c>
      <c r="E250" s="144">
        <f>SUM(E249)</f>
        <v>0</v>
      </c>
      <c r="F250" s="144">
        <f>SUM(F249)</f>
        <v>0</v>
      </c>
      <c r="G250" s="144">
        <f>SUM(G249)</f>
        <v>0</v>
      </c>
      <c r="H250" s="144">
        <f>SUM(H249)</f>
        <v>0</v>
      </c>
    </row>
    <row r="251" spans="1:8" ht="15.5" x14ac:dyDescent="0.35">
      <c r="A251" s="135"/>
      <c r="B251" s="136" t="s">
        <v>669</v>
      </c>
      <c r="C251" s="136"/>
      <c r="D251" s="136"/>
      <c r="E251" s="141"/>
      <c r="F251" s="141"/>
      <c r="G251" s="141"/>
      <c r="H251" s="141"/>
    </row>
    <row r="252" spans="1:8" x14ac:dyDescent="0.35">
      <c r="A252" s="12" t="s">
        <v>642</v>
      </c>
      <c r="B252" s="12" t="s">
        <v>643</v>
      </c>
      <c r="C252" s="219">
        <f>'CSP Budget Detail'!C295-'Monthly Expense Summary Y1P '!D252</f>
        <v>0</v>
      </c>
      <c r="D252" s="211">
        <f>SUM(E252:H252)</f>
        <v>0</v>
      </c>
      <c r="E252" s="141"/>
      <c r="F252" s="141"/>
      <c r="G252" s="141"/>
      <c r="H252" s="141"/>
    </row>
    <row r="253" spans="1:8" ht="15.5" x14ac:dyDescent="0.35">
      <c r="A253" s="149"/>
      <c r="B253" s="143" t="s">
        <v>692</v>
      </c>
      <c r="C253" s="215">
        <f>'CSP Budget Detail'!C299-'Monthly Expense Summary Y1P '!D253</f>
        <v>0</v>
      </c>
      <c r="D253" s="212">
        <f>SUM(E253:H253)</f>
        <v>0</v>
      </c>
      <c r="E253" s="144">
        <f>SUM(E252)</f>
        <v>0</v>
      </c>
      <c r="F253" s="144">
        <f>SUM(F252)</f>
        <v>0</v>
      </c>
      <c r="G253" s="144">
        <f>SUM(G252)</f>
        <v>0</v>
      </c>
      <c r="H253" s="144">
        <f>SUM(H252)</f>
        <v>0</v>
      </c>
    </row>
    <row r="254" spans="1:8" ht="15.5" x14ac:dyDescent="0.35">
      <c r="A254" s="135"/>
      <c r="B254" s="150" t="s">
        <v>670</v>
      </c>
      <c r="C254" s="150"/>
      <c r="D254" s="150"/>
      <c r="E254" s="141"/>
      <c r="F254" s="141"/>
      <c r="G254" s="141"/>
      <c r="H254" s="141"/>
    </row>
    <row r="255" spans="1:8" x14ac:dyDescent="0.35">
      <c r="A255" s="12" t="s">
        <v>647</v>
      </c>
      <c r="B255" s="12" t="s">
        <v>648</v>
      </c>
      <c r="C255" s="219">
        <f>'CSP Budget Detail'!C301-'Monthly Expense Summary Y1P '!D255</f>
        <v>0</v>
      </c>
      <c r="D255" s="211">
        <f>SUM(E255:H255)</f>
        <v>0</v>
      </c>
      <c r="E255" s="141"/>
      <c r="F255" s="141"/>
      <c r="G255" s="141"/>
      <c r="H255" s="141"/>
    </row>
    <row r="256" spans="1:8" ht="15.5" x14ac:dyDescent="0.35">
      <c r="A256" s="149"/>
      <c r="B256" s="143" t="s">
        <v>693</v>
      </c>
      <c r="C256" s="215">
        <f>'CSP Budget Detail'!C304-'Monthly Expense Summary Y1P '!D256</f>
        <v>0</v>
      </c>
      <c r="D256" s="212">
        <f>SUM(E256:H256)</f>
        <v>0</v>
      </c>
      <c r="E256" s="144">
        <f>SUM(E255)</f>
        <v>0</v>
      </c>
      <c r="F256" s="144">
        <f>SUM(F255)</f>
        <v>0</v>
      </c>
      <c r="G256" s="144">
        <f>SUM(G255)</f>
        <v>0</v>
      </c>
      <c r="H256" s="144">
        <f>SUM(H255)</f>
        <v>0</v>
      </c>
    </row>
  </sheetData>
  <mergeCells count="1">
    <mergeCell ref="C4:D4"/>
  </mergeCells>
  <dataValidations disablePrompts="1" count="1">
    <dataValidation type="date" operator="greaterThan" allowBlank="1" showInputMessage="1" showErrorMessage="1" sqref="E5:H5" xr:uid="{7DB3A15F-5046-1F4A-8999-B1723A0B5115}">
      <formula1>43585</formula1>
    </dataValidation>
  </dataValidations>
  <hyperlinks>
    <hyperlink ref="E2" r:id="rId1" xr:uid="{562095B3-61B6-9340-9AAE-96AB4B0C70E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BDB05-A25A-1D49-8006-55A2A1919F2C}">
  <dimension ref="B1:O1007"/>
  <sheetViews>
    <sheetView workbookViewId="0">
      <selection activeCell="D27" sqref="D27"/>
    </sheetView>
  </sheetViews>
  <sheetFormatPr defaultColWidth="14.453125" defaultRowHeight="14.5" x14ac:dyDescent="0.35"/>
  <cols>
    <col min="1" max="1" width="1.6328125" style="151" customWidth="1"/>
    <col min="2" max="2" width="25.453125" style="151" customWidth="1"/>
    <col min="3" max="3" width="16.1796875" style="151" customWidth="1"/>
    <col min="4" max="4" width="27.1796875" style="151" customWidth="1"/>
    <col min="5" max="5" width="11.453125" style="151" customWidth="1"/>
    <col min="6" max="6" width="14.6328125" style="151" customWidth="1"/>
    <col min="7" max="7" width="14.1796875" style="151" customWidth="1"/>
    <col min="8" max="8" width="13.36328125" style="151" customWidth="1"/>
    <col min="9" max="9" width="13.1796875" style="151" customWidth="1"/>
    <col min="10" max="10" width="11.81640625" style="151" customWidth="1"/>
    <col min="11" max="11" width="17.1796875" style="151" customWidth="1"/>
    <col min="12" max="12" width="25.36328125" style="152" customWidth="1"/>
    <col min="13" max="14" width="19.36328125" style="151" customWidth="1"/>
    <col min="15" max="15" width="19.1796875" style="151" customWidth="1"/>
    <col min="16" max="26" width="9.1796875" style="151" customWidth="1"/>
    <col min="27" max="16384" width="14.453125" style="151"/>
  </cols>
  <sheetData>
    <row r="1" spans="2:15" ht="9.75" customHeight="1" thickBot="1" x14ac:dyDescent="0.4"/>
    <row r="2" spans="2:15" ht="15" customHeight="1" thickBot="1" x14ac:dyDescent="0.4">
      <c r="B2" s="249" t="s">
        <v>694</v>
      </c>
      <c r="C2" s="250"/>
      <c r="D2" s="251"/>
    </row>
    <row r="3" spans="2:15" ht="15" customHeight="1" x14ac:dyDescent="0.35">
      <c r="B3" s="153"/>
      <c r="C3" s="252" t="s">
        <v>695</v>
      </c>
      <c r="D3" s="253"/>
    </row>
    <row r="4" spans="2:15" ht="15" customHeight="1" thickBot="1" x14ac:dyDescent="0.5">
      <c r="B4" s="154"/>
      <c r="C4" s="254" t="s">
        <v>696</v>
      </c>
      <c r="D4" s="255"/>
    </row>
    <row r="5" spans="2:15" ht="15" customHeight="1" thickBot="1" x14ac:dyDescent="0.4"/>
    <row r="6" spans="2:15" ht="14.25" customHeight="1" thickBot="1" x14ac:dyDescent="0.4">
      <c r="B6" s="155" t="s">
        <v>697</v>
      </c>
      <c r="C6" s="156"/>
      <c r="D6" s="156"/>
      <c r="E6" s="157"/>
      <c r="F6" s="157"/>
      <c r="G6" s="157"/>
      <c r="H6" s="157"/>
      <c r="I6" s="157"/>
      <c r="J6" s="157"/>
      <c r="K6" s="157"/>
      <c r="L6" s="158"/>
      <c r="M6" s="157"/>
      <c r="N6" s="157"/>
      <c r="O6" s="159"/>
    </row>
    <row r="7" spans="2:15" ht="14.25" customHeight="1" x14ac:dyDescent="0.35">
      <c r="B7" s="160"/>
      <c r="C7" s="161"/>
      <c r="D7" s="161"/>
      <c r="E7" s="161"/>
      <c r="F7" s="161"/>
      <c r="G7" s="161"/>
      <c r="H7" s="161"/>
      <c r="I7" s="162" t="s">
        <v>698</v>
      </c>
      <c r="J7" s="163">
        <f>+SUM(J9:J44)</f>
        <v>0</v>
      </c>
      <c r="K7" s="161"/>
      <c r="L7" s="164"/>
      <c r="M7" s="161"/>
      <c r="N7" s="161"/>
      <c r="O7" s="165"/>
    </row>
    <row r="8" spans="2:15" ht="52.25" customHeight="1" x14ac:dyDescent="0.35">
      <c r="B8" s="166" t="s">
        <v>699</v>
      </c>
      <c r="C8" s="167" t="s">
        <v>700</v>
      </c>
      <c r="D8" s="168" t="s">
        <v>701</v>
      </c>
      <c r="E8" s="167" t="s">
        <v>702</v>
      </c>
      <c r="F8" s="167" t="s">
        <v>703</v>
      </c>
      <c r="G8" s="167" t="s">
        <v>704</v>
      </c>
      <c r="H8" s="167" t="s">
        <v>705</v>
      </c>
      <c r="I8" s="167" t="s">
        <v>706</v>
      </c>
      <c r="J8" s="167" t="s">
        <v>707</v>
      </c>
      <c r="K8" s="167" t="s">
        <v>708</v>
      </c>
      <c r="L8" s="167" t="s">
        <v>709</v>
      </c>
      <c r="M8" s="167" t="s">
        <v>710</v>
      </c>
      <c r="N8" s="167" t="s">
        <v>711</v>
      </c>
      <c r="O8" s="169" t="s">
        <v>712</v>
      </c>
    </row>
    <row r="9" spans="2:15" ht="14.25" customHeight="1" x14ac:dyDescent="0.35">
      <c r="B9" s="170"/>
      <c r="C9" s="171"/>
      <c r="D9" s="171"/>
      <c r="E9" s="171"/>
      <c r="F9" s="172"/>
      <c r="G9" s="172"/>
      <c r="H9" s="173"/>
      <c r="I9" s="174"/>
      <c r="J9" s="175"/>
      <c r="K9" s="176"/>
      <c r="L9" s="177"/>
      <c r="M9" s="178"/>
      <c r="N9" s="178"/>
      <c r="O9" s="179"/>
    </row>
    <row r="10" spans="2:15" ht="14.25" customHeight="1" x14ac:dyDescent="0.35">
      <c r="B10" s="170"/>
      <c r="C10" s="171"/>
      <c r="D10" s="180"/>
      <c r="E10" s="171"/>
      <c r="F10" s="172"/>
      <c r="G10" s="172"/>
      <c r="H10" s="173"/>
      <c r="I10" s="174"/>
      <c r="J10" s="181"/>
      <c r="K10" s="176"/>
      <c r="L10" s="177"/>
      <c r="M10" s="178"/>
      <c r="N10" s="178"/>
      <c r="O10" s="179"/>
    </row>
    <row r="11" spans="2:15" ht="14.25" customHeight="1" x14ac:dyDescent="0.35">
      <c r="B11" s="170"/>
      <c r="C11" s="171"/>
      <c r="D11" s="171"/>
      <c r="E11" s="171"/>
      <c r="F11" s="172"/>
      <c r="G11" s="172"/>
      <c r="H11" s="173"/>
      <c r="I11" s="174"/>
      <c r="J11" s="175"/>
      <c r="K11" s="176"/>
      <c r="L11" s="177"/>
      <c r="M11" s="178"/>
      <c r="N11" s="178"/>
      <c r="O11" s="179"/>
    </row>
    <row r="12" spans="2:15" ht="14.25" customHeight="1" x14ac:dyDescent="0.35">
      <c r="B12" s="170"/>
      <c r="C12" s="171"/>
      <c r="D12" s="171"/>
      <c r="E12" s="171"/>
      <c r="F12" s="172"/>
      <c r="G12" s="172"/>
      <c r="H12" s="173"/>
      <c r="I12" s="174"/>
      <c r="J12" s="175"/>
      <c r="K12" s="176"/>
      <c r="L12" s="177"/>
      <c r="M12" s="178"/>
      <c r="N12" s="178"/>
      <c r="O12" s="179"/>
    </row>
    <row r="13" spans="2:15" ht="14.25" customHeight="1" x14ac:dyDescent="0.35">
      <c r="B13" s="170"/>
      <c r="C13" s="171"/>
      <c r="D13" s="171"/>
      <c r="E13" s="171"/>
      <c r="F13" s="172"/>
      <c r="G13" s="172"/>
      <c r="H13" s="173"/>
      <c r="I13" s="174"/>
      <c r="J13" s="175"/>
      <c r="K13" s="176"/>
      <c r="L13" s="177"/>
      <c r="M13" s="178"/>
      <c r="N13" s="178"/>
      <c r="O13" s="179"/>
    </row>
    <row r="14" spans="2:15" ht="14.25" customHeight="1" x14ac:dyDescent="0.35">
      <c r="B14" s="170"/>
      <c r="C14" s="171"/>
      <c r="D14" s="171"/>
      <c r="E14" s="171"/>
      <c r="F14" s="172"/>
      <c r="G14" s="172"/>
      <c r="H14" s="173"/>
      <c r="I14" s="174"/>
      <c r="J14" s="175"/>
      <c r="K14" s="176"/>
      <c r="L14" s="177"/>
      <c r="M14" s="178"/>
      <c r="N14" s="178"/>
      <c r="O14" s="179"/>
    </row>
    <row r="15" spans="2:15" ht="14.25" customHeight="1" x14ac:dyDescent="0.35">
      <c r="B15" s="170"/>
      <c r="C15" s="171"/>
      <c r="D15" s="171"/>
      <c r="E15" s="171"/>
      <c r="F15" s="172"/>
      <c r="G15" s="172"/>
      <c r="H15" s="173"/>
      <c r="I15" s="174"/>
      <c r="J15" s="181"/>
      <c r="K15" s="176"/>
      <c r="L15" s="177"/>
      <c r="M15" s="178"/>
      <c r="N15" s="178"/>
      <c r="O15" s="179"/>
    </row>
    <row r="16" spans="2:15" ht="14.25" customHeight="1" x14ac:dyDescent="0.35">
      <c r="B16" s="170"/>
      <c r="C16" s="171"/>
      <c r="D16" s="182"/>
      <c r="E16" s="171"/>
      <c r="F16" s="172"/>
      <c r="G16" s="172"/>
      <c r="H16" s="173"/>
      <c r="I16" s="174"/>
      <c r="J16" s="175"/>
      <c r="K16" s="176"/>
      <c r="L16" s="177"/>
      <c r="M16" s="178"/>
      <c r="N16" s="178"/>
      <c r="O16" s="179"/>
    </row>
    <row r="17" spans="2:15" ht="14.25" customHeight="1" x14ac:dyDescent="0.35">
      <c r="B17" s="170"/>
      <c r="C17" s="171"/>
      <c r="D17" s="182"/>
      <c r="E17" s="171"/>
      <c r="F17" s="172"/>
      <c r="G17" s="172"/>
      <c r="H17" s="173"/>
      <c r="I17" s="174"/>
      <c r="J17" s="175"/>
      <c r="K17" s="176"/>
      <c r="L17" s="177"/>
      <c r="M17" s="178"/>
      <c r="N17" s="178"/>
      <c r="O17" s="179"/>
    </row>
    <row r="18" spans="2:15" ht="14.25" customHeight="1" x14ac:dyDescent="0.35">
      <c r="B18" s="170"/>
      <c r="C18" s="171"/>
      <c r="D18" s="182"/>
      <c r="E18" s="171"/>
      <c r="F18" s="172"/>
      <c r="G18" s="172"/>
      <c r="H18" s="173"/>
      <c r="I18" s="174"/>
      <c r="J18" s="175"/>
      <c r="K18" s="176"/>
      <c r="L18" s="177"/>
      <c r="M18" s="178"/>
      <c r="N18" s="178"/>
      <c r="O18" s="179"/>
    </row>
    <row r="19" spans="2:15" ht="14.25" customHeight="1" x14ac:dyDescent="0.35">
      <c r="B19" s="170"/>
      <c r="C19" s="171"/>
      <c r="D19" s="182"/>
      <c r="E19" s="171"/>
      <c r="F19" s="172"/>
      <c r="G19" s="172"/>
      <c r="H19" s="173"/>
      <c r="I19" s="174"/>
      <c r="J19" s="175"/>
      <c r="K19" s="176"/>
      <c r="L19" s="177"/>
      <c r="M19" s="178"/>
      <c r="N19" s="178"/>
      <c r="O19" s="179"/>
    </row>
    <row r="20" spans="2:15" ht="14.25" customHeight="1" x14ac:dyDescent="0.35">
      <c r="B20" s="170"/>
      <c r="C20" s="171"/>
      <c r="D20" s="171"/>
      <c r="E20" s="171"/>
      <c r="F20" s="172"/>
      <c r="G20" s="172"/>
      <c r="H20" s="173"/>
      <c r="I20" s="174"/>
      <c r="J20" s="175"/>
      <c r="K20" s="176"/>
      <c r="L20" s="177"/>
      <c r="M20" s="178"/>
      <c r="N20" s="178"/>
      <c r="O20" s="179"/>
    </row>
    <row r="21" spans="2:15" ht="14.25" customHeight="1" x14ac:dyDescent="0.35">
      <c r="B21" s="170"/>
      <c r="C21" s="171"/>
      <c r="D21" s="180"/>
      <c r="E21" s="171"/>
      <c r="F21" s="172"/>
      <c r="G21" s="172"/>
      <c r="H21" s="173"/>
      <c r="I21" s="174"/>
      <c r="J21" s="175"/>
      <c r="K21" s="176"/>
      <c r="L21" s="177"/>
      <c r="M21" s="178"/>
      <c r="N21" s="178"/>
      <c r="O21" s="179"/>
    </row>
    <row r="22" spans="2:15" ht="14.25" customHeight="1" x14ac:dyDescent="0.35">
      <c r="B22" s="170"/>
      <c r="C22" s="171"/>
      <c r="D22" s="171"/>
      <c r="E22" s="171"/>
      <c r="F22" s="172"/>
      <c r="G22" s="172"/>
      <c r="H22" s="173"/>
      <c r="I22" s="174"/>
      <c r="J22" s="175"/>
      <c r="K22" s="176"/>
      <c r="L22" s="177"/>
      <c r="M22" s="178"/>
      <c r="N22" s="178"/>
      <c r="O22" s="179"/>
    </row>
    <row r="23" spans="2:15" ht="14.25" customHeight="1" x14ac:dyDescent="0.35">
      <c r="B23" s="170"/>
      <c r="C23" s="171"/>
      <c r="D23" s="171"/>
      <c r="E23" s="171"/>
      <c r="F23" s="172"/>
      <c r="G23" s="172"/>
      <c r="H23" s="173"/>
      <c r="I23" s="174"/>
      <c r="J23" s="175"/>
      <c r="K23" s="176"/>
      <c r="L23" s="177"/>
      <c r="M23" s="178"/>
      <c r="N23" s="178"/>
      <c r="O23" s="179"/>
    </row>
    <row r="24" spans="2:15" ht="14.25" customHeight="1" x14ac:dyDescent="0.35">
      <c r="B24" s="170"/>
      <c r="C24" s="171"/>
      <c r="D24" s="171"/>
      <c r="E24" s="171"/>
      <c r="F24" s="172"/>
      <c r="G24" s="172"/>
      <c r="H24" s="173"/>
      <c r="I24" s="174"/>
      <c r="J24" s="175"/>
      <c r="K24" s="176"/>
      <c r="L24" s="177"/>
      <c r="M24" s="178"/>
      <c r="N24" s="178"/>
      <c r="O24" s="179"/>
    </row>
    <row r="25" spans="2:15" ht="14.25" customHeight="1" x14ac:dyDescent="0.35">
      <c r="B25" s="170"/>
      <c r="C25" s="171"/>
      <c r="D25" s="171"/>
      <c r="E25" s="171"/>
      <c r="F25" s="172"/>
      <c r="G25" s="172"/>
      <c r="H25" s="173"/>
      <c r="I25" s="174"/>
      <c r="J25" s="175"/>
      <c r="K25" s="176"/>
      <c r="L25" s="177"/>
      <c r="M25" s="178"/>
      <c r="N25" s="178"/>
      <c r="O25" s="179"/>
    </row>
    <row r="26" spans="2:15" ht="14.25" customHeight="1" x14ac:dyDescent="0.35">
      <c r="B26" s="170"/>
      <c r="C26" s="171"/>
      <c r="D26" s="171"/>
      <c r="E26" s="171"/>
      <c r="F26" s="172"/>
      <c r="G26" s="172"/>
      <c r="H26" s="173"/>
      <c r="I26" s="174"/>
      <c r="J26" s="175"/>
      <c r="K26" s="176"/>
      <c r="L26" s="177"/>
      <c r="M26" s="178"/>
      <c r="N26" s="178"/>
      <c r="O26" s="179"/>
    </row>
    <row r="27" spans="2:15" ht="14.25" customHeight="1" x14ac:dyDescent="0.35">
      <c r="B27" s="170"/>
      <c r="C27" s="171"/>
      <c r="D27" s="182"/>
      <c r="E27" s="171"/>
      <c r="F27" s="172"/>
      <c r="G27" s="172"/>
      <c r="H27" s="173"/>
      <c r="I27" s="174"/>
      <c r="J27" s="175"/>
      <c r="K27" s="176"/>
      <c r="L27" s="177"/>
      <c r="M27" s="178"/>
      <c r="N27" s="178"/>
      <c r="O27" s="179"/>
    </row>
    <row r="28" spans="2:15" ht="14.25" customHeight="1" x14ac:dyDescent="0.35">
      <c r="B28" s="170"/>
      <c r="C28" s="171"/>
      <c r="D28" s="182"/>
      <c r="E28" s="171"/>
      <c r="F28" s="172"/>
      <c r="G28" s="172"/>
      <c r="H28" s="173"/>
      <c r="I28" s="174"/>
      <c r="J28" s="175"/>
      <c r="K28" s="176"/>
      <c r="L28" s="177"/>
      <c r="M28" s="178"/>
      <c r="N28" s="178"/>
      <c r="O28" s="179"/>
    </row>
    <row r="29" spans="2:15" ht="14.25" customHeight="1" x14ac:dyDescent="0.35">
      <c r="B29" s="170"/>
      <c r="C29" s="171"/>
      <c r="D29" s="182"/>
      <c r="E29" s="171"/>
      <c r="F29" s="172"/>
      <c r="G29" s="172"/>
      <c r="H29" s="173"/>
      <c r="I29" s="174"/>
      <c r="J29" s="183"/>
      <c r="K29" s="176"/>
      <c r="L29" s="177"/>
      <c r="M29" s="178"/>
      <c r="N29" s="178"/>
      <c r="O29" s="179"/>
    </row>
    <row r="30" spans="2:15" ht="15" customHeight="1" x14ac:dyDescent="0.35">
      <c r="B30" s="170"/>
      <c r="C30" s="171"/>
      <c r="D30" s="182"/>
      <c r="E30" s="171"/>
      <c r="F30" s="172"/>
      <c r="G30" s="172"/>
      <c r="H30" s="173"/>
      <c r="I30" s="174"/>
      <c r="J30" s="183"/>
      <c r="K30" s="176"/>
      <c r="L30" s="177"/>
      <c r="M30" s="178"/>
      <c r="N30" s="178"/>
      <c r="O30" s="179"/>
    </row>
    <row r="31" spans="2:15" ht="14.25" customHeight="1" x14ac:dyDescent="0.35">
      <c r="B31" s="170"/>
      <c r="C31" s="171"/>
      <c r="D31" s="184"/>
      <c r="E31" s="184"/>
      <c r="F31" s="185"/>
      <c r="G31" s="184"/>
      <c r="H31" s="185"/>
      <c r="I31" s="184"/>
      <c r="J31" s="186"/>
      <c r="K31" s="187"/>
      <c r="L31" s="177"/>
      <c r="M31" s="178"/>
      <c r="N31" s="178"/>
      <c r="O31" s="179"/>
    </row>
    <row r="32" spans="2:15" ht="14.25" customHeight="1" x14ac:dyDescent="0.35">
      <c r="B32" s="170"/>
      <c r="C32" s="171"/>
      <c r="D32" s="184"/>
      <c r="E32" s="184"/>
      <c r="F32" s="185"/>
      <c r="G32" s="184"/>
      <c r="H32" s="185"/>
      <c r="I32" s="184"/>
      <c r="J32" s="186"/>
      <c r="K32" s="187"/>
      <c r="L32" s="177"/>
      <c r="M32" s="178"/>
      <c r="N32" s="178"/>
      <c r="O32" s="179"/>
    </row>
    <row r="33" spans="2:15" ht="14.25" customHeight="1" x14ac:dyDescent="0.35">
      <c r="B33" s="170"/>
      <c r="C33" s="171"/>
      <c r="D33" s="184"/>
      <c r="E33" s="184"/>
      <c r="F33" s="185"/>
      <c r="G33" s="184"/>
      <c r="H33" s="185"/>
      <c r="I33" s="184"/>
      <c r="J33" s="186"/>
      <c r="K33" s="187"/>
      <c r="L33" s="177"/>
      <c r="M33" s="178"/>
      <c r="N33" s="178"/>
      <c r="O33" s="179"/>
    </row>
    <row r="34" spans="2:15" ht="14.25" customHeight="1" x14ac:dyDescent="0.35">
      <c r="B34" s="170"/>
      <c r="C34" s="171"/>
      <c r="D34" s="184"/>
      <c r="E34" s="184"/>
      <c r="F34" s="185"/>
      <c r="G34" s="184"/>
      <c r="H34" s="185"/>
      <c r="I34" s="184"/>
      <c r="J34" s="186"/>
      <c r="K34" s="187"/>
      <c r="L34" s="177"/>
      <c r="M34" s="178"/>
      <c r="N34" s="178"/>
      <c r="O34" s="179"/>
    </row>
    <row r="35" spans="2:15" ht="14.25" customHeight="1" x14ac:dyDescent="0.35">
      <c r="B35" s="170"/>
      <c r="C35" s="171"/>
      <c r="D35" s="184"/>
      <c r="E35" s="184"/>
      <c r="F35" s="185"/>
      <c r="G35" s="184"/>
      <c r="H35" s="185"/>
      <c r="I35" s="184"/>
      <c r="J35" s="186"/>
      <c r="K35" s="187"/>
      <c r="L35" s="177"/>
      <c r="M35" s="178"/>
      <c r="N35" s="178"/>
      <c r="O35" s="179"/>
    </row>
    <row r="36" spans="2:15" ht="14.25" customHeight="1" x14ac:dyDescent="0.35">
      <c r="B36" s="170"/>
      <c r="C36" s="171"/>
      <c r="D36" s="184"/>
      <c r="E36" s="184"/>
      <c r="F36" s="185"/>
      <c r="G36" s="184"/>
      <c r="H36" s="185"/>
      <c r="I36" s="184"/>
      <c r="J36" s="186"/>
      <c r="K36" s="187"/>
      <c r="L36" s="177"/>
      <c r="M36" s="178"/>
      <c r="N36" s="178"/>
      <c r="O36" s="179"/>
    </row>
    <row r="37" spans="2:15" ht="14.25" customHeight="1" x14ac:dyDescent="0.35">
      <c r="B37" s="170"/>
      <c r="C37" s="171"/>
      <c r="D37" s="184"/>
      <c r="E37" s="184"/>
      <c r="F37" s="185"/>
      <c r="G37" s="184"/>
      <c r="H37" s="185"/>
      <c r="I37" s="184"/>
      <c r="J37" s="186"/>
      <c r="K37" s="187"/>
      <c r="L37" s="177"/>
      <c r="M37" s="178"/>
      <c r="N37" s="178"/>
      <c r="O37" s="179"/>
    </row>
    <row r="38" spans="2:15" ht="14.25" customHeight="1" x14ac:dyDescent="0.35">
      <c r="B38" s="170"/>
      <c r="C38" s="171"/>
      <c r="D38" s="184"/>
      <c r="E38" s="184"/>
      <c r="F38" s="184"/>
      <c r="G38" s="184"/>
      <c r="H38" s="184"/>
      <c r="I38" s="184"/>
      <c r="J38" s="184"/>
      <c r="K38" s="184"/>
      <c r="L38" s="177"/>
      <c r="M38" s="171"/>
      <c r="N38" s="178"/>
      <c r="O38" s="179"/>
    </row>
    <row r="39" spans="2:15" ht="14.25" customHeight="1" x14ac:dyDescent="0.35">
      <c r="B39" s="170"/>
      <c r="C39" s="171"/>
      <c r="D39" s="184"/>
      <c r="E39" s="184"/>
      <c r="F39" s="184"/>
      <c r="G39" s="184"/>
      <c r="H39" s="184"/>
      <c r="I39" s="184"/>
      <c r="J39" s="184"/>
      <c r="K39" s="184"/>
      <c r="L39" s="177"/>
      <c r="M39" s="171"/>
      <c r="N39" s="178"/>
      <c r="O39" s="179"/>
    </row>
    <row r="40" spans="2:15" ht="14.25" customHeight="1" x14ac:dyDescent="0.35">
      <c r="B40" s="170"/>
      <c r="C40" s="171"/>
      <c r="D40" s="184"/>
      <c r="E40" s="184"/>
      <c r="F40" s="184"/>
      <c r="G40" s="184"/>
      <c r="H40" s="184"/>
      <c r="I40" s="184"/>
      <c r="J40" s="184"/>
      <c r="K40" s="184"/>
      <c r="L40" s="177"/>
      <c r="M40" s="171"/>
      <c r="N40" s="178"/>
      <c r="O40" s="179"/>
    </row>
    <row r="41" spans="2:15" ht="14.25" customHeight="1" x14ac:dyDescent="0.35">
      <c r="B41" s="170"/>
      <c r="C41" s="171"/>
      <c r="D41" s="184"/>
      <c r="E41" s="184"/>
      <c r="F41" s="184"/>
      <c r="G41" s="184"/>
      <c r="H41" s="184"/>
      <c r="I41" s="184"/>
      <c r="J41" s="184"/>
      <c r="K41" s="184"/>
      <c r="L41" s="177"/>
      <c r="M41" s="171"/>
      <c r="N41" s="178"/>
      <c r="O41" s="179"/>
    </row>
    <row r="42" spans="2:15" ht="14.25" customHeight="1" x14ac:dyDescent="0.35">
      <c r="B42" s="170"/>
      <c r="C42" s="171"/>
      <c r="D42" s="184"/>
      <c r="E42" s="184"/>
      <c r="F42" s="184"/>
      <c r="G42" s="184"/>
      <c r="H42" s="184"/>
      <c r="I42" s="184"/>
      <c r="J42" s="184"/>
      <c r="K42" s="184"/>
      <c r="L42" s="177"/>
      <c r="M42" s="171"/>
      <c r="N42" s="178"/>
      <c r="O42" s="179"/>
    </row>
    <row r="43" spans="2:15" ht="14.25" customHeight="1" x14ac:dyDescent="0.35">
      <c r="B43" s="170"/>
      <c r="C43" s="171"/>
      <c r="D43" s="184"/>
      <c r="E43" s="184"/>
      <c r="F43" s="184"/>
      <c r="G43" s="184"/>
      <c r="H43" s="184"/>
      <c r="I43" s="184"/>
      <c r="J43" s="184"/>
      <c r="K43" s="184"/>
      <c r="L43" s="177"/>
      <c r="M43" s="171"/>
      <c r="N43" s="178"/>
      <c r="O43" s="179"/>
    </row>
    <row r="44" spans="2:15" ht="14.25" customHeight="1" thickBot="1" x14ac:dyDescent="0.4">
      <c r="B44" s="188"/>
      <c r="C44" s="189"/>
      <c r="D44" s="189"/>
      <c r="E44" s="189"/>
      <c r="F44" s="189"/>
      <c r="G44" s="189"/>
      <c r="H44" s="189"/>
      <c r="I44" s="190"/>
      <c r="J44" s="191"/>
      <c r="K44" s="189"/>
      <c r="L44" s="177"/>
      <c r="M44" s="189"/>
      <c r="N44" s="192"/>
      <c r="O44" s="193"/>
    </row>
    <row r="45" spans="2:15" ht="6" customHeight="1" thickBot="1" x14ac:dyDescent="0.4">
      <c r="B45" s="194"/>
      <c r="C45" s="195"/>
      <c r="D45" s="195"/>
      <c r="E45" s="195"/>
      <c r="F45" s="195"/>
      <c r="G45" s="195"/>
      <c r="H45" s="195"/>
      <c r="I45" s="196"/>
      <c r="J45" s="197"/>
      <c r="K45" s="195"/>
      <c r="L45" s="198"/>
      <c r="M45" s="195"/>
      <c r="N45" s="199"/>
      <c r="O45" s="200"/>
    </row>
    <row r="46" spans="2:15" ht="86" customHeight="1" thickBot="1" x14ac:dyDescent="0.4">
      <c r="B46" s="256" t="s">
        <v>713</v>
      </c>
      <c r="C46" s="257"/>
      <c r="D46" s="257"/>
      <c r="E46" s="257"/>
      <c r="F46" s="257"/>
      <c r="G46" s="257"/>
      <c r="H46" s="258"/>
      <c r="I46" s="201"/>
      <c r="J46" s="201"/>
      <c r="O46" s="202"/>
    </row>
    <row r="47" spans="2:15" ht="6" customHeight="1" thickBot="1" x14ac:dyDescent="0.4">
      <c r="B47" s="203"/>
      <c r="H47" s="202"/>
      <c r="O47" s="202"/>
    </row>
    <row r="48" spans="2:15" ht="103" customHeight="1" thickBot="1" x14ac:dyDescent="0.4">
      <c r="B48" s="246" t="s">
        <v>714</v>
      </c>
      <c r="C48" s="247"/>
      <c r="D48" s="247"/>
      <c r="E48" s="247"/>
      <c r="F48" s="247"/>
      <c r="G48" s="247"/>
      <c r="H48" s="248"/>
      <c r="I48" s="201"/>
      <c r="J48" s="201"/>
      <c r="O48" s="202"/>
    </row>
    <row r="49" spans="2:15" ht="6" customHeight="1" thickBot="1" x14ac:dyDescent="0.4">
      <c r="B49" s="194"/>
      <c r="C49" s="195"/>
      <c r="D49" s="195"/>
      <c r="E49" s="195"/>
      <c r="F49" s="195"/>
      <c r="G49" s="195"/>
      <c r="H49" s="195"/>
      <c r="O49" s="202"/>
    </row>
    <row r="50" spans="2:15" ht="313.25" customHeight="1" thickBot="1" x14ac:dyDescent="0.4">
      <c r="B50" s="246" t="s">
        <v>715</v>
      </c>
      <c r="C50" s="247"/>
      <c r="D50" s="247"/>
      <c r="E50" s="247"/>
      <c r="F50" s="247"/>
      <c r="G50" s="247"/>
      <c r="H50" s="247"/>
      <c r="I50" s="247"/>
      <c r="J50" s="247"/>
      <c r="K50" s="247"/>
      <c r="L50" s="248"/>
      <c r="M50" s="204"/>
      <c r="N50" s="204"/>
      <c r="O50" s="205"/>
    </row>
    <row r="51" spans="2:15" ht="14.25" customHeight="1" x14ac:dyDescent="0.35"/>
    <row r="52" spans="2:15" ht="14.25" customHeight="1" x14ac:dyDescent="0.35"/>
    <row r="53" spans="2:15" ht="14.25" customHeight="1" x14ac:dyDescent="0.35"/>
    <row r="54" spans="2:15" ht="14.25" customHeight="1" x14ac:dyDescent="0.35"/>
    <row r="55" spans="2:15" ht="14.25" customHeight="1" x14ac:dyDescent="0.35"/>
    <row r="56" spans="2:15" ht="14.25" customHeight="1" x14ac:dyDescent="0.35"/>
    <row r="57" spans="2:15" ht="14.25" customHeight="1" x14ac:dyDescent="0.35"/>
    <row r="58" spans="2:15" ht="14.25" customHeight="1" x14ac:dyDescent="0.35"/>
    <row r="59" spans="2:15" ht="14.25" customHeight="1" x14ac:dyDescent="0.35"/>
    <row r="60" spans="2:15" ht="14.25" customHeight="1" x14ac:dyDescent="0.35"/>
    <row r="61" spans="2:15" ht="14.25" customHeight="1" x14ac:dyDescent="0.35"/>
    <row r="62" spans="2:15" ht="14.25" customHeight="1" x14ac:dyDescent="0.35"/>
    <row r="63" spans="2:15" ht="14.25" customHeight="1" x14ac:dyDescent="0.35"/>
    <row r="64" spans="2:15"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row r="1002" ht="14.25" customHeight="1" x14ac:dyDescent="0.35"/>
    <row r="1003" ht="14.25" customHeight="1" x14ac:dyDescent="0.35"/>
    <row r="1004" ht="14.25" customHeight="1" x14ac:dyDescent="0.35"/>
    <row r="1005" ht="14.25" customHeight="1" x14ac:dyDescent="0.35"/>
    <row r="1006" ht="14.25" customHeight="1" x14ac:dyDescent="0.35"/>
    <row r="1007" ht="14.25" customHeight="1" x14ac:dyDescent="0.35"/>
  </sheetData>
  <mergeCells count="6">
    <mergeCell ref="B50:L50"/>
    <mergeCell ref="B2:D2"/>
    <mergeCell ref="C3:D3"/>
    <mergeCell ref="C4:D4"/>
    <mergeCell ref="B46:H46"/>
    <mergeCell ref="B48:H48"/>
  </mergeCells>
  <dataValidations count="1">
    <dataValidation type="list" allowBlank="1" showInputMessage="1" showErrorMessage="1" sqref="O9:O43 M9:M37 L9:L44" xr:uid="{E6E6A035-33EC-2D4A-BA49-8D29B975802D}">
      <formula1>"Yes, No"</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34998626667073579"/>
    <pageSetUpPr fitToPage="1"/>
  </sheetPr>
  <dimension ref="A1:C233"/>
  <sheetViews>
    <sheetView showGridLines="0" topLeftCell="A185" zoomScale="80" zoomScaleNormal="80" workbookViewId="0">
      <selection activeCell="C204" sqref="C204:C207"/>
    </sheetView>
  </sheetViews>
  <sheetFormatPr defaultColWidth="9.453125" defaultRowHeight="14.5" x14ac:dyDescent="0.35"/>
  <cols>
    <col min="1" max="1" width="20.453125" customWidth="1"/>
    <col min="2" max="2" width="87.6328125" customWidth="1"/>
    <col min="3" max="3" width="137.6328125" customWidth="1"/>
  </cols>
  <sheetData>
    <row r="1" spans="1:3" ht="50.75" customHeight="1" x14ac:dyDescent="0.35"/>
    <row r="2" spans="1:3" ht="20" customHeight="1" x14ac:dyDescent="0.35">
      <c r="A2" s="48"/>
      <c r="B2" s="71"/>
    </row>
    <row r="3" spans="1:3" ht="20" customHeight="1" x14ac:dyDescent="0.35">
      <c r="A3" s="72" t="s">
        <v>654</v>
      </c>
      <c r="B3" s="71"/>
    </row>
    <row r="4" spans="1:3" ht="20" customHeight="1" x14ac:dyDescent="0.35">
      <c r="A4" s="73" t="s">
        <v>655</v>
      </c>
      <c r="B4" s="74"/>
    </row>
    <row r="5" spans="1:3" ht="20" customHeight="1" thickBot="1" x14ac:dyDescent="0.4">
      <c r="A5" s="72"/>
      <c r="B5" s="32"/>
    </row>
    <row r="6" spans="1:3" s="17" customFormat="1" ht="16" thickBot="1" x14ac:dyDescent="0.4">
      <c r="A6" s="75" t="s">
        <v>656</v>
      </c>
      <c r="B6" s="75" t="s">
        <v>657</v>
      </c>
      <c r="C6" s="75" t="s">
        <v>65</v>
      </c>
    </row>
    <row r="7" spans="1:3" s="17" customFormat="1" ht="15.5" x14ac:dyDescent="0.35">
      <c r="A7" s="10" t="s">
        <v>66</v>
      </c>
    </row>
    <row r="8" spans="1:3" s="17" customFormat="1" ht="15.5" x14ac:dyDescent="0.35">
      <c r="A8" s="14" t="s">
        <v>69</v>
      </c>
      <c r="B8" s="14" t="s">
        <v>70</v>
      </c>
      <c r="C8" s="1" t="s">
        <v>71</v>
      </c>
    </row>
    <row r="9" spans="1:3" s="17" customFormat="1" ht="15.5" x14ac:dyDescent="0.35">
      <c r="A9" s="14" t="s">
        <v>72</v>
      </c>
      <c r="B9" s="14" t="s">
        <v>73</v>
      </c>
      <c r="C9" s="1" t="s">
        <v>74</v>
      </c>
    </row>
    <row r="10" spans="1:3" s="17" customFormat="1" ht="15.5" x14ac:dyDescent="0.35">
      <c r="A10" s="14" t="s">
        <v>75</v>
      </c>
      <c r="B10" s="14" t="s">
        <v>76</v>
      </c>
      <c r="C10" s="1" t="s">
        <v>77</v>
      </c>
    </row>
    <row r="11" spans="1:3" s="17" customFormat="1" ht="15.5" x14ac:dyDescent="0.35">
      <c r="A11" s="14" t="s">
        <v>78</v>
      </c>
      <c r="B11" s="14" t="s">
        <v>79</v>
      </c>
      <c r="C11" s="1" t="s">
        <v>80</v>
      </c>
    </row>
    <row r="12" spans="1:3" s="17" customFormat="1" ht="15.5" x14ac:dyDescent="0.35">
      <c r="A12" s="14" t="s">
        <v>81</v>
      </c>
      <c r="B12" s="14" t="s">
        <v>82</v>
      </c>
      <c r="C12" s="1" t="s">
        <v>83</v>
      </c>
    </row>
    <row r="13" spans="1:3" s="17" customFormat="1" ht="15.5" x14ac:dyDescent="0.35">
      <c r="A13" s="14" t="s">
        <v>84</v>
      </c>
      <c r="B13" s="14" t="s">
        <v>85</v>
      </c>
      <c r="C13" s="1" t="s">
        <v>86</v>
      </c>
    </row>
    <row r="14" spans="1:3" s="17" customFormat="1" ht="15.5" x14ac:dyDescent="0.35">
      <c r="A14" s="14" t="s">
        <v>87</v>
      </c>
      <c r="B14" s="14" t="s">
        <v>88</v>
      </c>
      <c r="C14" s="1" t="s">
        <v>89</v>
      </c>
    </row>
    <row r="15" spans="1:3" s="17" customFormat="1" ht="15.5" x14ac:dyDescent="0.35">
      <c r="A15" s="14" t="s">
        <v>90</v>
      </c>
      <c r="B15" s="14" t="s">
        <v>91</v>
      </c>
      <c r="C15" s="1" t="s">
        <v>92</v>
      </c>
    </row>
    <row r="16" spans="1:3" s="17" customFormat="1" ht="15.5" x14ac:dyDescent="0.35">
      <c r="A16" s="14" t="s">
        <v>93</v>
      </c>
      <c r="B16" s="14" t="s">
        <v>94</v>
      </c>
      <c r="C16" s="1" t="s">
        <v>95</v>
      </c>
    </row>
    <row r="17" spans="1:3" s="17" customFormat="1" ht="15.5" x14ac:dyDescent="0.35">
      <c r="A17" s="14" t="s">
        <v>96</v>
      </c>
      <c r="B17" s="14" t="s">
        <v>97</v>
      </c>
      <c r="C17" s="1" t="s">
        <v>98</v>
      </c>
    </row>
    <row r="18" spans="1:3" s="17" customFormat="1" ht="15.5" x14ac:dyDescent="0.35">
      <c r="A18" s="14" t="s">
        <v>99</v>
      </c>
      <c r="B18" s="14" t="s">
        <v>100</v>
      </c>
      <c r="C18" s="1" t="s">
        <v>101</v>
      </c>
    </row>
    <row r="19" spans="1:3" s="17" customFormat="1" ht="15.5" x14ac:dyDescent="0.35">
      <c r="A19" s="14" t="s">
        <v>102</v>
      </c>
      <c r="B19" s="14" t="s">
        <v>103</v>
      </c>
      <c r="C19" s="1" t="s">
        <v>104</v>
      </c>
    </row>
    <row r="20" spans="1:3" s="17" customFormat="1" ht="15.5" x14ac:dyDescent="0.35">
      <c r="A20" s="14" t="s">
        <v>105</v>
      </c>
      <c r="B20" s="14" t="s">
        <v>106</v>
      </c>
      <c r="C20" s="1" t="s">
        <v>107</v>
      </c>
    </row>
    <row r="21" spans="1:3" s="17" customFormat="1" ht="15.5" x14ac:dyDescent="0.35">
      <c r="A21" s="14" t="s">
        <v>108</v>
      </c>
      <c r="B21" s="14" t="s">
        <v>109</v>
      </c>
      <c r="C21" s="1" t="s">
        <v>110</v>
      </c>
    </row>
    <row r="22" spans="1:3" s="17" customFormat="1" ht="15.5" x14ac:dyDescent="0.35">
      <c r="A22" s="14" t="s">
        <v>111</v>
      </c>
      <c r="B22" s="14" t="s">
        <v>112</v>
      </c>
      <c r="C22" s="1" t="s">
        <v>113</v>
      </c>
    </row>
    <row r="23" spans="1:3" s="17" customFormat="1" ht="15.5" x14ac:dyDescent="0.35">
      <c r="A23" s="14" t="s">
        <v>114</v>
      </c>
      <c r="B23" s="14" t="s">
        <v>115</v>
      </c>
      <c r="C23" s="1" t="s">
        <v>116</v>
      </c>
    </row>
    <row r="24" spans="1:3" s="17" customFormat="1" ht="15.5" x14ac:dyDescent="0.35">
      <c r="A24" s="14" t="s">
        <v>117</v>
      </c>
      <c r="B24" s="14" t="s">
        <v>118</v>
      </c>
      <c r="C24" s="1" t="s">
        <v>119</v>
      </c>
    </row>
    <row r="25" spans="1:3" s="17" customFormat="1" ht="15.5" x14ac:dyDescent="0.35">
      <c r="A25" s="14" t="s">
        <v>120</v>
      </c>
      <c r="B25" s="14" t="s">
        <v>121</v>
      </c>
      <c r="C25" s="1" t="s">
        <v>122</v>
      </c>
    </row>
    <row r="26" spans="1:3" s="17" customFormat="1" ht="15.5" x14ac:dyDescent="0.35">
      <c r="A26" s="14" t="s">
        <v>69</v>
      </c>
      <c r="B26" s="14" t="s">
        <v>123</v>
      </c>
      <c r="C26" s="1" t="s">
        <v>124</v>
      </c>
    </row>
    <row r="27" spans="1:3" s="17" customFormat="1" ht="15.5" x14ac:dyDescent="0.35">
      <c r="A27" s="14" t="s">
        <v>72</v>
      </c>
      <c r="B27" s="14" t="s">
        <v>125</v>
      </c>
      <c r="C27" s="1" t="s">
        <v>126</v>
      </c>
    </row>
    <row r="28" spans="1:3" s="17" customFormat="1" ht="15.5" x14ac:dyDescent="0.35">
      <c r="A28" s="14" t="s">
        <v>75</v>
      </c>
      <c r="B28" s="14" t="s">
        <v>127</v>
      </c>
      <c r="C28" s="1" t="s">
        <v>128</v>
      </c>
    </row>
    <row r="29" spans="1:3" s="17" customFormat="1" ht="15.5" x14ac:dyDescent="0.35">
      <c r="A29" s="14" t="s">
        <v>78</v>
      </c>
      <c r="B29" s="14" t="s">
        <v>129</v>
      </c>
      <c r="C29" s="1" t="s">
        <v>130</v>
      </c>
    </row>
    <row r="30" spans="1:3" s="17" customFormat="1" ht="15.5" x14ac:dyDescent="0.35">
      <c r="A30" s="14" t="s">
        <v>81</v>
      </c>
      <c r="B30" s="14" t="s">
        <v>131</v>
      </c>
      <c r="C30" s="1" t="s">
        <v>132</v>
      </c>
    </row>
    <row r="31" spans="1:3" s="17" customFormat="1" ht="15.5" x14ac:dyDescent="0.35">
      <c r="A31" s="14" t="s">
        <v>84</v>
      </c>
      <c r="B31" s="14" t="s">
        <v>133</v>
      </c>
      <c r="C31" s="1" t="s">
        <v>134</v>
      </c>
    </row>
    <row r="32" spans="1:3" s="17" customFormat="1" ht="15.5" x14ac:dyDescent="0.35">
      <c r="A32" s="14" t="s">
        <v>87</v>
      </c>
      <c r="B32" s="14" t="s">
        <v>135</v>
      </c>
      <c r="C32" s="1" t="s">
        <v>136</v>
      </c>
    </row>
    <row r="33" spans="1:3" s="17" customFormat="1" ht="15.5" x14ac:dyDescent="0.35">
      <c r="A33" s="14" t="s">
        <v>90</v>
      </c>
      <c r="B33" s="14" t="s">
        <v>137</v>
      </c>
      <c r="C33" s="1" t="s">
        <v>138</v>
      </c>
    </row>
    <row r="34" spans="1:3" s="17" customFormat="1" ht="15.5" x14ac:dyDescent="0.35">
      <c r="A34" s="14" t="s">
        <v>93</v>
      </c>
      <c r="B34" s="14" t="s">
        <v>139</v>
      </c>
      <c r="C34" s="1" t="s">
        <v>140</v>
      </c>
    </row>
    <row r="35" spans="1:3" s="17" customFormat="1" ht="15.5" x14ac:dyDescent="0.35">
      <c r="A35" s="14" t="s">
        <v>96</v>
      </c>
      <c r="B35" s="14" t="s">
        <v>141</v>
      </c>
      <c r="C35" s="1" t="s">
        <v>142</v>
      </c>
    </row>
    <row r="36" spans="1:3" s="17" customFormat="1" ht="15.5" x14ac:dyDescent="0.35">
      <c r="A36" s="14" t="s">
        <v>99</v>
      </c>
      <c r="B36" s="14" t="s">
        <v>143</v>
      </c>
      <c r="C36" s="1" t="s">
        <v>144</v>
      </c>
    </row>
    <row r="37" spans="1:3" s="17" customFormat="1" ht="15.5" x14ac:dyDescent="0.35">
      <c r="A37" s="14" t="s">
        <v>102</v>
      </c>
      <c r="B37" s="14" t="s">
        <v>145</v>
      </c>
      <c r="C37" s="1" t="s">
        <v>146</v>
      </c>
    </row>
    <row r="38" spans="1:3" s="17" customFormat="1" ht="15.5" x14ac:dyDescent="0.35">
      <c r="A38" s="14" t="s">
        <v>105</v>
      </c>
      <c r="B38" s="14" t="s">
        <v>147</v>
      </c>
      <c r="C38" s="1" t="s">
        <v>148</v>
      </c>
    </row>
    <row r="39" spans="1:3" s="17" customFormat="1" ht="15.5" x14ac:dyDescent="0.35">
      <c r="A39" s="14" t="s">
        <v>108</v>
      </c>
      <c r="B39" s="14" t="s">
        <v>149</v>
      </c>
      <c r="C39" s="1" t="s">
        <v>150</v>
      </c>
    </row>
    <row r="40" spans="1:3" s="17" customFormat="1" ht="15.5" x14ac:dyDescent="0.35">
      <c r="A40" s="14" t="s">
        <v>111</v>
      </c>
      <c r="B40" s="14" t="s">
        <v>151</v>
      </c>
      <c r="C40" s="1" t="s">
        <v>152</v>
      </c>
    </row>
    <row r="41" spans="1:3" s="17" customFormat="1" ht="15.5" x14ac:dyDescent="0.35">
      <c r="A41" s="14" t="s">
        <v>114</v>
      </c>
      <c r="B41" s="14" t="s">
        <v>153</v>
      </c>
      <c r="C41" s="1" t="s">
        <v>154</v>
      </c>
    </row>
    <row r="42" spans="1:3" s="17" customFormat="1" ht="15.5" x14ac:dyDescent="0.35">
      <c r="A42" s="14" t="s">
        <v>117</v>
      </c>
      <c r="B42" s="14" t="s">
        <v>155</v>
      </c>
      <c r="C42" s="1" t="s">
        <v>156</v>
      </c>
    </row>
    <row r="43" spans="1:3" s="17" customFormat="1" ht="15.5" x14ac:dyDescent="0.35">
      <c r="A43" s="14" t="s">
        <v>120</v>
      </c>
      <c r="B43" s="14" t="s">
        <v>157</v>
      </c>
      <c r="C43" s="1" t="s">
        <v>158</v>
      </c>
    </row>
    <row r="44" spans="1:3" s="17" customFormat="1" ht="15.5" x14ac:dyDescent="0.35">
      <c r="A44" s="14" t="s">
        <v>159</v>
      </c>
      <c r="B44" s="14" t="s">
        <v>160</v>
      </c>
      <c r="C44" s="1" t="s">
        <v>161</v>
      </c>
    </row>
    <row r="45" spans="1:3" s="17" customFormat="1" ht="15.5" x14ac:dyDescent="0.35">
      <c r="A45" s="14" t="s">
        <v>162</v>
      </c>
      <c r="B45" s="14" t="s">
        <v>163</v>
      </c>
      <c r="C45" s="1" t="s">
        <v>164</v>
      </c>
    </row>
    <row r="46" spans="1:3" s="17" customFormat="1" ht="15.5" x14ac:dyDescent="0.35">
      <c r="A46" s="14" t="s">
        <v>165</v>
      </c>
      <c r="B46" s="14" t="s">
        <v>166</v>
      </c>
      <c r="C46" s="1" t="s">
        <v>167</v>
      </c>
    </row>
    <row r="47" spans="1:3" s="17" customFormat="1" ht="15.5" x14ac:dyDescent="0.35">
      <c r="A47" s="14" t="s">
        <v>168</v>
      </c>
      <c r="B47" s="14" t="s">
        <v>169</v>
      </c>
      <c r="C47" s="1" t="s">
        <v>170</v>
      </c>
    </row>
    <row r="48" spans="1:3" s="17" customFormat="1" ht="15.5" x14ac:dyDescent="0.35">
      <c r="A48" s="14" t="s">
        <v>171</v>
      </c>
      <c r="B48" s="14" t="s">
        <v>172</v>
      </c>
      <c r="C48" s="1" t="s">
        <v>173</v>
      </c>
    </row>
    <row r="49" spans="1:3" s="17" customFormat="1" ht="15.5" x14ac:dyDescent="0.35">
      <c r="A49" s="14" t="s">
        <v>174</v>
      </c>
      <c r="B49" s="14" t="s">
        <v>175</v>
      </c>
      <c r="C49" s="1" t="s">
        <v>176</v>
      </c>
    </row>
    <row r="50" spans="1:3" s="17" customFormat="1" ht="15.5" x14ac:dyDescent="0.35">
      <c r="A50" s="14" t="s">
        <v>177</v>
      </c>
      <c r="B50" s="14" t="s">
        <v>178</v>
      </c>
      <c r="C50" s="1" t="s">
        <v>179</v>
      </c>
    </row>
    <row r="51" spans="1:3" s="17" customFormat="1" ht="15.5" x14ac:dyDescent="0.35">
      <c r="A51" s="14" t="s">
        <v>180</v>
      </c>
      <c r="B51" s="14" t="s">
        <v>181</v>
      </c>
      <c r="C51" s="1" t="s">
        <v>182</v>
      </c>
    </row>
    <row r="52" spans="1:3" s="17" customFormat="1" ht="15.5" x14ac:dyDescent="0.35">
      <c r="A52" s="14" t="s">
        <v>183</v>
      </c>
      <c r="B52" s="14" t="s">
        <v>184</v>
      </c>
      <c r="C52" s="1" t="s">
        <v>185</v>
      </c>
    </row>
    <row r="53" spans="1:3" s="17" customFormat="1" ht="15.5" x14ac:dyDescent="0.35">
      <c r="A53" s="14" t="s">
        <v>186</v>
      </c>
      <c r="B53" s="14" t="s">
        <v>187</v>
      </c>
      <c r="C53" s="1" t="s">
        <v>188</v>
      </c>
    </row>
    <row r="54" spans="1:3" s="17" customFormat="1" ht="15.5" x14ac:dyDescent="0.35">
      <c r="A54" s="14" t="s">
        <v>189</v>
      </c>
      <c r="B54" s="14" t="s">
        <v>190</v>
      </c>
      <c r="C54" s="1" t="s">
        <v>191</v>
      </c>
    </row>
    <row r="55" spans="1:3" s="17" customFormat="1" ht="15.5" x14ac:dyDescent="0.35">
      <c r="A55" s="14" t="s">
        <v>192</v>
      </c>
      <c r="B55" s="14" t="s">
        <v>193</v>
      </c>
      <c r="C55" s="1" t="s">
        <v>194</v>
      </c>
    </row>
    <row r="56" spans="1:3" s="17" customFormat="1" ht="15.5" x14ac:dyDescent="0.35">
      <c r="A56" s="14" t="s">
        <v>195</v>
      </c>
      <c r="B56" s="14" t="s">
        <v>196</v>
      </c>
      <c r="C56" s="1" t="s">
        <v>197</v>
      </c>
    </row>
    <row r="57" spans="1:3" s="17" customFormat="1" ht="15.5" x14ac:dyDescent="0.35">
      <c r="A57" s="14" t="s">
        <v>198</v>
      </c>
      <c r="B57" s="14" t="s">
        <v>199</v>
      </c>
      <c r="C57" s="1" t="s">
        <v>200</v>
      </c>
    </row>
    <row r="58" spans="1:3" s="17" customFormat="1" ht="15.5" x14ac:dyDescent="0.35">
      <c r="A58" s="14" t="s">
        <v>201</v>
      </c>
      <c r="B58" s="14" t="s">
        <v>202</v>
      </c>
      <c r="C58" s="1" t="s">
        <v>203</v>
      </c>
    </row>
    <row r="59" spans="1:3" s="17" customFormat="1" ht="15.5" x14ac:dyDescent="0.35">
      <c r="A59" s="14" t="s">
        <v>204</v>
      </c>
      <c r="B59" s="14" t="s">
        <v>205</v>
      </c>
      <c r="C59" s="1" t="s">
        <v>206</v>
      </c>
    </row>
    <row r="60" spans="1:3" s="17" customFormat="1" ht="15.5" x14ac:dyDescent="0.35">
      <c r="A60" s="14" t="s">
        <v>207</v>
      </c>
      <c r="B60" s="14" t="s">
        <v>208</v>
      </c>
      <c r="C60" s="1" t="s">
        <v>209</v>
      </c>
    </row>
    <row r="61" spans="1:3" s="17" customFormat="1" ht="15.5" x14ac:dyDescent="0.35">
      <c r="A61" s="14" t="s">
        <v>210</v>
      </c>
      <c r="B61" s="14" t="s">
        <v>211</v>
      </c>
      <c r="C61" s="1" t="s">
        <v>212</v>
      </c>
    </row>
    <row r="62" spans="1:3" s="17" customFormat="1" ht="15.5" x14ac:dyDescent="0.35">
      <c r="A62" s="14" t="s">
        <v>213</v>
      </c>
      <c r="B62" s="14" t="s">
        <v>214</v>
      </c>
      <c r="C62" s="1" t="s">
        <v>215</v>
      </c>
    </row>
    <row r="63" spans="1:3" s="17" customFormat="1" ht="15.5" x14ac:dyDescent="0.35">
      <c r="A63" s="14" t="s">
        <v>216</v>
      </c>
      <c r="B63" s="14" t="s">
        <v>217</v>
      </c>
      <c r="C63" s="1" t="s">
        <v>218</v>
      </c>
    </row>
    <row r="64" spans="1:3" s="17" customFormat="1" ht="15.5" x14ac:dyDescent="0.35">
      <c r="A64" s="14" t="s">
        <v>219</v>
      </c>
      <c r="B64" s="14" t="s">
        <v>220</v>
      </c>
      <c r="C64" s="1" t="s">
        <v>221</v>
      </c>
    </row>
    <row r="65" spans="1:3" s="17" customFormat="1" ht="15.5" x14ac:dyDescent="0.35">
      <c r="A65" s="14" t="s">
        <v>222</v>
      </c>
      <c r="B65" s="14" t="s">
        <v>223</v>
      </c>
      <c r="C65" s="1" t="s">
        <v>224</v>
      </c>
    </row>
    <row r="66" spans="1:3" s="17" customFormat="1" ht="15.5" x14ac:dyDescent="0.35">
      <c r="A66" s="14" t="s">
        <v>225</v>
      </c>
      <c r="B66" s="14" t="s">
        <v>226</v>
      </c>
      <c r="C66" s="1" t="s">
        <v>227</v>
      </c>
    </row>
    <row r="67" spans="1:3" s="17" customFormat="1" ht="15.5" x14ac:dyDescent="0.35">
      <c r="A67" s="14" t="s">
        <v>228</v>
      </c>
      <c r="B67" s="14" t="s">
        <v>229</v>
      </c>
      <c r="C67" s="1" t="s">
        <v>230</v>
      </c>
    </row>
    <row r="68" spans="1:3" s="17" customFormat="1" ht="15.5" x14ac:dyDescent="0.35">
      <c r="A68" s="14" t="s">
        <v>231</v>
      </c>
      <c r="B68" s="14" t="s">
        <v>232</v>
      </c>
      <c r="C68" s="1" t="s">
        <v>233</v>
      </c>
    </row>
    <row r="69" spans="1:3" s="17" customFormat="1" ht="15.5" x14ac:dyDescent="0.35">
      <c r="A69" s="14" t="s">
        <v>234</v>
      </c>
      <c r="B69" s="14" t="s">
        <v>235</v>
      </c>
      <c r="C69" s="1" t="s">
        <v>236</v>
      </c>
    </row>
    <row r="70" spans="1:3" s="17" customFormat="1" ht="15.5" x14ac:dyDescent="0.35">
      <c r="A70" s="14" t="s">
        <v>237</v>
      </c>
      <c r="B70" s="14" t="s">
        <v>238</v>
      </c>
      <c r="C70" s="1" t="s">
        <v>239</v>
      </c>
    </row>
    <row r="71" spans="1:3" s="17" customFormat="1" ht="15.5" x14ac:dyDescent="0.35">
      <c r="A71" s="14" t="s">
        <v>240</v>
      </c>
      <c r="B71" s="14" t="s">
        <v>241</v>
      </c>
      <c r="C71" s="1" t="s">
        <v>242</v>
      </c>
    </row>
    <row r="72" spans="1:3" s="17" customFormat="1" ht="15.5" x14ac:dyDescent="0.35">
      <c r="A72" s="14" t="s">
        <v>243</v>
      </c>
      <c r="B72" s="14" t="s">
        <v>244</v>
      </c>
      <c r="C72" s="1" t="s">
        <v>245</v>
      </c>
    </row>
    <row r="73" spans="1:3" s="17" customFormat="1" ht="15.5" x14ac:dyDescent="0.35">
      <c r="A73" s="14" t="s">
        <v>246</v>
      </c>
      <c r="B73" s="14" t="s">
        <v>247</v>
      </c>
      <c r="C73" s="1" t="s">
        <v>248</v>
      </c>
    </row>
    <row r="74" spans="1:3" s="17" customFormat="1" ht="15.5" x14ac:dyDescent="0.35">
      <c r="A74" s="14" t="s">
        <v>249</v>
      </c>
      <c r="B74" s="14" t="s">
        <v>250</v>
      </c>
      <c r="C74" s="1" t="s">
        <v>251</v>
      </c>
    </row>
    <row r="75" spans="1:3" s="17" customFormat="1" ht="15.5" x14ac:dyDescent="0.35">
      <c r="A75" s="14" t="s">
        <v>252</v>
      </c>
      <c r="B75" s="14" t="s">
        <v>253</v>
      </c>
      <c r="C75" s="1" t="s">
        <v>254</v>
      </c>
    </row>
    <row r="76" spans="1:3" s="17" customFormat="1" ht="15.5" x14ac:dyDescent="0.35">
      <c r="A76" s="14" t="s">
        <v>255</v>
      </c>
      <c r="B76" s="14" t="s">
        <v>256</v>
      </c>
      <c r="C76" s="1" t="s">
        <v>257</v>
      </c>
    </row>
    <row r="77" spans="1:3" s="17" customFormat="1" ht="15.5" x14ac:dyDescent="0.35">
      <c r="A77" s="14" t="s">
        <v>258</v>
      </c>
      <c r="B77" s="14" t="s">
        <v>259</v>
      </c>
      <c r="C77" s="1" t="s">
        <v>260</v>
      </c>
    </row>
    <row r="78" spans="1:3" s="17" customFormat="1" ht="15.5" x14ac:dyDescent="0.35">
      <c r="A78" s="14" t="s">
        <v>261</v>
      </c>
      <c r="B78" s="14" t="s">
        <v>262</v>
      </c>
      <c r="C78" s="1" t="s">
        <v>263</v>
      </c>
    </row>
    <row r="79" spans="1:3" s="17" customFormat="1" ht="15.5" x14ac:dyDescent="0.35">
      <c r="A79" s="14" t="s">
        <v>264</v>
      </c>
      <c r="B79" s="14" t="s">
        <v>265</v>
      </c>
      <c r="C79" s="1" t="s">
        <v>266</v>
      </c>
    </row>
    <row r="80" spans="1:3" s="17" customFormat="1" ht="15.5" x14ac:dyDescent="0.35">
      <c r="A80" s="14" t="s">
        <v>267</v>
      </c>
      <c r="B80" s="14" t="s">
        <v>268</v>
      </c>
      <c r="C80" s="1" t="s">
        <v>269</v>
      </c>
    </row>
    <row r="81" spans="1:3" s="17" customFormat="1" ht="15.5" x14ac:dyDescent="0.35">
      <c r="A81" s="14" t="s">
        <v>270</v>
      </c>
      <c r="B81" s="14" t="s">
        <v>271</v>
      </c>
      <c r="C81" s="1" t="s">
        <v>272</v>
      </c>
    </row>
    <row r="82" spans="1:3" s="17" customFormat="1" ht="15.5" x14ac:dyDescent="0.35">
      <c r="A82" s="14" t="s">
        <v>273</v>
      </c>
      <c r="B82" s="14" t="s">
        <v>274</v>
      </c>
      <c r="C82" s="1" t="s">
        <v>275</v>
      </c>
    </row>
    <row r="83" spans="1:3" s="17" customFormat="1" ht="15.5" x14ac:dyDescent="0.35">
      <c r="A83" s="14" t="s">
        <v>276</v>
      </c>
      <c r="B83" s="14" t="s">
        <v>277</v>
      </c>
      <c r="C83" s="1" t="s">
        <v>278</v>
      </c>
    </row>
    <row r="84" spans="1:3" s="17" customFormat="1" ht="15.5" x14ac:dyDescent="0.35">
      <c r="A84" s="14" t="s">
        <v>279</v>
      </c>
      <c r="B84" s="14" t="s">
        <v>280</v>
      </c>
      <c r="C84" s="1" t="s">
        <v>281</v>
      </c>
    </row>
    <row r="85" spans="1:3" s="17" customFormat="1" ht="15.5" x14ac:dyDescent="0.35">
      <c r="A85" s="14" t="s">
        <v>282</v>
      </c>
      <c r="B85" s="14" t="s">
        <v>283</v>
      </c>
      <c r="C85" s="1" t="s">
        <v>284</v>
      </c>
    </row>
    <row r="86" spans="1:3" s="17" customFormat="1" ht="15.5" x14ac:dyDescent="0.35">
      <c r="A86" s="14" t="s">
        <v>285</v>
      </c>
      <c r="B86" s="14" t="s">
        <v>286</v>
      </c>
      <c r="C86" s="1" t="s">
        <v>287</v>
      </c>
    </row>
    <row r="87" spans="1:3" s="17" customFormat="1" ht="15.5" x14ac:dyDescent="0.35">
      <c r="A87" s="14" t="s">
        <v>288</v>
      </c>
      <c r="B87" s="14" t="s">
        <v>289</v>
      </c>
      <c r="C87" s="1" t="s">
        <v>290</v>
      </c>
    </row>
    <row r="88" spans="1:3" s="17" customFormat="1" ht="15.5" x14ac:dyDescent="0.35">
      <c r="A88" s="14" t="s">
        <v>291</v>
      </c>
      <c r="B88" s="14" t="s">
        <v>292</v>
      </c>
      <c r="C88" s="1" t="s">
        <v>293</v>
      </c>
    </row>
    <row r="89" spans="1:3" s="17" customFormat="1" ht="15.5" x14ac:dyDescent="0.35">
      <c r="A89" s="14" t="s">
        <v>294</v>
      </c>
      <c r="B89" s="14" t="s">
        <v>295</v>
      </c>
      <c r="C89" s="1" t="s">
        <v>296</v>
      </c>
    </row>
    <row r="90" spans="1:3" s="17" customFormat="1" ht="15.5" x14ac:dyDescent="0.35">
      <c r="A90" s="14" t="s">
        <v>297</v>
      </c>
      <c r="B90" s="14" t="s">
        <v>298</v>
      </c>
      <c r="C90" s="1" t="s">
        <v>299</v>
      </c>
    </row>
    <row r="91" spans="1:3" s="17" customFormat="1" ht="15.5" x14ac:dyDescent="0.35">
      <c r="A91" s="14" t="s">
        <v>300</v>
      </c>
      <c r="B91" s="14" t="s">
        <v>301</v>
      </c>
      <c r="C91" s="1" t="s">
        <v>302</v>
      </c>
    </row>
    <row r="92" spans="1:3" s="17" customFormat="1" ht="15.5" x14ac:dyDescent="0.35">
      <c r="A92" s="14" t="s">
        <v>303</v>
      </c>
      <c r="B92" s="14" t="s">
        <v>304</v>
      </c>
      <c r="C92" s="1" t="s">
        <v>305</v>
      </c>
    </row>
    <row r="93" spans="1:3" s="17" customFormat="1" ht="15.5" x14ac:dyDescent="0.35">
      <c r="A93" s="14" t="s">
        <v>306</v>
      </c>
      <c r="B93" s="14" t="s">
        <v>307</v>
      </c>
      <c r="C93" s="1" t="s">
        <v>308</v>
      </c>
    </row>
    <row r="94" spans="1:3" s="17" customFormat="1" ht="15.5" x14ac:dyDescent="0.35">
      <c r="A94" s="14" t="s">
        <v>309</v>
      </c>
      <c r="B94" s="14" t="s">
        <v>310</v>
      </c>
      <c r="C94" s="1" t="s">
        <v>311</v>
      </c>
    </row>
    <row r="95" spans="1:3" s="17" customFormat="1" ht="15.5" x14ac:dyDescent="0.35">
      <c r="A95" s="14" t="s">
        <v>312</v>
      </c>
      <c r="B95" s="14" t="s">
        <v>313</v>
      </c>
      <c r="C95" s="1" t="s">
        <v>314</v>
      </c>
    </row>
    <row r="96" spans="1:3" s="17" customFormat="1" ht="15.5" x14ac:dyDescent="0.35">
      <c r="A96" s="14" t="s">
        <v>315</v>
      </c>
      <c r="B96" s="14" t="s">
        <v>316</v>
      </c>
      <c r="C96" s="1" t="s">
        <v>317</v>
      </c>
    </row>
    <row r="97" spans="1:3" s="17" customFormat="1" ht="15.5" x14ac:dyDescent="0.35">
      <c r="A97" s="14" t="s">
        <v>318</v>
      </c>
      <c r="B97" s="14" t="s">
        <v>319</v>
      </c>
      <c r="C97" s="1" t="s">
        <v>320</v>
      </c>
    </row>
    <row r="98" spans="1:3" s="17" customFormat="1" ht="15.5" x14ac:dyDescent="0.35">
      <c r="A98" s="14" t="s">
        <v>321</v>
      </c>
      <c r="B98" s="14" t="s">
        <v>322</v>
      </c>
      <c r="C98" s="1" t="s">
        <v>323</v>
      </c>
    </row>
    <row r="99" spans="1:3" s="17" customFormat="1" ht="15.5" x14ac:dyDescent="0.35">
      <c r="A99" s="14" t="s">
        <v>324</v>
      </c>
      <c r="B99" s="14" t="s">
        <v>325</v>
      </c>
      <c r="C99" s="1" t="s">
        <v>326</v>
      </c>
    </row>
    <row r="100" spans="1:3" s="17" customFormat="1" ht="15.5" x14ac:dyDescent="0.35">
      <c r="A100" s="14" t="s">
        <v>327</v>
      </c>
      <c r="B100" s="14" t="s">
        <v>328</v>
      </c>
      <c r="C100" s="1" t="s">
        <v>329</v>
      </c>
    </row>
    <row r="101" spans="1:3" s="17" customFormat="1" ht="15.5" x14ac:dyDescent="0.35">
      <c r="A101" s="14" t="s">
        <v>330</v>
      </c>
      <c r="B101" s="14" t="s">
        <v>331</v>
      </c>
      <c r="C101" s="1" t="s">
        <v>332</v>
      </c>
    </row>
    <row r="102" spans="1:3" s="17" customFormat="1" ht="15.5" x14ac:dyDescent="0.35">
      <c r="A102" s="14" t="s">
        <v>333</v>
      </c>
      <c r="B102" s="14" t="s">
        <v>334</v>
      </c>
      <c r="C102" s="1" t="s">
        <v>335</v>
      </c>
    </row>
    <row r="103" spans="1:3" s="17" customFormat="1" ht="15.5" x14ac:dyDescent="0.35">
      <c r="A103" s="14" t="s">
        <v>336</v>
      </c>
      <c r="B103" s="14" t="s">
        <v>337</v>
      </c>
      <c r="C103" s="1" t="s">
        <v>338</v>
      </c>
    </row>
    <row r="104" spans="1:3" s="17" customFormat="1" ht="15.5" x14ac:dyDescent="0.35">
      <c r="A104" s="14" t="s">
        <v>339</v>
      </c>
      <c r="B104" s="14" t="s">
        <v>340</v>
      </c>
      <c r="C104" s="1" t="s">
        <v>341</v>
      </c>
    </row>
    <row r="105" spans="1:3" s="17" customFormat="1" ht="15.5" x14ac:dyDescent="0.35">
      <c r="A105" s="14" t="s">
        <v>342</v>
      </c>
      <c r="B105" s="14" t="s">
        <v>343</v>
      </c>
      <c r="C105" s="1" t="s">
        <v>344</v>
      </c>
    </row>
    <row r="106" spans="1:3" s="17" customFormat="1" ht="15.5" x14ac:dyDescent="0.35">
      <c r="A106" s="14" t="s">
        <v>345</v>
      </c>
      <c r="B106" s="14" t="s">
        <v>346</v>
      </c>
      <c r="C106" s="1" t="s">
        <v>347</v>
      </c>
    </row>
    <row r="107" spans="1:3" s="17" customFormat="1" ht="15.5" x14ac:dyDescent="0.35">
      <c r="A107" s="14" t="s">
        <v>348</v>
      </c>
      <c r="B107" s="14" t="s">
        <v>349</v>
      </c>
      <c r="C107" s="1" t="s">
        <v>350</v>
      </c>
    </row>
    <row r="108" spans="1:3" s="17" customFormat="1" ht="15.5" x14ac:dyDescent="0.35">
      <c r="A108" s="14" t="s">
        <v>351</v>
      </c>
      <c r="B108" s="14" t="s">
        <v>352</v>
      </c>
      <c r="C108" s="1" t="s">
        <v>353</v>
      </c>
    </row>
    <row r="109" spans="1:3" s="17" customFormat="1" ht="15.5" x14ac:dyDescent="0.35">
      <c r="A109" s="14" t="s">
        <v>354</v>
      </c>
      <c r="B109" s="14" t="s">
        <v>355</v>
      </c>
      <c r="C109" s="1" t="s">
        <v>356</v>
      </c>
    </row>
    <row r="110" spans="1:3" s="17" customFormat="1" ht="15.5" x14ac:dyDescent="0.35">
      <c r="A110" s="14" t="s">
        <v>357</v>
      </c>
      <c r="B110" s="14" t="s">
        <v>358</v>
      </c>
      <c r="C110" s="1" t="s">
        <v>359</v>
      </c>
    </row>
    <row r="111" spans="1:3" s="17" customFormat="1" ht="15.5" x14ac:dyDescent="0.35">
      <c r="A111" s="14" t="s">
        <v>360</v>
      </c>
      <c r="B111" s="14" t="s">
        <v>361</v>
      </c>
      <c r="C111" s="1" t="s">
        <v>362</v>
      </c>
    </row>
    <row r="112" spans="1:3" s="17" customFormat="1" ht="15.5" x14ac:dyDescent="0.35">
      <c r="A112" s="14" t="s">
        <v>363</v>
      </c>
      <c r="B112" s="14" t="s">
        <v>364</v>
      </c>
      <c r="C112" s="1" t="s">
        <v>365</v>
      </c>
    </row>
    <row r="113" spans="1:3" s="17" customFormat="1" ht="15.5" x14ac:dyDescent="0.35">
      <c r="A113" s="14" t="s">
        <v>366</v>
      </c>
      <c r="B113" s="14" t="s">
        <v>367</v>
      </c>
      <c r="C113" s="1" t="s">
        <v>368</v>
      </c>
    </row>
    <row r="114" spans="1:3" s="17" customFormat="1" ht="15.5" x14ac:dyDescent="0.35">
      <c r="A114" s="14" t="s">
        <v>369</v>
      </c>
      <c r="B114" s="14" t="s">
        <v>370</v>
      </c>
      <c r="C114" s="1" t="s">
        <v>371</v>
      </c>
    </row>
    <row r="115" spans="1:3" s="17" customFormat="1" ht="15.5" x14ac:dyDescent="0.35">
      <c r="A115" s="14" t="s">
        <v>372</v>
      </c>
      <c r="B115" s="14" t="s">
        <v>373</v>
      </c>
      <c r="C115" s="1" t="s">
        <v>374</v>
      </c>
    </row>
    <row r="116" spans="1:3" s="17" customFormat="1" ht="15.5" x14ac:dyDescent="0.35">
      <c r="A116" s="14" t="s">
        <v>375</v>
      </c>
      <c r="B116" s="14" t="s">
        <v>376</v>
      </c>
      <c r="C116" s="1" t="s">
        <v>377</v>
      </c>
    </row>
    <row r="117" spans="1:3" s="17" customFormat="1" ht="15.5" x14ac:dyDescent="0.35">
      <c r="A117" s="14" t="s">
        <v>378</v>
      </c>
      <c r="B117" s="14" t="s">
        <v>379</v>
      </c>
      <c r="C117" s="1" t="s">
        <v>380</v>
      </c>
    </row>
    <row r="118" spans="1:3" s="17" customFormat="1" ht="15.5" x14ac:dyDescent="0.35">
      <c r="A118" s="14" t="s">
        <v>381</v>
      </c>
      <c r="B118" s="14" t="s">
        <v>382</v>
      </c>
      <c r="C118" s="1" t="s">
        <v>383</v>
      </c>
    </row>
    <row r="119" spans="1:3" s="17" customFormat="1" ht="15.5" x14ac:dyDescent="0.35">
      <c r="A119" s="14" t="s">
        <v>384</v>
      </c>
      <c r="B119" s="14" t="s">
        <v>385</v>
      </c>
      <c r="C119" s="1" t="s">
        <v>386</v>
      </c>
    </row>
    <row r="120" spans="1:3" s="17" customFormat="1" ht="15.5" x14ac:dyDescent="0.35">
      <c r="A120" s="14" t="s">
        <v>387</v>
      </c>
      <c r="B120" s="14" t="s">
        <v>388</v>
      </c>
      <c r="C120" s="1" t="s">
        <v>389</v>
      </c>
    </row>
    <row r="121" spans="1:3" s="17" customFormat="1" ht="15.5" x14ac:dyDescent="0.35">
      <c r="A121" s="14" t="s">
        <v>390</v>
      </c>
      <c r="B121" s="14" t="s">
        <v>391</v>
      </c>
      <c r="C121" s="1" t="s">
        <v>392</v>
      </c>
    </row>
    <row r="122" spans="1:3" s="17" customFormat="1" ht="15.5" x14ac:dyDescent="0.35">
      <c r="A122" s="14" t="s">
        <v>393</v>
      </c>
      <c r="B122" s="14" t="s">
        <v>394</v>
      </c>
      <c r="C122" s="1" t="s">
        <v>395</v>
      </c>
    </row>
    <row r="123" spans="1:3" s="17" customFormat="1" ht="15.5" x14ac:dyDescent="0.35">
      <c r="A123" s="14" t="s">
        <v>396</v>
      </c>
      <c r="B123" s="14" t="s">
        <v>397</v>
      </c>
      <c r="C123" s="1" t="s">
        <v>398</v>
      </c>
    </row>
    <row r="124" spans="1:3" s="17" customFormat="1" ht="15.5" x14ac:dyDescent="0.35">
      <c r="A124" s="14" t="s">
        <v>399</v>
      </c>
      <c r="B124" s="14" t="s">
        <v>400</v>
      </c>
      <c r="C124" s="1" t="s">
        <v>401</v>
      </c>
    </row>
    <row r="125" spans="1:3" s="17" customFormat="1" ht="15.5" x14ac:dyDescent="0.35">
      <c r="A125" s="14" t="s">
        <v>402</v>
      </c>
      <c r="B125" s="14" t="s">
        <v>403</v>
      </c>
      <c r="C125" s="1" t="s">
        <v>404</v>
      </c>
    </row>
    <row r="126" spans="1:3" s="17" customFormat="1" ht="15.5" x14ac:dyDescent="0.35">
      <c r="A126" s="14" t="s">
        <v>405</v>
      </c>
      <c r="B126" s="14" t="s">
        <v>406</v>
      </c>
      <c r="C126" s="1" t="s">
        <v>407</v>
      </c>
    </row>
    <row r="127" spans="1:3" s="17" customFormat="1" ht="15.5" x14ac:dyDescent="0.35">
      <c r="A127" s="14" t="s">
        <v>408</v>
      </c>
      <c r="B127" s="14" t="s">
        <v>409</v>
      </c>
      <c r="C127" s="1" t="s">
        <v>410</v>
      </c>
    </row>
    <row r="128" spans="1:3" s="17" customFormat="1" ht="15.5" x14ac:dyDescent="0.35">
      <c r="A128" s="14" t="s">
        <v>411</v>
      </c>
      <c r="B128" s="14" t="s">
        <v>412</v>
      </c>
      <c r="C128" s="1" t="s">
        <v>413</v>
      </c>
    </row>
    <row r="129" spans="1:3" s="17" customFormat="1" ht="15.5" x14ac:dyDescent="0.35">
      <c r="A129" s="14" t="s">
        <v>414</v>
      </c>
      <c r="B129" s="14" t="s">
        <v>415</v>
      </c>
      <c r="C129" s="1" t="s">
        <v>416</v>
      </c>
    </row>
    <row r="130" spans="1:3" s="17" customFormat="1" ht="15.5" x14ac:dyDescent="0.35">
      <c r="A130" s="14" t="s">
        <v>417</v>
      </c>
      <c r="B130" s="14" t="s">
        <v>418</v>
      </c>
      <c r="C130" s="1" t="s">
        <v>419</v>
      </c>
    </row>
    <row r="131" spans="1:3" s="17" customFormat="1" ht="15.5" x14ac:dyDescent="0.35">
      <c r="A131" s="14" t="s">
        <v>420</v>
      </c>
      <c r="B131" s="14" t="s">
        <v>421</v>
      </c>
      <c r="C131" s="1" t="s">
        <v>422</v>
      </c>
    </row>
    <row r="132" spans="1:3" s="17" customFormat="1" ht="15.5" x14ac:dyDescent="0.35">
      <c r="A132" s="14" t="s">
        <v>423</v>
      </c>
      <c r="B132" s="14" t="s">
        <v>424</v>
      </c>
      <c r="C132" s="1" t="s">
        <v>425</v>
      </c>
    </row>
    <row r="133" spans="1:3" s="17" customFormat="1" ht="15.5" x14ac:dyDescent="0.35">
      <c r="A133" s="14" t="s">
        <v>426</v>
      </c>
      <c r="B133" s="14" t="s">
        <v>427</v>
      </c>
      <c r="C133" s="1" t="s">
        <v>428</v>
      </c>
    </row>
    <row r="134" spans="1:3" s="17" customFormat="1" ht="15.5" x14ac:dyDescent="0.35">
      <c r="A134" s="14" t="s">
        <v>429</v>
      </c>
      <c r="B134" s="14" t="s">
        <v>430</v>
      </c>
      <c r="C134" s="1" t="s">
        <v>431</v>
      </c>
    </row>
    <row r="135" spans="1:3" s="17" customFormat="1" ht="15.5" x14ac:dyDescent="0.35">
      <c r="A135" s="14" t="s">
        <v>432</v>
      </c>
      <c r="B135" s="14" t="s">
        <v>433</v>
      </c>
      <c r="C135" s="1" t="s">
        <v>434</v>
      </c>
    </row>
    <row r="136" spans="1:3" s="17" customFormat="1" ht="15.5" x14ac:dyDescent="0.35">
      <c r="A136" s="14" t="s">
        <v>435</v>
      </c>
      <c r="B136" s="14" t="s">
        <v>436</v>
      </c>
      <c r="C136" s="1" t="s">
        <v>437</v>
      </c>
    </row>
    <row r="137" spans="1:3" s="17" customFormat="1" ht="15.5" x14ac:dyDescent="0.35">
      <c r="A137" s="14" t="s">
        <v>438</v>
      </c>
      <c r="B137" s="14" t="s">
        <v>439</v>
      </c>
      <c r="C137" s="1" t="s">
        <v>440</v>
      </c>
    </row>
    <row r="138" spans="1:3" s="17" customFormat="1" ht="15.5" x14ac:dyDescent="0.35">
      <c r="A138" s="14" t="s">
        <v>441</v>
      </c>
      <c r="B138" s="14" t="s">
        <v>442</v>
      </c>
      <c r="C138" s="1" t="s">
        <v>443</v>
      </c>
    </row>
    <row r="139" spans="1:3" s="17" customFormat="1" ht="15.5" x14ac:dyDescent="0.35">
      <c r="A139" s="14" t="s">
        <v>444</v>
      </c>
      <c r="B139" s="14" t="s">
        <v>445</v>
      </c>
      <c r="C139" s="1" t="s">
        <v>446</v>
      </c>
    </row>
    <row r="140" spans="1:3" s="17" customFormat="1" ht="15.5" x14ac:dyDescent="0.35">
      <c r="A140" s="14" t="s">
        <v>447</v>
      </c>
      <c r="B140" s="14" t="s">
        <v>448</v>
      </c>
      <c r="C140" s="1" t="s">
        <v>449</v>
      </c>
    </row>
    <row r="141" spans="1:3" s="17" customFormat="1" ht="15.5" x14ac:dyDescent="0.35">
      <c r="A141" s="14" t="s">
        <v>450</v>
      </c>
      <c r="B141" s="14" t="s">
        <v>451</v>
      </c>
      <c r="C141" s="1" t="s">
        <v>452</v>
      </c>
    </row>
    <row r="142" spans="1:3" s="17" customFormat="1" ht="15.5" x14ac:dyDescent="0.35">
      <c r="A142" s="14" t="s">
        <v>453</v>
      </c>
      <c r="B142" s="14" t="s">
        <v>454</v>
      </c>
      <c r="C142" s="1" t="s">
        <v>455</v>
      </c>
    </row>
    <row r="143" spans="1:3" s="17" customFormat="1" ht="15.5" x14ac:dyDescent="0.35">
      <c r="A143" s="14" t="s">
        <v>456</v>
      </c>
      <c r="B143" s="14" t="s">
        <v>457</v>
      </c>
      <c r="C143" s="1" t="s">
        <v>458</v>
      </c>
    </row>
    <row r="144" spans="1:3" s="17" customFormat="1" ht="15.5" x14ac:dyDescent="0.35">
      <c r="A144" s="39" t="s">
        <v>459</v>
      </c>
      <c r="B144" s="14" t="s">
        <v>460</v>
      </c>
      <c r="C144" s="1" t="s">
        <v>461</v>
      </c>
    </row>
    <row r="145" spans="1:3" s="17" customFormat="1" ht="15.5" x14ac:dyDescent="0.35">
      <c r="A145" s="14" t="s">
        <v>462</v>
      </c>
      <c r="B145" s="14" t="s">
        <v>463</v>
      </c>
      <c r="C145" s="1" t="s">
        <v>464</v>
      </c>
    </row>
    <row r="146" spans="1:3" s="17" customFormat="1" ht="15.5" x14ac:dyDescent="0.35">
      <c r="A146" s="14" t="s">
        <v>465</v>
      </c>
      <c r="B146" s="14" t="s">
        <v>466</v>
      </c>
      <c r="C146" s="1" t="s">
        <v>467</v>
      </c>
    </row>
    <row r="147" spans="1:3" s="17" customFormat="1" ht="15.5" x14ac:dyDescent="0.35">
      <c r="A147" s="14" t="s">
        <v>468</v>
      </c>
      <c r="B147" s="14" t="s">
        <v>469</v>
      </c>
      <c r="C147" s="1" t="s">
        <v>470</v>
      </c>
    </row>
    <row r="148" spans="1:3" s="17" customFormat="1" ht="15.5" x14ac:dyDescent="0.35">
      <c r="A148" s="14" t="s">
        <v>471</v>
      </c>
      <c r="B148" s="14" t="s">
        <v>472</v>
      </c>
      <c r="C148" s="1" t="s">
        <v>473</v>
      </c>
    </row>
    <row r="149" spans="1:3" s="17" customFormat="1" ht="15.5" x14ac:dyDescent="0.35">
      <c r="A149" s="14" t="s">
        <v>474</v>
      </c>
      <c r="B149" s="14" t="s">
        <v>475</v>
      </c>
      <c r="C149" s="1" t="s">
        <v>476</v>
      </c>
    </row>
    <row r="150" spans="1:3" s="17" customFormat="1" ht="15.5" x14ac:dyDescent="0.35">
      <c r="A150" s="14" t="s">
        <v>477</v>
      </c>
      <c r="B150" s="14" t="s">
        <v>478</v>
      </c>
      <c r="C150" s="1" t="s">
        <v>479</v>
      </c>
    </row>
    <row r="151" spans="1:3" s="17" customFormat="1" ht="15.5" x14ac:dyDescent="0.35">
      <c r="A151" s="14" t="s">
        <v>480</v>
      </c>
      <c r="B151" s="14" t="s">
        <v>481</v>
      </c>
      <c r="C151" s="1" t="s">
        <v>482</v>
      </c>
    </row>
    <row r="152" spans="1:3" s="17" customFormat="1" ht="15.5" x14ac:dyDescent="0.35">
      <c r="A152" s="14" t="s">
        <v>483</v>
      </c>
      <c r="B152" s="14" t="s">
        <v>484</v>
      </c>
      <c r="C152" s="1" t="s">
        <v>485</v>
      </c>
    </row>
    <row r="153" spans="1:3" s="17" customFormat="1" ht="15.5" x14ac:dyDescent="0.35">
      <c r="A153" s="39" t="s">
        <v>486</v>
      </c>
      <c r="B153" s="14" t="s">
        <v>487</v>
      </c>
      <c r="C153" s="1" t="s">
        <v>488</v>
      </c>
    </row>
    <row r="154" spans="1:3" s="17" customFormat="1" ht="15.5" x14ac:dyDescent="0.35">
      <c r="A154" s="14" t="s">
        <v>489</v>
      </c>
      <c r="B154" s="14" t="s">
        <v>490</v>
      </c>
      <c r="C154" s="1" t="s">
        <v>491</v>
      </c>
    </row>
    <row r="155" spans="1:3" s="17" customFormat="1" ht="15.5" x14ac:dyDescent="0.35">
      <c r="A155" s="14" t="s">
        <v>492</v>
      </c>
      <c r="B155" s="14" t="s">
        <v>493</v>
      </c>
      <c r="C155" s="1" t="s">
        <v>494</v>
      </c>
    </row>
    <row r="156" spans="1:3" s="17" customFormat="1" ht="15.5" x14ac:dyDescent="0.35">
      <c r="A156" s="14" t="s">
        <v>495</v>
      </c>
      <c r="B156" s="14" t="s">
        <v>496</v>
      </c>
      <c r="C156" s="1" t="s">
        <v>497</v>
      </c>
    </row>
    <row r="157" spans="1:3" s="17" customFormat="1" ht="15.5" x14ac:dyDescent="0.35">
      <c r="A157" s="14" t="s">
        <v>498</v>
      </c>
      <c r="B157" s="14" t="s">
        <v>499</v>
      </c>
      <c r="C157" s="1" t="s">
        <v>500</v>
      </c>
    </row>
    <row r="158" spans="1:3" s="17" customFormat="1" ht="15.5" x14ac:dyDescent="0.35">
      <c r="A158" s="14" t="s">
        <v>501</v>
      </c>
      <c r="B158" s="14" t="s">
        <v>502</v>
      </c>
      <c r="C158" s="1" t="s">
        <v>503</v>
      </c>
    </row>
    <row r="159" spans="1:3" s="17" customFormat="1" ht="15.5" x14ac:dyDescent="0.35">
      <c r="A159" s="14" t="s">
        <v>504</v>
      </c>
      <c r="B159" s="14" t="s">
        <v>505</v>
      </c>
      <c r="C159" s="1" t="s">
        <v>506</v>
      </c>
    </row>
    <row r="160" spans="1:3" s="17" customFormat="1" ht="15.5" x14ac:dyDescent="0.35">
      <c r="A160" s="14" t="s">
        <v>507</v>
      </c>
      <c r="B160" s="14" t="s">
        <v>508</v>
      </c>
      <c r="C160" s="1" t="s">
        <v>509</v>
      </c>
    </row>
    <row r="161" spans="1:3" s="17" customFormat="1" ht="15.5" x14ac:dyDescent="0.35">
      <c r="A161" s="76" t="s">
        <v>658</v>
      </c>
    </row>
    <row r="162" spans="1:3" s="17" customFormat="1" ht="15.5" x14ac:dyDescent="0.35">
      <c r="A162" s="14" t="s">
        <v>513</v>
      </c>
      <c r="B162" s="14" t="s">
        <v>514</v>
      </c>
      <c r="C162" s="238" t="s">
        <v>515</v>
      </c>
    </row>
    <row r="163" spans="1:3" s="17" customFormat="1" ht="15.5" x14ac:dyDescent="0.35">
      <c r="A163" s="14" t="s">
        <v>516</v>
      </c>
      <c r="B163" s="14" t="s">
        <v>517</v>
      </c>
      <c r="C163" s="239"/>
    </row>
    <row r="164" spans="1:3" s="17" customFormat="1" ht="15.5" x14ac:dyDescent="0.35">
      <c r="A164" s="14" t="s">
        <v>518</v>
      </c>
      <c r="B164" s="14" t="s">
        <v>519</v>
      </c>
      <c r="C164" s="239"/>
    </row>
    <row r="165" spans="1:3" s="17" customFormat="1" ht="15.5" x14ac:dyDescent="0.35">
      <c r="A165" s="14" t="s">
        <v>520</v>
      </c>
      <c r="B165" s="14" t="s">
        <v>521</v>
      </c>
      <c r="C165" s="239"/>
    </row>
    <row r="166" spans="1:3" s="17" customFormat="1" ht="15.5" x14ac:dyDescent="0.35">
      <c r="A166" s="14" t="s">
        <v>522</v>
      </c>
      <c r="B166" s="14" t="s">
        <v>523</v>
      </c>
      <c r="C166" s="239"/>
    </row>
    <row r="167" spans="1:3" s="17" customFormat="1" ht="15.5" x14ac:dyDescent="0.35">
      <c r="A167" s="14" t="s">
        <v>524</v>
      </c>
      <c r="B167" s="14" t="s">
        <v>525</v>
      </c>
      <c r="C167" s="239"/>
    </row>
    <row r="168" spans="1:3" s="17" customFormat="1" ht="15.5" x14ac:dyDescent="0.35">
      <c r="A168" s="14" t="s">
        <v>526</v>
      </c>
      <c r="B168" s="14" t="s">
        <v>527</v>
      </c>
      <c r="C168" s="240"/>
    </row>
    <row r="169" spans="1:3" s="17" customFormat="1" ht="15.5" x14ac:dyDescent="0.35">
      <c r="A169" s="10" t="s">
        <v>659</v>
      </c>
    </row>
    <row r="170" spans="1:3" s="17" customFormat="1" ht="15.5" customHeight="1" x14ac:dyDescent="0.35">
      <c r="A170" s="14" t="s">
        <v>530</v>
      </c>
      <c r="B170" s="14" t="s">
        <v>531</v>
      </c>
      <c r="C170" s="241" t="s">
        <v>532</v>
      </c>
    </row>
    <row r="171" spans="1:3" s="17" customFormat="1" ht="15.75" customHeight="1" x14ac:dyDescent="0.35">
      <c r="A171" s="14" t="s">
        <v>530</v>
      </c>
      <c r="B171" s="14" t="s">
        <v>533</v>
      </c>
      <c r="C171" s="242"/>
    </row>
    <row r="172" spans="1:3" s="17" customFormat="1" ht="15.75" customHeight="1" x14ac:dyDescent="0.35">
      <c r="A172" s="14" t="s">
        <v>534</v>
      </c>
      <c r="B172" s="14" t="s">
        <v>535</v>
      </c>
      <c r="C172" s="242"/>
    </row>
    <row r="173" spans="1:3" s="17" customFormat="1" ht="15.75" customHeight="1" x14ac:dyDescent="0.35">
      <c r="A173" s="14" t="s">
        <v>536</v>
      </c>
      <c r="B173" s="14" t="s">
        <v>537</v>
      </c>
      <c r="C173" s="242"/>
    </row>
    <row r="174" spans="1:3" s="17" customFormat="1" ht="15.75" customHeight="1" x14ac:dyDescent="0.35">
      <c r="A174" s="14" t="s">
        <v>538</v>
      </c>
      <c r="B174" s="14" t="s">
        <v>539</v>
      </c>
      <c r="C174" s="242"/>
    </row>
    <row r="175" spans="1:3" s="17" customFormat="1" ht="15.75" customHeight="1" x14ac:dyDescent="0.35">
      <c r="A175" s="14" t="s">
        <v>538</v>
      </c>
      <c r="B175" s="14" t="s">
        <v>540</v>
      </c>
      <c r="C175" s="242"/>
    </row>
    <row r="176" spans="1:3" s="17" customFormat="1" ht="15.75" customHeight="1" x14ac:dyDescent="0.35">
      <c r="A176" s="14" t="s">
        <v>541</v>
      </c>
      <c r="B176" s="14" t="s">
        <v>542</v>
      </c>
      <c r="C176" s="242"/>
    </row>
    <row r="177" spans="1:3" s="17" customFormat="1" ht="15.75" customHeight="1" x14ac:dyDescent="0.35">
      <c r="A177" s="14" t="s">
        <v>543</v>
      </c>
      <c r="B177" s="14" t="s">
        <v>544</v>
      </c>
      <c r="C177" s="242"/>
    </row>
    <row r="178" spans="1:3" s="17" customFormat="1" ht="15.75" customHeight="1" x14ac:dyDescent="0.35">
      <c r="A178" s="14" t="s">
        <v>543</v>
      </c>
      <c r="B178" s="14" t="s">
        <v>545</v>
      </c>
      <c r="C178" s="242"/>
    </row>
    <row r="179" spans="1:3" s="17" customFormat="1" ht="15.75" customHeight="1" x14ac:dyDescent="0.35">
      <c r="A179" s="14" t="s">
        <v>546</v>
      </c>
      <c r="B179" s="14" t="s">
        <v>547</v>
      </c>
      <c r="C179" s="242"/>
    </row>
    <row r="180" spans="1:3" s="17" customFormat="1" ht="15.75" customHeight="1" x14ac:dyDescent="0.35">
      <c r="A180" s="14" t="s">
        <v>548</v>
      </c>
      <c r="B180" s="14" t="s">
        <v>549</v>
      </c>
      <c r="C180" s="242"/>
    </row>
    <row r="181" spans="1:3" s="17" customFormat="1" ht="15.75" customHeight="1" x14ac:dyDescent="0.35">
      <c r="A181" s="14" t="s">
        <v>548</v>
      </c>
      <c r="B181" s="14" t="s">
        <v>550</v>
      </c>
      <c r="C181" s="242"/>
    </row>
    <row r="182" spans="1:3" s="17" customFormat="1" ht="15.75" customHeight="1" x14ac:dyDescent="0.35">
      <c r="A182" s="14" t="s">
        <v>551</v>
      </c>
      <c r="B182" s="14" t="s">
        <v>552</v>
      </c>
      <c r="C182" s="242"/>
    </row>
    <row r="183" spans="1:3" s="17" customFormat="1" ht="15.75" customHeight="1" x14ac:dyDescent="0.35">
      <c r="A183" s="14" t="s">
        <v>553</v>
      </c>
      <c r="B183" s="14" t="s">
        <v>554</v>
      </c>
      <c r="C183" s="242"/>
    </row>
    <row r="184" spans="1:3" s="17" customFormat="1" ht="15.75" customHeight="1" x14ac:dyDescent="0.35">
      <c r="A184" s="14" t="s">
        <v>555</v>
      </c>
      <c r="B184" s="35" t="s">
        <v>556</v>
      </c>
      <c r="C184" s="242"/>
    </row>
    <row r="185" spans="1:3" s="17" customFormat="1" ht="15.75" customHeight="1" x14ac:dyDescent="0.35">
      <c r="A185" s="14" t="s">
        <v>555</v>
      </c>
      <c r="B185" s="35" t="s">
        <v>557</v>
      </c>
      <c r="C185" s="242"/>
    </row>
    <row r="186" spans="1:3" s="17" customFormat="1" ht="15.75" customHeight="1" x14ac:dyDescent="0.35">
      <c r="A186" s="14" t="s">
        <v>558</v>
      </c>
      <c r="B186" s="35" t="s">
        <v>559</v>
      </c>
      <c r="C186" s="242"/>
    </row>
    <row r="187" spans="1:3" s="17" customFormat="1" ht="15.75" customHeight="1" x14ac:dyDescent="0.35">
      <c r="A187" s="14" t="s">
        <v>560</v>
      </c>
      <c r="B187" s="35" t="s">
        <v>561</v>
      </c>
      <c r="C187" s="243"/>
    </row>
    <row r="188" spans="1:3" s="17" customFormat="1" ht="15.5" x14ac:dyDescent="0.35">
      <c r="A188" s="10" t="s">
        <v>660</v>
      </c>
      <c r="C188" s="23"/>
    </row>
    <row r="189" spans="1:3" s="17" customFormat="1" ht="15.75" customHeight="1" x14ac:dyDescent="0.35">
      <c r="A189" s="14" t="s">
        <v>565</v>
      </c>
      <c r="B189" s="14" t="s">
        <v>566</v>
      </c>
      <c r="C189" s="235" t="s">
        <v>661</v>
      </c>
    </row>
    <row r="190" spans="1:3" s="17" customFormat="1" ht="15.75" customHeight="1" x14ac:dyDescent="0.35">
      <c r="A190" s="14" t="s">
        <v>568</v>
      </c>
      <c r="B190" s="14" t="s">
        <v>569</v>
      </c>
      <c r="C190" s="236"/>
    </row>
    <row r="191" spans="1:3" s="17" customFormat="1" ht="15.75" customHeight="1" x14ac:dyDescent="0.35">
      <c r="A191" s="14" t="s">
        <v>570</v>
      </c>
      <c r="B191" s="14" t="s">
        <v>571</v>
      </c>
      <c r="C191" s="236"/>
    </row>
    <row r="192" spans="1:3" s="17" customFormat="1" ht="15.75" customHeight="1" x14ac:dyDescent="0.35">
      <c r="A192" s="14" t="s">
        <v>572</v>
      </c>
      <c r="B192" s="14" t="s">
        <v>573</v>
      </c>
      <c r="C192" s="236"/>
    </row>
    <row r="193" spans="1:3" s="17" customFormat="1" ht="15.75" customHeight="1" x14ac:dyDescent="0.35">
      <c r="A193" s="14" t="s">
        <v>574</v>
      </c>
      <c r="B193" s="14" t="s">
        <v>575</v>
      </c>
      <c r="C193" s="236"/>
    </row>
    <row r="194" spans="1:3" s="17" customFormat="1" ht="15.75" customHeight="1" x14ac:dyDescent="0.35">
      <c r="A194" s="14" t="s">
        <v>576</v>
      </c>
      <c r="B194" s="14" t="s">
        <v>577</v>
      </c>
      <c r="C194" s="236"/>
    </row>
    <row r="195" spans="1:3" s="17" customFormat="1" ht="15.75" customHeight="1" x14ac:dyDescent="0.35">
      <c r="A195" s="14" t="s">
        <v>578</v>
      </c>
      <c r="B195" s="14" t="s">
        <v>579</v>
      </c>
      <c r="C195" s="236"/>
    </row>
    <row r="196" spans="1:3" s="17" customFormat="1" ht="15.75" customHeight="1" x14ac:dyDescent="0.35">
      <c r="A196" s="14" t="s">
        <v>580</v>
      </c>
      <c r="B196" s="14" t="s">
        <v>581</v>
      </c>
      <c r="C196" s="236"/>
    </row>
    <row r="197" spans="1:3" s="17" customFormat="1" ht="15.75" customHeight="1" x14ac:dyDescent="0.35">
      <c r="A197" s="14" t="s">
        <v>582</v>
      </c>
      <c r="B197" s="14" t="s">
        <v>583</v>
      </c>
      <c r="C197" s="236"/>
    </row>
    <row r="198" spans="1:3" s="17" customFormat="1" ht="15.75" customHeight="1" x14ac:dyDescent="0.35">
      <c r="A198" s="14" t="s">
        <v>584</v>
      </c>
      <c r="B198" s="14" t="s">
        <v>585</v>
      </c>
      <c r="C198" s="236"/>
    </row>
    <row r="199" spans="1:3" s="17" customFormat="1" ht="15.75" customHeight="1" x14ac:dyDescent="0.35">
      <c r="A199" s="14" t="s">
        <v>586</v>
      </c>
      <c r="B199" s="14" t="s">
        <v>587</v>
      </c>
      <c r="C199" s="236"/>
    </row>
    <row r="200" spans="1:3" s="17" customFormat="1" ht="15.75" customHeight="1" x14ac:dyDescent="0.35">
      <c r="A200" s="14" t="s">
        <v>588</v>
      </c>
      <c r="B200" s="14" t="s">
        <v>589</v>
      </c>
      <c r="C200" s="236"/>
    </row>
    <row r="201" spans="1:3" s="17" customFormat="1" ht="15.75" customHeight="1" x14ac:dyDescent="0.35">
      <c r="A201" s="14"/>
      <c r="B201" s="14"/>
      <c r="C201" s="236"/>
    </row>
    <row r="202" spans="1:3" s="17" customFormat="1" ht="15.5" customHeight="1" x14ac:dyDescent="0.35">
      <c r="A202" s="14"/>
      <c r="B202" s="14"/>
      <c r="C202" s="236"/>
    </row>
    <row r="203" spans="1:3" s="17" customFormat="1" ht="15.75" customHeight="1" x14ac:dyDescent="0.35">
      <c r="A203" s="10" t="s">
        <v>662</v>
      </c>
    </row>
    <row r="204" spans="1:3" s="17" customFormat="1" ht="15.75" customHeight="1" x14ac:dyDescent="0.35">
      <c r="A204" s="14" t="s">
        <v>592</v>
      </c>
      <c r="B204" s="14" t="s">
        <v>593</v>
      </c>
      <c r="C204" s="235" t="s">
        <v>663</v>
      </c>
    </row>
    <row r="205" spans="1:3" s="17" customFormat="1" ht="15.75" customHeight="1" x14ac:dyDescent="0.35">
      <c r="A205" s="14" t="s">
        <v>592</v>
      </c>
      <c r="B205" s="14" t="s">
        <v>595</v>
      </c>
      <c r="C205" s="235"/>
    </row>
    <row r="206" spans="1:3" s="17" customFormat="1" ht="15.75" customHeight="1" x14ac:dyDescent="0.35">
      <c r="A206" s="14" t="s">
        <v>596</v>
      </c>
      <c r="B206" s="14" t="s">
        <v>597</v>
      </c>
      <c r="C206" s="235"/>
    </row>
    <row r="207" spans="1:3" s="17" customFormat="1" ht="15.75" customHeight="1" x14ac:dyDescent="0.35">
      <c r="A207" s="14" t="s">
        <v>598</v>
      </c>
      <c r="B207" s="14" t="s">
        <v>599</v>
      </c>
      <c r="C207" s="235"/>
    </row>
    <row r="208" spans="1:3" s="17" customFormat="1" ht="15.5" x14ac:dyDescent="0.35">
      <c r="A208" s="10" t="s">
        <v>664</v>
      </c>
    </row>
    <row r="209" spans="1:3" s="17" customFormat="1" ht="15.5" x14ac:dyDescent="0.35">
      <c r="A209" s="14" t="s">
        <v>602</v>
      </c>
      <c r="B209" s="14" t="s">
        <v>603</v>
      </c>
      <c r="C209" s="236" t="s">
        <v>604</v>
      </c>
    </row>
    <row r="210" spans="1:3" s="17" customFormat="1" ht="15.5" x14ac:dyDescent="0.35">
      <c r="A210" s="14" t="s">
        <v>602</v>
      </c>
      <c r="B210" s="14" t="s">
        <v>605</v>
      </c>
      <c r="C210" s="236"/>
    </row>
    <row r="211" spans="1:3" s="17" customFormat="1" ht="15.5" x14ac:dyDescent="0.35">
      <c r="A211" s="14" t="s">
        <v>606</v>
      </c>
      <c r="B211" s="14" t="s">
        <v>607</v>
      </c>
      <c r="C211" s="236"/>
    </row>
    <row r="212" spans="1:3" s="17" customFormat="1" ht="15.5" x14ac:dyDescent="0.35">
      <c r="A212" s="14" t="s">
        <v>608</v>
      </c>
      <c r="B212" s="14" t="s">
        <v>609</v>
      </c>
      <c r="C212" s="236"/>
    </row>
    <row r="213" spans="1:3" s="17" customFormat="1" ht="15.5" x14ac:dyDescent="0.35">
      <c r="A213" s="10" t="s">
        <v>665</v>
      </c>
    </row>
    <row r="214" spans="1:3" s="17" customFormat="1" ht="15.5" x14ac:dyDescent="0.35">
      <c r="A214" s="14" t="s">
        <v>602</v>
      </c>
      <c r="B214" s="14" t="s">
        <v>612</v>
      </c>
      <c r="C214" s="236" t="s">
        <v>613</v>
      </c>
    </row>
    <row r="215" spans="1:3" s="17" customFormat="1" ht="15.5" x14ac:dyDescent="0.35">
      <c r="A215" s="14" t="s">
        <v>602</v>
      </c>
      <c r="B215" s="14" t="s">
        <v>614</v>
      </c>
      <c r="C215" s="236"/>
    </row>
    <row r="216" spans="1:3" s="17" customFormat="1" ht="15.5" x14ac:dyDescent="0.35">
      <c r="A216" s="14" t="s">
        <v>606</v>
      </c>
      <c r="B216" s="14" t="s">
        <v>615</v>
      </c>
      <c r="C216" s="236"/>
    </row>
    <row r="217" spans="1:3" x14ac:dyDescent="0.35">
      <c r="A217" s="14" t="s">
        <v>608</v>
      </c>
      <c r="B217" s="14" t="s">
        <v>616</v>
      </c>
      <c r="C217" s="236"/>
    </row>
    <row r="218" spans="1:3" ht="15.5" x14ac:dyDescent="0.35">
      <c r="A218" s="10" t="s">
        <v>666</v>
      </c>
      <c r="C218" s="17"/>
    </row>
    <row r="219" spans="1:3" s="17" customFormat="1" ht="15.5" x14ac:dyDescent="0.35">
      <c r="A219" s="14" t="s">
        <v>620</v>
      </c>
      <c r="B219" s="14" t="s">
        <v>549</v>
      </c>
      <c r="C219" s="238" t="s">
        <v>621</v>
      </c>
    </row>
    <row r="220" spans="1:3" s="17" customFormat="1" ht="15.5" x14ac:dyDescent="0.35">
      <c r="A220" s="14" t="s">
        <v>620</v>
      </c>
      <c r="B220" s="14" t="s">
        <v>550</v>
      </c>
      <c r="C220" s="239"/>
    </row>
    <row r="221" spans="1:3" x14ac:dyDescent="0.35">
      <c r="A221" s="14" t="s">
        <v>622</v>
      </c>
      <c r="B221" s="14" t="s">
        <v>552</v>
      </c>
      <c r="C221" s="240"/>
    </row>
    <row r="222" spans="1:3" ht="15.5" x14ac:dyDescent="0.35">
      <c r="A222" s="14" t="s">
        <v>623</v>
      </c>
      <c r="B222" s="14" t="s">
        <v>554</v>
      </c>
      <c r="C222" s="1" t="s">
        <v>624</v>
      </c>
    </row>
    <row r="223" spans="1:3" ht="15.5" x14ac:dyDescent="0.35">
      <c r="A223" s="10" t="s">
        <v>667</v>
      </c>
      <c r="C223" s="17"/>
    </row>
    <row r="224" spans="1:3" ht="15.5" x14ac:dyDescent="0.35">
      <c r="A224" s="14" t="s">
        <v>627</v>
      </c>
      <c r="B224" s="14" t="s">
        <v>628</v>
      </c>
      <c r="C224" s="100" t="s">
        <v>629</v>
      </c>
    </row>
    <row r="225" spans="1:3" ht="15.5" x14ac:dyDescent="0.35">
      <c r="A225" s="14" t="s">
        <v>627</v>
      </c>
      <c r="B225" s="14" t="s">
        <v>630</v>
      </c>
      <c r="C225" s="100"/>
    </row>
    <row r="226" spans="1:3" ht="15.5" x14ac:dyDescent="0.35">
      <c r="A226" s="14" t="s">
        <v>631</v>
      </c>
      <c r="B226" s="14" t="s">
        <v>632</v>
      </c>
      <c r="C226" s="100"/>
    </row>
    <row r="227" spans="1:3" ht="15.5" x14ac:dyDescent="0.35">
      <c r="A227" s="14" t="s">
        <v>633</v>
      </c>
      <c r="B227" s="14" t="s">
        <v>634</v>
      </c>
      <c r="C227" s="100"/>
    </row>
    <row r="228" spans="1:3" ht="15.5" x14ac:dyDescent="0.35">
      <c r="A228" s="10" t="s">
        <v>668</v>
      </c>
      <c r="C228" s="17"/>
    </row>
    <row r="229" spans="1:3" ht="15.5" x14ac:dyDescent="0.35">
      <c r="A229" s="11" t="s">
        <v>637</v>
      </c>
      <c r="B229" s="11" t="s">
        <v>638</v>
      </c>
      <c r="C229" s="1" t="s">
        <v>639</v>
      </c>
    </row>
    <row r="230" spans="1:3" ht="15.5" x14ac:dyDescent="0.35">
      <c r="A230" s="10" t="s">
        <v>669</v>
      </c>
      <c r="C230" s="17"/>
    </row>
    <row r="231" spans="1:3" ht="15.5" x14ac:dyDescent="0.35">
      <c r="A231" s="12" t="s">
        <v>642</v>
      </c>
      <c r="B231" s="12" t="s">
        <v>643</v>
      </c>
      <c r="C231" s="24" t="s">
        <v>644</v>
      </c>
    </row>
    <row r="232" spans="1:3" ht="15.5" x14ac:dyDescent="0.35">
      <c r="A232" s="77" t="s">
        <v>670</v>
      </c>
      <c r="C232" s="17"/>
    </row>
    <row r="233" spans="1:3" ht="15.5" x14ac:dyDescent="0.35">
      <c r="A233" s="12" t="s">
        <v>647</v>
      </c>
      <c r="B233" s="12" t="s">
        <v>648</v>
      </c>
      <c r="C233" s="1" t="s">
        <v>649</v>
      </c>
    </row>
  </sheetData>
  <sheetProtection algorithmName="SHA-512" hashValue="5TuCRwVZcyR0RdVj85i2Q/BjXAAfd9XyR/fK6to3OFpqWu8KDybx0o3DreIQyXfL/sz7MrAgTXv3dLK4C9zzpw==" saltValue="Aql6AeFhcg9cWpeh2Jvbxw==" spinCount="100000" sheet="1" objects="1" scenarios="1"/>
  <mergeCells count="7">
    <mergeCell ref="C214:C217"/>
    <mergeCell ref="C219:C221"/>
    <mergeCell ref="C162:C168"/>
    <mergeCell ref="C170:C187"/>
    <mergeCell ref="C189:C202"/>
    <mergeCell ref="C204:C207"/>
    <mergeCell ref="C209:C212"/>
  </mergeCells>
  <hyperlinks>
    <hyperlink ref="A4" r:id="rId1" xr:uid="{00000000-0004-0000-0300-000000000000}"/>
  </hyperlinks>
  <pageMargins left="0.25" right="0.25" top="0.75" bottom="0.75" header="0.3" footer="0.3"/>
  <pageSetup paperSize="3" scale="86"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224003f-e6e7-470a-941a-44de56618887">
      <UserInfo>
        <DisplayName>Kristen McCarver</DisplayName>
        <AccountId>12</AccountId>
        <AccountType/>
      </UserInfo>
    </SharedWithUsers>
    <_ip_UnifiedCompliancePolicyUIAction xmlns="http://schemas.microsoft.com/sharepoint/v3" xsi:nil="true"/>
    <lcf76f155ced4ddcb4097134ff3c332f xmlns="edb173ee-3fb8-4f75-bf43-79a22ca96f2e">
      <Terms xmlns="http://schemas.microsoft.com/office/infopath/2007/PartnerControls"/>
    </lcf76f155ced4ddcb4097134ff3c332f>
    <TaxCatchAll xmlns="9224003f-e6e7-470a-941a-44de56618887" xsi:nil="true"/>
    <_ip_UnifiedCompliancePolicyProperties xmlns="http://schemas.microsoft.com/sharepoint/v3" xsi:nil="true"/>
    <Dateandtime xmlns="edb173ee-3fb8-4f75-bf43-79a22ca96f2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23" ma:contentTypeDescription="Create a new document." ma:contentTypeScope="" ma:versionID="1d02b9e294e1a4f57465c20117c2ed03">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6aa23e67c3536893cdc575f576c3d39a"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d1bbaf-8935-41e2-b6d1-001bd16c079b}" ma:internalName="TaxCatchAll" ma:showField="CatchAllData" ma:web="9224003f-e6e7-470a-941a-44de566188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19E621-F37D-4C15-8B09-5B5EE7E38EAB}">
  <ds:schemaRefs>
    <ds:schemaRef ds:uri="http://schemas.microsoft.com/office/2006/metadata/properties"/>
    <ds:schemaRef ds:uri="http://schemas.microsoft.com/office/infopath/2007/PartnerControls"/>
    <ds:schemaRef ds:uri="eac91b0a-c99c-4541-b298-14baca11f6f0"/>
  </ds:schemaRefs>
</ds:datastoreItem>
</file>

<file path=customXml/itemProps2.xml><?xml version="1.0" encoding="utf-8"?>
<ds:datastoreItem xmlns:ds="http://schemas.openxmlformats.org/officeDocument/2006/customXml" ds:itemID="{866BF168-6C47-4036-BDA2-9109293E0F8A}"/>
</file>

<file path=customXml/itemProps3.xml><?xml version="1.0" encoding="utf-8"?>
<ds:datastoreItem xmlns:ds="http://schemas.openxmlformats.org/officeDocument/2006/customXml" ds:itemID="{923E4749-ED01-426E-ABF6-D2DFD23862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CSP Budget Summary</vt:lpstr>
      <vt:lpstr>Budget Instructions</vt:lpstr>
      <vt:lpstr>CSP Budget Detail</vt:lpstr>
      <vt:lpstr>Monthly Expense Summary Y1P </vt:lpstr>
      <vt:lpstr>Detailed Monthly Reimbursement</vt:lpstr>
      <vt:lpstr>Definitions</vt:lpstr>
      <vt:lpstr>'CSP Budget Detail'!Print_Area</vt:lpstr>
      <vt:lpstr>Definitions!Print_Area</vt:lpstr>
    </vt:vector>
  </TitlesOfParts>
  <Manager/>
  <Company>Bluum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financecsp@bluum.org</dc:creator>
  <cp:keywords/>
  <dc:description/>
  <cp:lastModifiedBy>Joseph Muna</cp:lastModifiedBy>
  <cp:revision/>
  <dcterms:created xsi:type="dcterms:W3CDTF">2018-03-20T01:18:54Z</dcterms:created>
  <dcterms:modified xsi:type="dcterms:W3CDTF">2023-06-22T17:06:13Z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y fmtid="{D5CDD505-2E9C-101B-9397-08002B2CF9AE}" pid="3" name="AuthorIds_UIVersion_2048">
    <vt:lpwstr>13</vt:lpwstr>
  </property>
  <property fmtid="{D5CDD505-2E9C-101B-9397-08002B2CF9AE}" pid="4" name="AuthorIds_UIVersion_6144">
    <vt:lpwstr>16</vt:lpwstr>
  </property>
  <property fmtid="{D5CDD505-2E9C-101B-9397-08002B2CF9AE}" pid="5" name="AuthorIds_UIVersion_5632">
    <vt:lpwstr>9</vt:lpwstr>
  </property>
</Properties>
</file>