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FY1920\Our Amendment to SPCSA\"/>
    </mc:Choice>
  </mc:AlternateContent>
  <xr:revisionPtr revIDLastSave="0" documentId="13_ncr:1_{4E7AD710-E141-491B-B24D-0D410C8EF4F3}" xr6:coauthVersionLast="36" xr6:coauthVersionMax="45" xr10:uidLastSave="{00000000-0000-0000-0000-000000000000}"/>
  <bookViews>
    <workbookView xWindow="-120" yWindow="-120" windowWidth="29040" windowHeight="15840" xr2:uid="{92E10D29-5233-4018-894B-721A65432771}"/>
  </bookViews>
  <sheets>
    <sheet name="Budget" sheetId="16" r:id="rId1"/>
    <sheet name="Summary" sheetId="11" state="hidden" r:id="rId2"/>
    <sheet name="MYP" sheetId="6" r:id="rId3"/>
    <sheet name="Function-Grant" sheetId="17" state="hidden" r:id="rId4"/>
    <sheet name="FY21" sheetId="1" r:id="rId5"/>
    <sheet name="FY22" sheetId="7" r:id="rId6"/>
    <sheet name="FY23" sheetId="8" r:id="rId7"/>
    <sheet name="FY24" sheetId="9" r:id="rId8"/>
    <sheet name="FY25" sheetId="10" r:id="rId9"/>
    <sheet name="Instruction" sheetId="21" r:id="rId10"/>
    <sheet name="Rev &amp; Enroll" sheetId="2" r:id="rId11"/>
    <sheet name="Payroll" sheetId="3" r:id="rId12"/>
    <sheet name="Exp Details" sheetId="4" r:id="rId13"/>
    <sheet name="Request for Change" sheetId="19" state="hidden" r:id="rId14"/>
    <sheet name="Programs List" sheetId="20" r:id="rId15"/>
    <sheet name="Original Budget" sheetId="5" state="hidden" r:id="rId16"/>
    <sheet name="Revised Budget" sheetId="23" state="hidden" r:id="rId17"/>
    <sheet name="Import" sheetId="18" state="hidden" r:id="rId18"/>
  </sheets>
  <definedNames>
    <definedName name="_xlnm.Print_Area" localSheetId="0">Budget!$A$1:$I$47</definedName>
    <definedName name="_xlnm.Print_Area" localSheetId="1">Summary!$A$1:$L$55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0" i="7" l="1"/>
  <c r="G60" i="7"/>
  <c r="H60" i="7"/>
  <c r="I60" i="7"/>
  <c r="J60" i="7"/>
  <c r="K60" i="7"/>
  <c r="L60" i="7"/>
  <c r="M60" i="7"/>
  <c r="N60" i="7"/>
  <c r="O60" i="7"/>
  <c r="P60" i="7"/>
  <c r="E60" i="7"/>
  <c r="F57" i="7"/>
  <c r="G57" i="7"/>
  <c r="H57" i="7"/>
  <c r="I57" i="7"/>
  <c r="J57" i="7"/>
  <c r="K57" i="7"/>
  <c r="L57" i="7"/>
  <c r="M57" i="7"/>
  <c r="N57" i="7"/>
  <c r="O57" i="7"/>
  <c r="P57" i="7"/>
  <c r="E57" i="7"/>
  <c r="F54" i="7"/>
  <c r="G54" i="7"/>
  <c r="H54" i="7"/>
  <c r="I54" i="7"/>
  <c r="J54" i="7"/>
  <c r="K54" i="7"/>
  <c r="L54" i="7"/>
  <c r="M54" i="7"/>
  <c r="N54" i="7"/>
  <c r="O54" i="7"/>
  <c r="P54" i="7"/>
  <c r="E54" i="7"/>
  <c r="F51" i="7"/>
  <c r="G51" i="7"/>
  <c r="H51" i="7"/>
  <c r="I51" i="7"/>
  <c r="J51" i="7"/>
  <c r="K51" i="7"/>
  <c r="L51" i="7"/>
  <c r="M51" i="7"/>
  <c r="N51" i="7"/>
  <c r="O51" i="7"/>
  <c r="P51" i="7"/>
  <c r="E51" i="7"/>
  <c r="F48" i="7"/>
  <c r="G48" i="7"/>
  <c r="H48" i="7"/>
  <c r="I48" i="7"/>
  <c r="J48" i="7"/>
  <c r="K48" i="7"/>
  <c r="L48" i="7"/>
  <c r="M48" i="7"/>
  <c r="N48" i="7"/>
  <c r="O48" i="7"/>
  <c r="P48" i="7"/>
  <c r="E48" i="7"/>
  <c r="F44" i="7"/>
  <c r="G44" i="7"/>
  <c r="H44" i="7"/>
  <c r="I44" i="7"/>
  <c r="J44" i="7"/>
  <c r="K44" i="7"/>
  <c r="L44" i="7"/>
  <c r="M44" i="7"/>
  <c r="N44" i="7"/>
  <c r="O44" i="7"/>
  <c r="P44" i="7"/>
  <c r="E44" i="7"/>
  <c r="F32" i="7"/>
  <c r="G32" i="7"/>
  <c r="H32" i="7"/>
  <c r="I32" i="7"/>
  <c r="J32" i="7"/>
  <c r="K32" i="7"/>
  <c r="L32" i="7"/>
  <c r="M32" i="7"/>
  <c r="N32" i="7"/>
  <c r="O32" i="7"/>
  <c r="P32" i="7"/>
  <c r="E32" i="7"/>
  <c r="E118" i="6" l="1"/>
  <c r="G118" i="6"/>
  <c r="I118" i="6"/>
  <c r="K118" i="6"/>
  <c r="M118" i="6"/>
  <c r="M117" i="6"/>
  <c r="K117" i="6"/>
  <c r="I117" i="6"/>
  <c r="G117" i="6"/>
  <c r="M114" i="6"/>
  <c r="K114" i="6"/>
  <c r="I114" i="6"/>
  <c r="G114" i="6"/>
  <c r="M111" i="6"/>
  <c r="K111" i="6"/>
  <c r="I111" i="6"/>
  <c r="G111" i="6"/>
  <c r="E111" i="6"/>
  <c r="E103" i="6"/>
  <c r="G103" i="6"/>
  <c r="I103" i="6"/>
  <c r="K103" i="6"/>
  <c r="M103" i="6"/>
  <c r="E104" i="6"/>
  <c r="G104" i="6"/>
  <c r="I104" i="6"/>
  <c r="K104" i="6"/>
  <c r="M104" i="6"/>
  <c r="E105" i="6"/>
  <c r="G105" i="6"/>
  <c r="I105" i="6"/>
  <c r="K105" i="6"/>
  <c r="M105" i="6"/>
  <c r="E106" i="6"/>
  <c r="G106" i="6"/>
  <c r="I106" i="6"/>
  <c r="K106" i="6"/>
  <c r="M106" i="6"/>
  <c r="E107" i="6"/>
  <c r="G107" i="6"/>
  <c r="I107" i="6"/>
  <c r="K107" i="6"/>
  <c r="M107" i="6"/>
  <c r="E108" i="6"/>
  <c r="G108" i="6"/>
  <c r="I108" i="6"/>
  <c r="K108" i="6"/>
  <c r="M108" i="6"/>
  <c r="M102" i="6"/>
  <c r="K102" i="6"/>
  <c r="I102" i="6"/>
  <c r="G102" i="6"/>
  <c r="E89" i="6"/>
  <c r="G89" i="6"/>
  <c r="I89" i="6"/>
  <c r="K89" i="6"/>
  <c r="M89" i="6"/>
  <c r="E90" i="6"/>
  <c r="G90" i="6"/>
  <c r="I90" i="6"/>
  <c r="K90" i="6"/>
  <c r="M90" i="6"/>
  <c r="E91" i="6"/>
  <c r="G91" i="6"/>
  <c r="I91" i="6"/>
  <c r="K91" i="6"/>
  <c r="M91" i="6"/>
  <c r="E92" i="6"/>
  <c r="G92" i="6"/>
  <c r="I92" i="6"/>
  <c r="K92" i="6"/>
  <c r="M92" i="6"/>
  <c r="E93" i="6"/>
  <c r="G93" i="6"/>
  <c r="I93" i="6"/>
  <c r="K93" i="6"/>
  <c r="M93" i="6"/>
  <c r="E94" i="6"/>
  <c r="G94" i="6"/>
  <c r="I94" i="6"/>
  <c r="K94" i="6"/>
  <c r="M94" i="6"/>
  <c r="E95" i="6"/>
  <c r="G95" i="6"/>
  <c r="I95" i="6"/>
  <c r="K95" i="6"/>
  <c r="M95" i="6"/>
  <c r="E96" i="6"/>
  <c r="G96" i="6"/>
  <c r="I96" i="6"/>
  <c r="K96" i="6"/>
  <c r="M96" i="6"/>
  <c r="E97" i="6"/>
  <c r="G97" i="6"/>
  <c r="I97" i="6"/>
  <c r="K97" i="6"/>
  <c r="M97" i="6"/>
  <c r="E98" i="6"/>
  <c r="G98" i="6"/>
  <c r="I98" i="6"/>
  <c r="K98" i="6"/>
  <c r="M98" i="6"/>
  <c r="E99" i="6"/>
  <c r="G99" i="6"/>
  <c r="I99" i="6"/>
  <c r="K99" i="6"/>
  <c r="M99" i="6"/>
  <c r="M88" i="6"/>
  <c r="K88" i="6"/>
  <c r="I88" i="6"/>
  <c r="G88" i="6"/>
  <c r="E83" i="6"/>
  <c r="G83" i="6"/>
  <c r="I83" i="6"/>
  <c r="K83" i="6"/>
  <c r="M83" i="6"/>
  <c r="E84" i="6"/>
  <c r="G84" i="6"/>
  <c r="I84" i="6"/>
  <c r="K84" i="6"/>
  <c r="M84" i="6"/>
  <c r="E85" i="6"/>
  <c r="G85" i="6"/>
  <c r="I85" i="6"/>
  <c r="K85" i="6"/>
  <c r="M85" i="6"/>
  <c r="M82" i="6"/>
  <c r="K82" i="6"/>
  <c r="I82" i="6"/>
  <c r="G82" i="6"/>
  <c r="E71" i="6"/>
  <c r="G71" i="6"/>
  <c r="I71" i="6"/>
  <c r="K71" i="6"/>
  <c r="M71" i="6"/>
  <c r="E72" i="6"/>
  <c r="G72" i="6"/>
  <c r="I72" i="6"/>
  <c r="K72" i="6"/>
  <c r="M72" i="6"/>
  <c r="E73" i="6"/>
  <c r="G73" i="6"/>
  <c r="I73" i="6"/>
  <c r="K73" i="6"/>
  <c r="M73" i="6"/>
  <c r="E74" i="6"/>
  <c r="G74" i="6"/>
  <c r="I74" i="6"/>
  <c r="K74" i="6"/>
  <c r="M74" i="6"/>
  <c r="E75" i="6"/>
  <c r="G75" i="6"/>
  <c r="I75" i="6"/>
  <c r="K75" i="6"/>
  <c r="M75" i="6"/>
  <c r="E76" i="6"/>
  <c r="G76" i="6"/>
  <c r="I76" i="6"/>
  <c r="K76" i="6"/>
  <c r="M76" i="6"/>
  <c r="E77" i="6"/>
  <c r="G77" i="6"/>
  <c r="I77" i="6"/>
  <c r="K77" i="6"/>
  <c r="M77" i="6"/>
  <c r="E78" i="6"/>
  <c r="G78" i="6"/>
  <c r="I78" i="6"/>
  <c r="K78" i="6"/>
  <c r="M78" i="6"/>
  <c r="E79" i="6"/>
  <c r="G79" i="6"/>
  <c r="I79" i="6"/>
  <c r="K79" i="6"/>
  <c r="M79" i="6"/>
  <c r="M70" i="6"/>
  <c r="K70" i="6"/>
  <c r="I70" i="6"/>
  <c r="G70" i="6"/>
  <c r="E50" i="6"/>
  <c r="E51" i="6"/>
  <c r="G51" i="6"/>
  <c r="I51" i="6"/>
  <c r="K51" i="6"/>
  <c r="M51" i="6"/>
  <c r="E52" i="6"/>
  <c r="G52" i="6"/>
  <c r="I52" i="6"/>
  <c r="K52" i="6"/>
  <c r="M52" i="6"/>
  <c r="E53" i="6"/>
  <c r="G53" i="6"/>
  <c r="I53" i="6"/>
  <c r="K53" i="6"/>
  <c r="M53" i="6"/>
  <c r="E54" i="6"/>
  <c r="E55" i="6"/>
  <c r="G55" i="6"/>
  <c r="I55" i="6"/>
  <c r="K55" i="6"/>
  <c r="M55" i="6"/>
  <c r="E56" i="6"/>
  <c r="G56" i="6"/>
  <c r="I56" i="6"/>
  <c r="K56" i="6"/>
  <c r="M56" i="6"/>
  <c r="E57" i="6"/>
  <c r="E58" i="6"/>
  <c r="G58" i="6"/>
  <c r="I58" i="6"/>
  <c r="K58" i="6"/>
  <c r="M58" i="6"/>
  <c r="E59" i="6"/>
  <c r="G59" i="6"/>
  <c r="I59" i="6"/>
  <c r="K59" i="6"/>
  <c r="M59" i="6"/>
  <c r="E60" i="6"/>
  <c r="E61" i="6"/>
  <c r="G61" i="6"/>
  <c r="I61" i="6"/>
  <c r="K61" i="6"/>
  <c r="M61" i="6"/>
  <c r="E62" i="6"/>
  <c r="G62" i="6"/>
  <c r="I62" i="6"/>
  <c r="K62" i="6"/>
  <c r="M62" i="6"/>
  <c r="E63" i="6"/>
  <c r="E64" i="6"/>
  <c r="G64" i="6"/>
  <c r="I64" i="6"/>
  <c r="K64" i="6"/>
  <c r="M64" i="6"/>
  <c r="E65" i="6"/>
  <c r="G65" i="6"/>
  <c r="I65" i="6"/>
  <c r="K65" i="6"/>
  <c r="M65" i="6"/>
  <c r="E66" i="6"/>
  <c r="E67" i="6"/>
  <c r="G67" i="6"/>
  <c r="I67" i="6"/>
  <c r="K67" i="6"/>
  <c r="M67" i="6"/>
  <c r="M49" i="6"/>
  <c r="K49" i="6"/>
  <c r="I49" i="6"/>
  <c r="G49" i="6"/>
  <c r="E38" i="6"/>
  <c r="E39" i="6"/>
  <c r="G39" i="6"/>
  <c r="I39" i="6"/>
  <c r="K39" i="6"/>
  <c r="M39" i="6"/>
  <c r="E40" i="6"/>
  <c r="G40" i="6"/>
  <c r="I40" i="6"/>
  <c r="K40" i="6"/>
  <c r="M40" i="6"/>
  <c r="E41" i="6"/>
  <c r="G41" i="6"/>
  <c r="I41" i="6"/>
  <c r="K41" i="6"/>
  <c r="M41" i="6"/>
  <c r="E42" i="6"/>
  <c r="G42" i="6"/>
  <c r="I42" i="6"/>
  <c r="K42" i="6"/>
  <c r="M42" i="6"/>
  <c r="E43" i="6"/>
  <c r="G43" i="6"/>
  <c r="I43" i="6"/>
  <c r="K43" i="6"/>
  <c r="M43" i="6"/>
  <c r="E44" i="6"/>
  <c r="G44" i="6"/>
  <c r="I44" i="6"/>
  <c r="K44" i="6"/>
  <c r="M44" i="6"/>
  <c r="E45" i="6"/>
  <c r="G45" i="6"/>
  <c r="I45" i="6"/>
  <c r="K45" i="6"/>
  <c r="M45" i="6"/>
  <c r="E46" i="6"/>
  <c r="G46" i="6"/>
  <c r="I46" i="6"/>
  <c r="K46" i="6"/>
  <c r="M46" i="6"/>
  <c r="M37" i="6"/>
  <c r="K37" i="6"/>
  <c r="I37" i="6"/>
  <c r="G37" i="6"/>
  <c r="M30" i="6"/>
  <c r="K30" i="6"/>
  <c r="I30" i="6"/>
  <c r="G30" i="6"/>
  <c r="E26" i="6"/>
  <c r="G26" i="6"/>
  <c r="I26" i="6"/>
  <c r="K26" i="6"/>
  <c r="M26" i="6"/>
  <c r="E27" i="6"/>
  <c r="G27" i="6"/>
  <c r="I27" i="6"/>
  <c r="K27" i="6"/>
  <c r="M27" i="6"/>
  <c r="M25" i="6"/>
  <c r="K25" i="6"/>
  <c r="I25" i="6"/>
  <c r="G25" i="6"/>
  <c r="E22" i="6"/>
  <c r="G22" i="6"/>
  <c r="I22" i="6"/>
  <c r="K22" i="6"/>
  <c r="M22" i="6"/>
  <c r="M21" i="6"/>
  <c r="K21" i="6"/>
  <c r="I21" i="6"/>
  <c r="G21" i="6"/>
  <c r="E15" i="6"/>
  <c r="G15" i="6"/>
  <c r="I15" i="6"/>
  <c r="K15" i="6"/>
  <c r="M15" i="6"/>
  <c r="E16" i="6"/>
  <c r="G16" i="6"/>
  <c r="I16" i="6"/>
  <c r="K16" i="6"/>
  <c r="M16" i="6"/>
  <c r="E17" i="6"/>
  <c r="G17" i="6"/>
  <c r="I17" i="6"/>
  <c r="K17" i="6"/>
  <c r="M17" i="6"/>
  <c r="E18" i="6"/>
  <c r="G18" i="6"/>
  <c r="I18" i="6"/>
  <c r="K18" i="6"/>
  <c r="M18" i="6"/>
  <c r="M14" i="6"/>
  <c r="K14" i="6"/>
  <c r="I14" i="6"/>
  <c r="G14" i="6"/>
  <c r="E29" i="16" l="1"/>
  <c r="E31" i="16" s="1"/>
  <c r="E34" i="16" s="1"/>
  <c r="E16" i="16"/>
  <c r="K128" i="6"/>
  <c r="I128" i="6"/>
  <c r="G128" i="6"/>
  <c r="E128" i="6"/>
  <c r="N35" i="2" l="1"/>
  <c r="L35" i="2"/>
  <c r="J35" i="2"/>
  <c r="H35" i="2"/>
  <c r="E125" i="6"/>
  <c r="M70" i="18" l="1"/>
  <c r="K70" i="18"/>
  <c r="M77" i="18"/>
  <c r="K77" i="18"/>
  <c r="D77" i="18" s="1"/>
  <c r="G52" i="18"/>
  <c r="F52" i="18" s="1"/>
  <c r="G18" i="18"/>
  <c r="F18" i="18" s="1"/>
  <c r="G17" i="18"/>
  <c r="F17" i="18" s="1"/>
  <c r="G16" i="18"/>
  <c r="F16" i="18" s="1"/>
  <c r="G13" i="18"/>
  <c r="F13" i="18" s="1"/>
  <c r="G12" i="18"/>
  <c r="F12" i="18" s="1"/>
  <c r="M102" i="18"/>
  <c r="K102" i="18"/>
  <c r="M101" i="18"/>
  <c r="D101" i="18" s="1"/>
  <c r="K101" i="18"/>
  <c r="M100" i="18"/>
  <c r="K100" i="18"/>
  <c r="D100" i="18" s="1"/>
  <c r="M99" i="18"/>
  <c r="K99" i="18"/>
  <c r="D99" i="18" s="1"/>
  <c r="M98" i="18"/>
  <c r="K98" i="18"/>
  <c r="D98" i="18" s="1"/>
  <c r="M97" i="18"/>
  <c r="D97" i="18" s="1"/>
  <c r="K97" i="18"/>
  <c r="M96" i="18"/>
  <c r="K96" i="18"/>
  <c r="D96" i="18" s="1"/>
  <c r="M95" i="18"/>
  <c r="D95" i="18" s="1"/>
  <c r="K95" i="18"/>
  <c r="M94" i="18"/>
  <c r="K94" i="18"/>
  <c r="M93" i="18"/>
  <c r="K93" i="18"/>
  <c r="M92" i="18"/>
  <c r="K92" i="18"/>
  <c r="M91" i="18"/>
  <c r="K91" i="18"/>
  <c r="M90" i="18"/>
  <c r="K90" i="18"/>
  <c r="D90" i="18" s="1"/>
  <c r="M89" i="18"/>
  <c r="K89" i="18"/>
  <c r="M88" i="18"/>
  <c r="K88" i="18"/>
  <c r="D88" i="18" s="1"/>
  <c r="M87" i="18"/>
  <c r="K87" i="18"/>
  <c r="M86" i="18"/>
  <c r="K86" i="18"/>
  <c r="M85" i="18"/>
  <c r="K85" i="18"/>
  <c r="D85" i="18" s="1"/>
  <c r="M84" i="18"/>
  <c r="K84" i="18"/>
  <c r="M83" i="18"/>
  <c r="K83" i="18"/>
  <c r="M82" i="18"/>
  <c r="K82" i="18"/>
  <c r="D82" i="18" s="1"/>
  <c r="M81" i="18"/>
  <c r="D81" i="18" s="1"/>
  <c r="K81" i="18"/>
  <c r="M80" i="18"/>
  <c r="K80" i="18"/>
  <c r="M79" i="18"/>
  <c r="K79" i="18"/>
  <c r="D79" i="18"/>
  <c r="M78" i="18"/>
  <c r="K78" i="18"/>
  <c r="M76" i="18"/>
  <c r="K76" i="18"/>
  <c r="M75" i="18"/>
  <c r="K75" i="18"/>
  <c r="M74" i="18"/>
  <c r="K74" i="18"/>
  <c r="M73" i="18"/>
  <c r="K73" i="18"/>
  <c r="M72" i="18"/>
  <c r="K72" i="18"/>
  <c r="M71" i="18"/>
  <c r="K71" i="18"/>
  <c r="M69" i="18"/>
  <c r="K69" i="18"/>
  <c r="D69" i="18" s="1"/>
  <c r="M68" i="18"/>
  <c r="K68" i="18"/>
  <c r="D68" i="18" s="1"/>
  <c r="M67" i="18"/>
  <c r="K67" i="18"/>
  <c r="D67" i="18" s="1"/>
  <c r="M66" i="18"/>
  <c r="K66" i="18"/>
  <c r="M65" i="18"/>
  <c r="K65" i="18"/>
  <c r="M64" i="18"/>
  <c r="K64" i="18"/>
  <c r="M63" i="18"/>
  <c r="K63" i="18"/>
  <c r="M62" i="18"/>
  <c r="K62" i="18"/>
  <c r="M61" i="18"/>
  <c r="K61" i="18"/>
  <c r="M60" i="18"/>
  <c r="K60" i="18"/>
  <c r="M59" i="18"/>
  <c r="K59" i="18"/>
  <c r="M58" i="18"/>
  <c r="K58" i="18"/>
  <c r="D58" i="18" s="1"/>
  <c r="M57" i="18"/>
  <c r="K57" i="18"/>
  <c r="M56" i="18"/>
  <c r="K56" i="18"/>
  <c r="M55" i="18"/>
  <c r="K55" i="18"/>
  <c r="M54" i="18"/>
  <c r="K54" i="18"/>
  <c r="M53" i="18"/>
  <c r="K53" i="18"/>
  <c r="D53" i="18"/>
  <c r="M52" i="18"/>
  <c r="K52" i="18"/>
  <c r="M51" i="18"/>
  <c r="K51" i="18"/>
  <c r="M50" i="18"/>
  <c r="K50" i="18"/>
  <c r="M49" i="18"/>
  <c r="K49" i="18"/>
  <c r="M48" i="18"/>
  <c r="K48" i="18"/>
  <c r="M47" i="18"/>
  <c r="K47" i="18"/>
  <c r="M46" i="18"/>
  <c r="K46" i="18"/>
  <c r="M45" i="18"/>
  <c r="K45" i="18"/>
  <c r="M44" i="18"/>
  <c r="K44" i="18"/>
  <c r="M43" i="18"/>
  <c r="K43" i="18"/>
  <c r="M42" i="18"/>
  <c r="K42" i="18"/>
  <c r="M41" i="18"/>
  <c r="K41" i="18"/>
  <c r="M40" i="18"/>
  <c r="K40" i="18"/>
  <c r="M39" i="18"/>
  <c r="K39" i="18"/>
  <c r="M38" i="18"/>
  <c r="K38" i="18"/>
  <c r="M37" i="18"/>
  <c r="K37" i="18"/>
  <c r="M36" i="18"/>
  <c r="K36" i="18"/>
  <c r="D36" i="18" s="1"/>
  <c r="M35" i="18"/>
  <c r="K35" i="18"/>
  <c r="M34" i="18"/>
  <c r="K34" i="18"/>
  <c r="M33" i="18"/>
  <c r="K33" i="18"/>
  <c r="D33" i="18" s="1"/>
  <c r="M32" i="18"/>
  <c r="K32" i="18"/>
  <c r="M31" i="18"/>
  <c r="K31" i="18"/>
  <c r="M30" i="18"/>
  <c r="K30" i="18"/>
  <c r="M29" i="18"/>
  <c r="K29" i="18"/>
  <c r="M28" i="18"/>
  <c r="K28" i="18"/>
  <c r="M27" i="18"/>
  <c r="K27" i="18"/>
  <c r="M26" i="18"/>
  <c r="K26" i="18"/>
  <c r="M25" i="18"/>
  <c r="K25" i="18"/>
  <c r="M24" i="18"/>
  <c r="K24" i="18"/>
  <c r="M23" i="18"/>
  <c r="K23" i="18"/>
  <c r="M22" i="18"/>
  <c r="K22" i="18"/>
  <c r="M21" i="18"/>
  <c r="K21" i="18"/>
  <c r="M20" i="18"/>
  <c r="K20" i="18"/>
  <c r="M19" i="18"/>
  <c r="K19" i="18"/>
  <c r="M18" i="18"/>
  <c r="K18" i="18"/>
  <c r="M17" i="18"/>
  <c r="K17" i="18"/>
  <c r="M16" i="18"/>
  <c r="K16" i="18"/>
  <c r="M15" i="18"/>
  <c r="K15" i="18"/>
  <c r="D15" i="18" s="1"/>
  <c r="M14" i="18"/>
  <c r="K14" i="18"/>
  <c r="M13" i="18"/>
  <c r="K13" i="18"/>
  <c r="M12" i="18"/>
  <c r="K12" i="18"/>
  <c r="M11" i="18"/>
  <c r="K11" i="18"/>
  <c r="M10" i="18"/>
  <c r="K10" i="18"/>
  <c r="M9" i="18"/>
  <c r="K9" i="18"/>
  <c r="M8" i="18"/>
  <c r="K8" i="18"/>
  <c r="M7" i="18"/>
  <c r="K7" i="18"/>
  <c r="M6" i="18"/>
  <c r="K6" i="18"/>
  <c r="M5" i="18"/>
  <c r="K5" i="18"/>
  <c r="D83" i="18" l="1"/>
  <c r="D91" i="18"/>
  <c r="D5" i="18"/>
  <c r="D60" i="18"/>
  <c r="D11" i="18"/>
  <c r="D38" i="18"/>
  <c r="D46" i="18"/>
  <c r="D61" i="18"/>
  <c r="D78" i="18"/>
  <c r="D23" i="18"/>
  <c r="D86" i="18"/>
  <c r="D94" i="18"/>
  <c r="D32" i="18"/>
  <c r="D71" i="18"/>
  <c r="D40" i="18"/>
  <c r="D48" i="18"/>
  <c r="D70" i="18"/>
  <c r="D26" i="18"/>
  <c r="D65" i="18"/>
  <c r="D12" i="18"/>
  <c r="D20" i="18"/>
  <c r="D35" i="18"/>
  <c r="D57" i="18"/>
  <c r="D6" i="18"/>
  <c r="D51" i="18"/>
  <c r="D22" i="18"/>
  <c r="D52" i="18"/>
  <c r="D66" i="18"/>
  <c r="D73" i="18"/>
  <c r="D8" i="18"/>
  <c r="D74" i="18"/>
  <c r="D9" i="18"/>
  <c r="D54" i="18"/>
  <c r="D75" i="18"/>
  <c r="D17" i="18"/>
  <c r="D10" i="18"/>
  <c r="D25" i="18"/>
  <c r="D62" i="18"/>
  <c r="D18" i="18"/>
  <c r="D56" i="18"/>
  <c r="D41" i="18"/>
  <c r="D49" i="18"/>
  <c r="D7" i="18"/>
  <c r="D29" i="18"/>
  <c r="D63" i="18"/>
  <c r="D93" i="18"/>
  <c r="D14" i="18"/>
  <c r="D30" i="18"/>
  <c r="D43" i="18"/>
  <c r="D31" i="18"/>
  <c r="D37" i="18"/>
  <c r="D44" i="18"/>
  <c r="D64" i="18"/>
  <c r="D102" i="18"/>
  <c r="D16" i="18"/>
  <c r="D45" i="18"/>
  <c r="D72" i="18"/>
  <c r="D87" i="18"/>
  <c r="D59" i="18"/>
  <c r="D80" i="18"/>
  <c r="D24" i="18"/>
  <c r="D39" i="18"/>
  <c r="D47" i="18"/>
  <c r="D89" i="18"/>
  <c r="D19" i="18"/>
  <c r="D27" i="18"/>
  <c r="D34" i="18"/>
  <c r="D55" i="18"/>
  <c r="D13" i="18"/>
  <c r="D21" i="18"/>
  <c r="D28" i="18"/>
  <c r="D42" i="18"/>
  <c r="D50" i="18"/>
  <c r="D76" i="18"/>
  <c r="D84" i="18"/>
  <c r="D92" i="18"/>
  <c r="H184" i="4"/>
  <c r="H150" i="4" l="1"/>
  <c r="V259" i="4" l="1"/>
  <c r="U259" i="4"/>
  <c r="T259" i="4"/>
  <c r="S259" i="4"/>
  <c r="R259" i="4"/>
  <c r="Q259" i="4"/>
  <c r="P259" i="4"/>
  <c r="O259" i="4"/>
  <c r="N259" i="4"/>
  <c r="M259" i="4"/>
  <c r="L259" i="4"/>
  <c r="K259" i="4"/>
  <c r="H259" i="4"/>
  <c r="V258" i="4"/>
  <c r="U258" i="4"/>
  <c r="T258" i="4"/>
  <c r="S258" i="4"/>
  <c r="R258" i="4"/>
  <c r="Q258" i="4"/>
  <c r="P258" i="4"/>
  <c r="O258" i="4"/>
  <c r="N258" i="4"/>
  <c r="M258" i="4"/>
  <c r="L258" i="4"/>
  <c r="K258" i="4"/>
  <c r="H258" i="4"/>
  <c r="V249" i="4"/>
  <c r="U249" i="4"/>
  <c r="T249" i="4"/>
  <c r="S249" i="4"/>
  <c r="R249" i="4"/>
  <c r="Q249" i="4"/>
  <c r="P249" i="4"/>
  <c r="O249" i="4"/>
  <c r="N249" i="4"/>
  <c r="M249" i="4"/>
  <c r="L249" i="4"/>
  <c r="K249" i="4"/>
  <c r="H249" i="4"/>
  <c r="F23" i="2"/>
  <c r="F22" i="2"/>
  <c r="F24" i="2" s="1"/>
  <c r="W281" i="4"/>
  <c r="H281" i="4"/>
  <c r="W280" i="4"/>
  <c r="H280" i="4"/>
  <c r="W279" i="4"/>
  <c r="H279" i="4"/>
  <c r="W278" i="4"/>
  <c r="H278" i="4"/>
  <c r="G33" i="16"/>
  <c r="F243" i="4"/>
  <c r="F242" i="4"/>
  <c r="H244" i="4"/>
  <c r="F234" i="4"/>
  <c r="F233" i="4"/>
  <c r="F232" i="4"/>
  <c r="F231" i="4"/>
  <c r="F230" i="4"/>
  <c r="V235" i="4"/>
  <c r="V237" i="4" s="1"/>
  <c r="U235" i="4"/>
  <c r="T235" i="4"/>
  <c r="S235" i="4"/>
  <c r="S237" i="4" s="1"/>
  <c r="R235" i="4"/>
  <c r="R237" i="4" s="1"/>
  <c r="Q235" i="4"/>
  <c r="Q237" i="4" s="1"/>
  <c r="P235" i="4"/>
  <c r="P237" i="4" s="1"/>
  <c r="O235" i="4"/>
  <c r="N235" i="4"/>
  <c r="M235" i="4"/>
  <c r="M237" i="4" s="1"/>
  <c r="L235" i="4"/>
  <c r="L237" i="4" s="1"/>
  <c r="K235" i="4"/>
  <c r="K237" i="4" s="1"/>
  <c r="H235" i="4"/>
  <c r="F237" i="4"/>
  <c r="G237" i="4"/>
  <c r="K221" i="4"/>
  <c r="L221" i="4"/>
  <c r="M221" i="4"/>
  <c r="N221" i="4"/>
  <c r="O221" i="4"/>
  <c r="P221" i="4"/>
  <c r="Q221" i="4"/>
  <c r="R221" i="4"/>
  <c r="S221" i="4"/>
  <c r="V212" i="4"/>
  <c r="U212" i="4"/>
  <c r="T212" i="4"/>
  <c r="S212" i="4"/>
  <c r="R212" i="4"/>
  <c r="Q212" i="4"/>
  <c r="P212" i="4"/>
  <c r="O212" i="4"/>
  <c r="N212" i="4"/>
  <c r="M212" i="4"/>
  <c r="L212" i="4"/>
  <c r="K212" i="4"/>
  <c r="H212" i="4"/>
  <c r="S205" i="4"/>
  <c r="R205" i="4"/>
  <c r="Q205" i="4"/>
  <c r="P205" i="4"/>
  <c r="O205" i="4"/>
  <c r="N205" i="4"/>
  <c r="M205" i="4"/>
  <c r="L205" i="4"/>
  <c r="K205" i="4"/>
  <c r="S204" i="4"/>
  <c r="R204" i="4"/>
  <c r="Q204" i="4"/>
  <c r="P204" i="4"/>
  <c r="O204" i="4"/>
  <c r="N204" i="4"/>
  <c r="M204" i="4"/>
  <c r="L204" i="4"/>
  <c r="K204" i="4"/>
  <c r="S203" i="4"/>
  <c r="R203" i="4"/>
  <c r="Q203" i="4"/>
  <c r="P203" i="4"/>
  <c r="O203" i="4"/>
  <c r="N203" i="4"/>
  <c r="M203" i="4"/>
  <c r="L203" i="4"/>
  <c r="K203" i="4"/>
  <c r="W202" i="4"/>
  <c r="H202" i="4"/>
  <c r="F186" i="4"/>
  <c r="F185" i="4"/>
  <c r="H185" i="4" s="1"/>
  <c r="W184" i="4"/>
  <c r="W187" i="4"/>
  <c r="V188" i="4"/>
  <c r="V190" i="4" s="1"/>
  <c r="U188" i="4"/>
  <c r="U190" i="4" s="1"/>
  <c r="T188" i="4"/>
  <c r="S188" i="4"/>
  <c r="R188" i="4"/>
  <c r="R190" i="4" s="1"/>
  <c r="Q188" i="4"/>
  <c r="Q190" i="4" s="1"/>
  <c r="P188" i="4"/>
  <c r="P190" i="4" s="1"/>
  <c r="O188" i="4"/>
  <c r="N188" i="4"/>
  <c r="M188" i="4"/>
  <c r="M190" i="4" s="1"/>
  <c r="L188" i="4"/>
  <c r="L190" i="4" s="1"/>
  <c r="K188" i="4"/>
  <c r="K190" i="4" s="1"/>
  <c r="H188" i="4"/>
  <c r="H187" i="4"/>
  <c r="V175" i="4"/>
  <c r="U175" i="4"/>
  <c r="T175" i="4"/>
  <c r="S175" i="4"/>
  <c r="R175" i="4"/>
  <c r="Q175" i="4"/>
  <c r="P175" i="4"/>
  <c r="O175" i="4"/>
  <c r="N175" i="4"/>
  <c r="M175" i="4"/>
  <c r="L175" i="4"/>
  <c r="K175" i="4"/>
  <c r="H175" i="4"/>
  <c r="V174" i="4"/>
  <c r="U174" i="4"/>
  <c r="T174" i="4"/>
  <c r="S174" i="4"/>
  <c r="R174" i="4"/>
  <c r="Q174" i="4"/>
  <c r="P174" i="4"/>
  <c r="O174" i="4"/>
  <c r="N174" i="4"/>
  <c r="M174" i="4"/>
  <c r="L174" i="4"/>
  <c r="K174" i="4"/>
  <c r="H174" i="4"/>
  <c r="V163" i="4"/>
  <c r="U163" i="4"/>
  <c r="T163" i="4"/>
  <c r="S163" i="4"/>
  <c r="R163" i="4"/>
  <c r="Q163" i="4"/>
  <c r="P163" i="4"/>
  <c r="O163" i="4"/>
  <c r="N163" i="4"/>
  <c r="M163" i="4"/>
  <c r="L163" i="4"/>
  <c r="K163" i="4"/>
  <c r="H163" i="4"/>
  <c r="V162" i="4"/>
  <c r="U162" i="4"/>
  <c r="T162" i="4"/>
  <c r="S162" i="4"/>
  <c r="R162" i="4"/>
  <c r="Q162" i="4"/>
  <c r="P162" i="4"/>
  <c r="O162" i="4"/>
  <c r="N162" i="4"/>
  <c r="M162" i="4"/>
  <c r="L162" i="4"/>
  <c r="K162" i="4"/>
  <c r="H162" i="4"/>
  <c r="V156" i="4"/>
  <c r="U156" i="4"/>
  <c r="T156" i="4"/>
  <c r="S156" i="4"/>
  <c r="R156" i="4"/>
  <c r="Q156" i="4"/>
  <c r="P156" i="4"/>
  <c r="O156" i="4"/>
  <c r="N156" i="4"/>
  <c r="M156" i="4"/>
  <c r="L156" i="4"/>
  <c r="K156" i="4"/>
  <c r="W109" i="4"/>
  <c r="H109" i="4"/>
  <c r="AD102" i="4"/>
  <c r="W102" i="4"/>
  <c r="H102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V100" i="4"/>
  <c r="U100" i="4"/>
  <c r="T100" i="4"/>
  <c r="S100" i="4"/>
  <c r="R100" i="4"/>
  <c r="Q100" i="4"/>
  <c r="P100" i="4"/>
  <c r="O100" i="4"/>
  <c r="N100" i="4"/>
  <c r="M100" i="4"/>
  <c r="L100" i="4"/>
  <c r="K100" i="4"/>
  <c r="V85" i="4"/>
  <c r="U85" i="4"/>
  <c r="T85" i="4"/>
  <c r="S85" i="4"/>
  <c r="R85" i="4"/>
  <c r="Q85" i="4"/>
  <c r="P85" i="4"/>
  <c r="O85" i="4"/>
  <c r="N85" i="4"/>
  <c r="M85" i="4"/>
  <c r="L85" i="4"/>
  <c r="K85" i="4"/>
  <c r="K78" i="4"/>
  <c r="L78" i="4"/>
  <c r="M78" i="4"/>
  <c r="N78" i="4"/>
  <c r="O78" i="4"/>
  <c r="P78" i="4"/>
  <c r="Q78" i="4"/>
  <c r="R78" i="4"/>
  <c r="V62" i="4"/>
  <c r="U62" i="4"/>
  <c r="T62" i="4"/>
  <c r="S62" i="4"/>
  <c r="R62" i="4"/>
  <c r="Q62" i="4"/>
  <c r="P62" i="4"/>
  <c r="O62" i="4"/>
  <c r="N62" i="4"/>
  <c r="M62" i="4"/>
  <c r="L62" i="4"/>
  <c r="K62" i="4"/>
  <c r="H62" i="4"/>
  <c r="V51" i="4"/>
  <c r="U51" i="4"/>
  <c r="T51" i="4"/>
  <c r="S51" i="4"/>
  <c r="R51" i="4"/>
  <c r="Q51" i="4"/>
  <c r="P51" i="4"/>
  <c r="O51" i="4"/>
  <c r="N51" i="4"/>
  <c r="M51" i="4"/>
  <c r="L51" i="4"/>
  <c r="K51" i="4"/>
  <c r="H51" i="4"/>
  <c r="V50" i="4"/>
  <c r="U50" i="4"/>
  <c r="T50" i="4"/>
  <c r="S50" i="4"/>
  <c r="R50" i="4"/>
  <c r="Q50" i="4"/>
  <c r="P50" i="4"/>
  <c r="O50" i="4"/>
  <c r="N50" i="4"/>
  <c r="M50" i="4"/>
  <c r="L50" i="4"/>
  <c r="K50" i="4"/>
  <c r="H50" i="4"/>
  <c r="V49" i="4"/>
  <c r="U49" i="4"/>
  <c r="T49" i="4"/>
  <c r="S49" i="4"/>
  <c r="R49" i="4"/>
  <c r="Q49" i="4"/>
  <c r="P49" i="4"/>
  <c r="O49" i="4"/>
  <c r="N49" i="4"/>
  <c r="M49" i="4"/>
  <c r="L49" i="4"/>
  <c r="K49" i="4"/>
  <c r="H49" i="4"/>
  <c r="V41" i="4"/>
  <c r="U41" i="4"/>
  <c r="T41" i="4"/>
  <c r="S41" i="4"/>
  <c r="R41" i="4"/>
  <c r="Q41" i="4"/>
  <c r="P41" i="4"/>
  <c r="O41" i="4"/>
  <c r="N41" i="4"/>
  <c r="M41" i="4"/>
  <c r="L41" i="4"/>
  <c r="K41" i="4"/>
  <c r="H41" i="4"/>
  <c r="V28" i="4"/>
  <c r="U28" i="4"/>
  <c r="T28" i="4"/>
  <c r="S28" i="4"/>
  <c r="R28" i="4"/>
  <c r="Q28" i="4"/>
  <c r="P28" i="4"/>
  <c r="O28" i="4"/>
  <c r="N28" i="4"/>
  <c r="M28" i="4"/>
  <c r="L28" i="4"/>
  <c r="K28" i="4"/>
  <c r="H28" i="4"/>
  <c r="V22" i="4"/>
  <c r="U22" i="4"/>
  <c r="T22" i="4"/>
  <c r="S22" i="4"/>
  <c r="R22" i="4"/>
  <c r="Q22" i="4"/>
  <c r="P22" i="4"/>
  <c r="O22" i="4"/>
  <c r="N22" i="4"/>
  <c r="M22" i="4"/>
  <c r="L22" i="4"/>
  <c r="K22" i="4"/>
  <c r="H22" i="4"/>
  <c r="F15" i="4"/>
  <c r="T15" i="4" s="1"/>
  <c r="K9" i="4"/>
  <c r="V10" i="4"/>
  <c r="U10" i="4"/>
  <c r="T10" i="4"/>
  <c r="S10" i="4"/>
  <c r="R10" i="4"/>
  <c r="Q10" i="4"/>
  <c r="P10" i="4"/>
  <c r="O10" i="4"/>
  <c r="N10" i="4"/>
  <c r="M10" i="4"/>
  <c r="L10" i="4"/>
  <c r="K10" i="4"/>
  <c r="H10" i="4"/>
  <c r="V9" i="4"/>
  <c r="U9" i="4"/>
  <c r="T9" i="4"/>
  <c r="S9" i="4"/>
  <c r="R9" i="4"/>
  <c r="Q9" i="4"/>
  <c r="P9" i="4"/>
  <c r="O9" i="4"/>
  <c r="N9" i="4"/>
  <c r="M9" i="4"/>
  <c r="L9" i="4"/>
  <c r="H9" i="4"/>
  <c r="J16" i="3"/>
  <c r="K16" i="3" s="1"/>
  <c r="W259" i="4" l="1"/>
  <c r="W258" i="4"/>
  <c r="N230" i="4"/>
  <c r="W230" i="4" s="1"/>
  <c r="H230" i="4"/>
  <c r="W249" i="4"/>
  <c r="O231" i="4"/>
  <c r="W231" i="4" s="1"/>
  <c r="H231" i="4"/>
  <c r="AB99" i="17" s="1"/>
  <c r="G43" i="18" s="1"/>
  <c r="F43" i="18" s="1"/>
  <c r="H232" i="4"/>
  <c r="T232" i="4"/>
  <c r="W232" i="4" s="1"/>
  <c r="H233" i="4"/>
  <c r="O233" i="4"/>
  <c r="W233" i="4" s="1"/>
  <c r="H234" i="4"/>
  <c r="T234" i="4"/>
  <c r="W234" i="4" s="1"/>
  <c r="H186" i="4"/>
  <c r="AB92" i="17" s="1"/>
  <c r="G39" i="18" s="1"/>
  <c r="F39" i="18" s="1"/>
  <c r="O242" i="4"/>
  <c r="H242" i="4"/>
  <c r="AB100" i="17" s="1"/>
  <c r="G45" i="18" s="1"/>
  <c r="F45" i="18" s="1"/>
  <c r="H243" i="4"/>
  <c r="T243" i="4"/>
  <c r="O185" i="4"/>
  <c r="W185" i="4" s="1"/>
  <c r="T186" i="4"/>
  <c r="W186" i="4" s="1"/>
  <c r="W235" i="4"/>
  <c r="W212" i="4"/>
  <c r="W162" i="4"/>
  <c r="W188" i="4"/>
  <c r="W163" i="4"/>
  <c r="W156" i="4"/>
  <c r="W100" i="4"/>
  <c r="W175" i="4"/>
  <c r="W174" i="4"/>
  <c r="W9" i="4"/>
  <c r="W101" i="4"/>
  <c r="W62" i="4"/>
  <c r="W41" i="4"/>
  <c r="W50" i="4"/>
  <c r="W51" i="4"/>
  <c r="W10" i="4"/>
  <c r="W49" i="4"/>
  <c r="W28" i="4"/>
  <c r="W22" i="4"/>
  <c r="S15" i="4"/>
  <c r="V15" i="4"/>
  <c r="U15" i="4"/>
  <c r="H15" i="4"/>
  <c r="K15" i="4"/>
  <c r="N15" i="4"/>
  <c r="Q15" i="4"/>
  <c r="O15" i="4"/>
  <c r="R15" i="4"/>
  <c r="L15" i="4"/>
  <c r="M15" i="4"/>
  <c r="P15" i="4"/>
  <c r="W15" i="4" l="1"/>
  <c r="P15" i="1" l="1"/>
  <c r="N15" i="1"/>
  <c r="N17" i="1" s="1"/>
  <c r="L15" i="1"/>
  <c r="L17" i="1" s="1"/>
  <c r="H15" i="1"/>
  <c r="F16" i="1"/>
  <c r="F17" i="1" s="1"/>
  <c r="E17" i="1"/>
  <c r="G17" i="1"/>
  <c r="H17" i="1"/>
  <c r="J17" i="1"/>
  <c r="E22" i="1"/>
  <c r="F22" i="1"/>
  <c r="G22" i="1"/>
  <c r="H22" i="1"/>
  <c r="I22" i="1"/>
  <c r="K22" i="1"/>
  <c r="L22" i="1"/>
  <c r="M22" i="1"/>
  <c r="N22" i="1"/>
  <c r="E25" i="1"/>
  <c r="F25" i="1"/>
  <c r="G25" i="1"/>
  <c r="H25" i="1"/>
  <c r="I25" i="1"/>
  <c r="J25" i="1"/>
  <c r="K25" i="1"/>
  <c r="L25" i="1"/>
  <c r="M25" i="1"/>
  <c r="N25" i="1"/>
  <c r="O25" i="1"/>
  <c r="H10" i="3" l="1"/>
  <c r="H11" i="3"/>
  <c r="H16" i="3"/>
  <c r="H22" i="3"/>
  <c r="H23" i="3"/>
  <c r="H28" i="3"/>
  <c r="H29" i="3"/>
  <c r="H34" i="3"/>
  <c r="H35" i="3"/>
  <c r="H40" i="3"/>
  <c r="H41" i="3"/>
  <c r="H46" i="3"/>
  <c r="H47" i="3"/>
  <c r="H52" i="3"/>
  <c r="H53" i="3"/>
  <c r="H58" i="3"/>
  <c r="H59" i="3"/>
  <c r="H64" i="3"/>
  <c r="H65" i="3"/>
  <c r="A2" i="17" l="1"/>
  <c r="A2" i="11"/>
  <c r="A2" i="16"/>
  <c r="R24" i="2"/>
  <c r="S24" i="2"/>
  <c r="T24" i="2"/>
  <c r="U24" i="2"/>
  <c r="V24" i="2"/>
  <c r="W24" i="2"/>
  <c r="X24" i="2"/>
  <c r="Y24" i="2"/>
  <c r="Z24" i="2"/>
  <c r="AA24" i="2"/>
  <c r="AB24" i="2"/>
  <c r="Q24" i="2"/>
  <c r="G38" i="16"/>
  <c r="F38" i="16"/>
  <c r="E38" i="16"/>
  <c r="E37" i="16"/>
  <c r="F183" i="4" l="1"/>
  <c r="F241" i="4"/>
  <c r="F228" i="4"/>
  <c r="F279" i="4"/>
  <c r="F240" i="4"/>
  <c r="F227" i="4"/>
  <c r="F229" i="4"/>
  <c r="F182" i="4"/>
  <c r="Z63" i="3"/>
  <c r="AB63" i="3" s="1"/>
  <c r="AD63" i="3" s="1"/>
  <c r="Z57" i="3"/>
  <c r="AB57" i="3" s="1"/>
  <c r="AD57" i="3" s="1"/>
  <c r="Z51" i="3"/>
  <c r="AB51" i="3" s="1"/>
  <c r="AD51" i="3" s="1"/>
  <c r="Z45" i="3"/>
  <c r="AB45" i="3" s="1"/>
  <c r="AD45" i="3" s="1"/>
  <c r="Z39" i="3"/>
  <c r="AB39" i="3" s="1"/>
  <c r="AD39" i="3" s="1"/>
  <c r="Z33" i="3"/>
  <c r="AB33" i="3" s="1"/>
  <c r="AD33" i="3" s="1"/>
  <c r="Z27" i="3"/>
  <c r="AB27" i="3" s="1"/>
  <c r="AD27" i="3" s="1"/>
  <c r="X21" i="3"/>
  <c r="Z21" i="3" s="1"/>
  <c r="AB21" i="3" s="1"/>
  <c r="AD21" i="3" s="1"/>
  <c r="X15" i="3"/>
  <c r="Z15" i="3" s="1"/>
  <c r="AB15" i="3" s="1"/>
  <c r="AD15" i="3" s="1"/>
  <c r="AD6" i="3"/>
  <c r="AE63" i="3" s="1"/>
  <c r="AB6" i="3"/>
  <c r="AC51" i="3" s="1"/>
  <c r="Z6" i="3"/>
  <c r="AA9" i="3" s="1"/>
  <c r="X6" i="3"/>
  <c r="Y63" i="3" s="1"/>
  <c r="K6" i="3"/>
  <c r="K15" i="3" s="1"/>
  <c r="J6" i="3"/>
  <c r="J15" i="3" s="1"/>
  <c r="E4" i="10"/>
  <c r="E4" i="9"/>
  <c r="E4" i="8"/>
  <c r="E4" i="7"/>
  <c r="M4" i="6"/>
  <c r="K4" i="6"/>
  <c r="I4" i="6"/>
  <c r="G4" i="6"/>
  <c r="E4" i="6"/>
  <c r="O182" i="4" l="1"/>
  <c r="O190" i="4" s="1"/>
  <c r="N182" i="4"/>
  <c r="U241" i="4"/>
  <c r="H241" i="4"/>
  <c r="T241" i="4"/>
  <c r="N229" i="4"/>
  <c r="W229" i="4" s="1"/>
  <c r="H229" i="4"/>
  <c r="O227" i="4"/>
  <c r="O237" i="4" s="1"/>
  <c r="N227" i="4"/>
  <c r="O240" i="4"/>
  <c r="N240" i="4"/>
  <c r="H240" i="4"/>
  <c r="U228" i="4"/>
  <c r="U237" i="4" s="1"/>
  <c r="T228" i="4"/>
  <c r="T183" i="4"/>
  <c r="T190" i="4" s="1"/>
  <c r="S183" i="4"/>
  <c r="AA63" i="3"/>
  <c r="AC21" i="3"/>
  <c r="AC63" i="3"/>
  <c r="AC27" i="3"/>
  <c r="AC57" i="3"/>
  <c r="AA27" i="3"/>
  <c r="K9" i="3"/>
  <c r="AA45" i="3"/>
  <c r="AC39" i="3"/>
  <c r="G7" i="16"/>
  <c r="G37" i="16" s="1"/>
  <c r="F7" i="16"/>
  <c r="F37" i="16" s="1"/>
  <c r="K27" i="3"/>
  <c r="AC9" i="3"/>
  <c r="AC45" i="3"/>
  <c r="AE9" i="3"/>
  <c r="Y51" i="3"/>
  <c r="Y15" i="3"/>
  <c r="AA33" i="3"/>
  <c r="J27" i="3"/>
  <c r="AE45" i="3"/>
  <c r="K33" i="3"/>
  <c r="J39" i="3"/>
  <c r="K39" i="3"/>
  <c r="AA15" i="3"/>
  <c r="AA51" i="3"/>
  <c r="J21" i="3"/>
  <c r="K21" i="3"/>
  <c r="J45" i="3"/>
  <c r="AC15" i="3"/>
  <c r="AC33" i="3"/>
  <c r="Y9" i="3"/>
  <c r="AE27" i="3"/>
  <c r="J33" i="3"/>
  <c r="Y33" i="3"/>
  <c r="K45" i="3"/>
  <c r="AE15" i="3"/>
  <c r="AE33" i="3"/>
  <c r="AE51" i="3"/>
  <c r="J51" i="3"/>
  <c r="Y39" i="3"/>
  <c r="Y57" i="3"/>
  <c r="J57" i="3"/>
  <c r="Y21" i="3"/>
  <c r="J9" i="3"/>
  <c r="J63" i="3"/>
  <c r="AA21" i="3"/>
  <c r="AA39" i="3"/>
  <c r="AA57" i="3"/>
  <c r="AE21" i="3"/>
  <c r="AE39" i="3"/>
  <c r="AE57" i="3"/>
  <c r="Y27" i="3"/>
  <c r="Y45" i="3"/>
  <c r="A2" i="10"/>
  <c r="A2" i="9"/>
  <c r="A2" i="8"/>
  <c r="A2" i="7"/>
  <c r="A2" i="1"/>
  <c r="H228" i="4" l="1"/>
  <c r="W228" i="4"/>
  <c r="T237" i="4"/>
  <c r="H182" i="4"/>
  <c r="F92" i="17" s="1"/>
  <c r="G38" i="18" s="1"/>
  <c r="F38" i="18" s="1"/>
  <c r="N190" i="4"/>
  <c r="W182" i="4"/>
  <c r="W190" i="4" s="1"/>
  <c r="W183" i="4"/>
  <c r="S190" i="4"/>
  <c r="H183" i="4"/>
  <c r="H190" i="4" s="1"/>
  <c r="W227" i="4"/>
  <c r="H227" i="4"/>
  <c r="N237" i="4"/>
  <c r="M97" i="3"/>
  <c r="F48" i="1" s="1"/>
  <c r="N97" i="3"/>
  <c r="G48" i="1" s="1"/>
  <c r="O97" i="3"/>
  <c r="H48" i="1" s="1"/>
  <c r="P97" i="3"/>
  <c r="I48" i="1" s="1"/>
  <c r="Q97" i="3"/>
  <c r="J48" i="1" s="1"/>
  <c r="R97" i="3"/>
  <c r="K48" i="1" s="1"/>
  <c r="S97" i="3"/>
  <c r="L48" i="1" s="1"/>
  <c r="T97" i="3"/>
  <c r="M48" i="1" s="1"/>
  <c r="U97" i="3"/>
  <c r="N48" i="1" s="1"/>
  <c r="V97" i="3"/>
  <c r="O48" i="1" s="1"/>
  <c r="W97" i="3"/>
  <c r="P48" i="1" s="1"/>
  <c r="L97" i="3"/>
  <c r="E48" i="1" s="1"/>
  <c r="F87" i="3"/>
  <c r="R112" i="3" s="1"/>
  <c r="K59" i="1" s="1"/>
  <c r="F75" i="3"/>
  <c r="L92" i="3" s="1"/>
  <c r="E45" i="1" s="1"/>
  <c r="M67" i="3"/>
  <c r="F40" i="1" s="1"/>
  <c r="N67" i="3"/>
  <c r="G40" i="1" s="1"/>
  <c r="O67" i="3"/>
  <c r="H40" i="1" s="1"/>
  <c r="P67" i="3"/>
  <c r="I40" i="1" s="1"/>
  <c r="Q67" i="3"/>
  <c r="J40" i="1" s="1"/>
  <c r="R67" i="3"/>
  <c r="K40" i="1" s="1"/>
  <c r="S67" i="3"/>
  <c r="L40" i="1" s="1"/>
  <c r="T67" i="3"/>
  <c r="M40" i="1" s="1"/>
  <c r="U67" i="3"/>
  <c r="N40" i="1" s="1"/>
  <c r="V67" i="3"/>
  <c r="O40" i="1" s="1"/>
  <c r="W67" i="3"/>
  <c r="P40" i="1" s="1"/>
  <c r="L67" i="3"/>
  <c r="E40" i="1" s="1"/>
  <c r="M61" i="3"/>
  <c r="F39" i="1" s="1"/>
  <c r="N61" i="3"/>
  <c r="G39" i="1" s="1"/>
  <c r="O61" i="3"/>
  <c r="H39" i="1" s="1"/>
  <c r="P61" i="3"/>
  <c r="I39" i="1" s="1"/>
  <c r="Q61" i="3"/>
  <c r="J39" i="1" s="1"/>
  <c r="R61" i="3"/>
  <c r="K39" i="1" s="1"/>
  <c r="S61" i="3"/>
  <c r="L39" i="1" s="1"/>
  <c r="T61" i="3"/>
  <c r="M39" i="1" s="1"/>
  <c r="U61" i="3"/>
  <c r="N39" i="1" s="1"/>
  <c r="V61" i="3"/>
  <c r="O39" i="1" s="1"/>
  <c r="W61" i="3"/>
  <c r="P39" i="1" s="1"/>
  <c r="L61" i="3"/>
  <c r="E39" i="1" s="1"/>
  <c r="M55" i="3"/>
  <c r="F38" i="1" s="1"/>
  <c r="N55" i="3"/>
  <c r="G38" i="1" s="1"/>
  <c r="O55" i="3"/>
  <c r="H38" i="1" s="1"/>
  <c r="P55" i="3"/>
  <c r="I38" i="1" s="1"/>
  <c r="Q55" i="3"/>
  <c r="J38" i="1" s="1"/>
  <c r="R55" i="3"/>
  <c r="K38" i="1" s="1"/>
  <c r="S55" i="3"/>
  <c r="L38" i="1" s="1"/>
  <c r="T55" i="3"/>
  <c r="M38" i="1" s="1"/>
  <c r="U55" i="3"/>
  <c r="N38" i="1" s="1"/>
  <c r="V55" i="3"/>
  <c r="O38" i="1" s="1"/>
  <c r="W55" i="3"/>
  <c r="P38" i="1" s="1"/>
  <c r="L55" i="3"/>
  <c r="E38" i="1" s="1"/>
  <c r="L49" i="3"/>
  <c r="E37" i="1" s="1"/>
  <c r="M49" i="3"/>
  <c r="F37" i="1" s="1"/>
  <c r="N49" i="3"/>
  <c r="G37" i="1" s="1"/>
  <c r="O49" i="3"/>
  <c r="H37" i="1" s="1"/>
  <c r="P49" i="3"/>
  <c r="I37" i="1" s="1"/>
  <c r="Q49" i="3"/>
  <c r="J37" i="1" s="1"/>
  <c r="R49" i="3"/>
  <c r="K37" i="1" s="1"/>
  <c r="S49" i="3"/>
  <c r="L37" i="1" s="1"/>
  <c r="T49" i="3"/>
  <c r="M37" i="1" s="1"/>
  <c r="U49" i="3"/>
  <c r="N37" i="1" s="1"/>
  <c r="V49" i="3"/>
  <c r="O37" i="1" s="1"/>
  <c r="W49" i="3"/>
  <c r="P37" i="1" s="1"/>
  <c r="M43" i="3"/>
  <c r="F36" i="1" s="1"/>
  <c r="N43" i="3"/>
  <c r="G36" i="1" s="1"/>
  <c r="O43" i="3"/>
  <c r="H36" i="1" s="1"/>
  <c r="P43" i="3"/>
  <c r="I36" i="1" s="1"/>
  <c r="Q43" i="3"/>
  <c r="J36" i="1" s="1"/>
  <c r="R43" i="3"/>
  <c r="K36" i="1" s="1"/>
  <c r="S43" i="3"/>
  <c r="L36" i="1" s="1"/>
  <c r="T43" i="3"/>
  <c r="M36" i="1" s="1"/>
  <c r="U43" i="3"/>
  <c r="N36" i="1" s="1"/>
  <c r="V43" i="3"/>
  <c r="O36" i="1" s="1"/>
  <c r="W43" i="3"/>
  <c r="P36" i="1" s="1"/>
  <c r="L43" i="3"/>
  <c r="E36" i="1" s="1"/>
  <c r="M37" i="3"/>
  <c r="F35" i="1" s="1"/>
  <c r="N37" i="3"/>
  <c r="G35" i="1" s="1"/>
  <c r="O37" i="3"/>
  <c r="H35" i="1" s="1"/>
  <c r="P37" i="3"/>
  <c r="I35" i="1" s="1"/>
  <c r="Q37" i="3"/>
  <c r="J35" i="1" s="1"/>
  <c r="R37" i="3"/>
  <c r="K35" i="1" s="1"/>
  <c r="S37" i="3"/>
  <c r="L35" i="1" s="1"/>
  <c r="T37" i="3"/>
  <c r="M35" i="1" s="1"/>
  <c r="U37" i="3"/>
  <c r="N35" i="1" s="1"/>
  <c r="V37" i="3"/>
  <c r="O35" i="1" s="1"/>
  <c r="W37" i="3"/>
  <c r="P35" i="1" s="1"/>
  <c r="L37" i="3"/>
  <c r="E35" i="1" s="1"/>
  <c r="M19" i="3"/>
  <c r="F32" i="1" s="1"/>
  <c r="N19" i="3"/>
  <c r="G32" i="1" s="1"/>
  <c r="O19" i="3"/>
  <c r="H32" i="1" s="1"/>
  <c r="P19" i="3"/>
  <c r="I32" i="1" s="1"/>
  <c r="Q19" i="3"/>
  <c r="J32" i="1" s="1"/>
  <c r="R19" i="3"/>
  <c r="K32" i="1" s="1"/>
  <c r="S19" i="3"/>
  <c r="L32" i="1" s="1"/>
  <c r="T19" i="3"/>
  <c r="M32" i="1" s="1"/>
  <c r="U19" i="3"/>
  <c r="N32" i="1" s="1"/>
  <c r="V19" i="3"/>
  <c r="O32" i="1" s="1"/>
  <c r="W19" i="3"/>
  <c r="P32" i="1" s="1"/>
  <c r="L19" i="3"/>
  <c r="H237" i="4" l="1"/>
  <c r="F99" i="17"/>
  <c r="G42" i="18" s="1"/>
  <c r="F42" i="18" s="1"/>
  <c r="X190" i="4"/>
  <c r="W92" i="3"/>
  <c r="P45" i="1" s="1"/>
  <c r="S92" i="3"/>
  <c r="L45" i="1" s="1"/>
  <c r="Q92" i="3"/>
  <c r="J45" i="1" s="1"/>
  <c r="W237" i="4"/>
  <c r="M92" i="3"/>
  <c r="F45" i="1" s="1"/>
  <c r="S91" i="3"/>
  <c r="L44" i="1" s="1"/>
  <c r="R91" i="3"/>
  <c r="K44" i="1" s="1"/>
  <c r="W90" i="3"/>
  <c r="P43" i="1" s="1"/>
  <c r="V90" i="3"/>
  <c r="O43" i="1" s="1"/>
  <c r="L101" i="3"/>
  <c r="E51" i="1" s="1"/>
  <c r="E32" i="1"/>
  <c r="N91" i="3"/>
  <c r="G44" i="1" s="1"/>
  <c r="S90" i="3"/>
  <c r="L43" i="1" s="1"/>
  <c r="N90" i="3"/>
  <c r="G43" i="1" s="1"/>
  <c r="M90" i="3"/>
  <c r="F43" i="1" s="1"/>
  <c r="P92" i="3"/>
  <c r="I45" i="1" s="1"/>
  <c r="V91" i="3"/>
  <c r="O44" i="1" s="1"/>
  <c r="T91" i="3"/>
  <c r="M44" i="1" s="1"/>
  <c r="S101" i="3"/>
  <c r="L51" i="1" s="1"/>
  <c r="R101" i="3"/>
  <c r="K51" i="1" s="1"/>
  <c r="P101" i="3"/>
  <c r="I51" i="1" s="1"/>
  <c r="Q101" i="3"/>
  <c r="J51" i="1" s="1"/>
  <c r="W101" i="3"/>
  <c r="P51" i="1" s="1"/>
  <c r="V101" i="3"/>
  <c r="O51" i="1" s="1"/>
  <c r="U101" i="3"/>
  <c r="N51" i="1" s="1"/>
  <c r="Q90" i="3"/>
  <c r="J43" i="1" s="1"/>
  <c r="N101" i="3"/>
  <c r="G51" i="1" s="1"/>
  <c r="O90" i="3"/>
  <c r="H43" i="1" s="1"/>
  <c r="O101" i="3"/>
  <c r="H51" i="1" s="1"/>
  <c r="M101" i="3"/>
  <c r="F51" i="1" s="1"/>
  <c r="V113" i="3"/>
  <c r="O60" i="1" s="1"/>
  <c r="Q112" i="3"/>
  <c r="J59" i="1" s="1"/>
  <c r="R92" i="3"/>
  <c r="K45" i="1" s="1"/>
  <c r="M91" i="3"/>
  <c r="F44" i="1" s="1"/>
  <c r="U113" i="3"/>
  <c r="N60" i="1" s="1"/>
  <c r="P112" i="3"/>
  <c r="I59" i="1" s="1"/>
  <c r="T113" i="3"/>
  <c r="M60" i="1" s="1"/>
  <c r="O112" i="3"/>
  <c r="H59" i="1" s="1"/>
  <c r="S113" i="3"/>
  <c r="L60" i="1" s="1"/>
  <c r="N112" i="3"/>
  <c r="G59" i="1" s="1"/>
  <c r="O92" i="3"/>
  <c r="H45" i="1" s="1"/>
  <c r="U90" i="3"/>
  <c r="N43" i="1" s="1"/>
  <c r="W114" i="3"/>
  <c r="P61" i="1" s="1"/>
  <c r="R113" i="3"/>
  <c r="K60" i="1" s="1"/>
  <c r="M112" i="3"/>
  <c r="F59" i="1" s="1"/>
  <c r="N92" i="3"/>
  <c r="T90" i="3"/>
  <c r="M43" i="1" s="1"/>
  <c r="V114" i="3"/>
  <c r="O61" i="1" s="1"/>
  <c r="Q113" i="3"/>
  <c r="J60" i="1" s="1"/>
  <c r="U114" i="3"/>
  <c r="N61" i="1" s="1"/>
  <c r="P113" i="3"/>
  <c r="I60" i="1" s="1"/>
  <c r="W91" i="3"/>
  <c r="P44" i="1" s="1"/>
  <c r="R90" i="3"/>
  <c r="K43" i="1" s="1"/>
  <c r="T114" i="3"/>
  <c r="M61" i="1" s="1"/>
  <c r="O113" i="3"/>
  <c r="H60" i="1" s="1"/>
  <c r="S114" i="3"/>
  <c r="L61" i="1" s="1"/>
  <c r="N113" i="3"/>
  <c r="G60" i="1" s="1"/>
  <c r="U91" i="3"/>
  <c r="N44" i="1" s="1"/>
  <c r="P90" i="3"/>
  <c r="I43" i="1" s="1"/>
  <c r="R114" i="3"/>
  <c r="M113" i="3"/>
  <c r="F60" i="1" s="1"/>
  <c r="Q114" i="3"/>
  <c r="W112" i="3"/>
  <c r="P59" i="1" s="1"/>
  <c r="L112" i="3"/>
  <c r="E59" i="1" s="1"/>
  <c r="P114" i="3"/>
  <c r="I61" i="1" s="1"/>
  <c r="V112" i="3"/>
  <c r="O59" i="1" s="1"/>
  <c r="L113" i="3"/>
  <c r="E60" i="1" s="1"/>
  <c r="O114" i="3"/>
  <c r="H61" i="1" s="1"/>
  <c r="U112" i="3"/>
  <c r="N59" i="1" s="1"/>
  <c r="V92" i="3"/>
  <c r="Q91" i="3"/>
  <c r="J44" i="1" s="1"/>
  <c r="L114" i="3"/>
  <c r="E61" i="1" s="1"/>
  <c r="N114" i="3"/>
  <c r="G61" i="1" s="1"/>
  <c r="T112" i="3"/>
  <c r="M59" i="1" s="1"/>
  <c r="U92" i="3"/>
  <c r="N45" i="1" s="1"/>
  <c r="P91" i="3"/>
  <c r="I44" i="1" s="1"/>
  <c r="M114" i="3"/>
  <c r="F61" i="1" s="1"/>
  <c r="S112" i="3"/>
  <c r="L59" i="1" s="1"/>
  <c r="T92" i="3"/>
  <c r="M45" i="1" s="1"/>
  <c r="O91" i="3"/>
  <c r="H44" i="1" s="1"/>
  <c r="T101" i="3"/>
  <c r="M51" i="1" s="1"/>
  <c r="W113" i="3"/>
  <c r="P60" i="1" s="1"/>
  <c r="L90" i="3"/>
  <c r="E43" i="1" s="1"/>
  <c r="L91" i="3"/>
  <c r="E44" i="1" s="1"/>
  <c r="Q115" i="3" l="1"/>
  <c r="J61" i="1"/>
  <c r="S93" i="3"/>
  <c r="N93" i="3"/>
  <c r="G45" i="1"/>
  <c r="R115" i="3"/>
  <c r="K61" i="1"/>
  <c r="V93" i="3"/>
  <c r="O45" i="1"/>
  <c r="P93" i="3"/>
  <c r="M93" i="3"/>
  <c r="Q93" i="3"/>
  <c r="O115" i="3"/>
  <c r="O93" i="3"/>
  <c r="L115" i="3"/>
  <c r="W115" i="3"/>
  <c r="S115" i="3"/>
  <c r="W93" i="3"/>
  <c r="M115" i="3"/>
  <c r="U93" i="3"/>
  <c r="T115" i="3"/>
  <c r="P115" i="3"/>
  <c r="N115" i="3"/>
  <c r="T93" i="3"/>
  <c r="U115" i="3"/>
  <c r="L93" i="3"/>
  <c r="V115" i="3"/>
  <c r="R93" i="3"/>
  <c r="W241" i="4" l="1"/>
  <c r="E36" i="11" l="1"/>
  <c r="H282" i="4"/>
  <c r="V282" i="4" l="1"/>
  <c r="U282" i="4"/>
  <c r="T282" i="4"/>
  <c r="S282" i="4"/>
  <c r="R282" i="4"/>
  <c r="Q282" i="4"/>
  <c r="P282" i="4"/>
  <c r="O282" i="4"/>
  <c r="N282" i="4"/>
  <c r="M282" i="4"/>
  <c r="L282" i="4"/>
  <c r="K282" i="4"/>
  <c r="V244" i="4"/>
  <c r="U244" i="4"/>
  <c r="T244" i="4"/>
  <c r="S244" i="4"/>
  <c r="R244" i="4"/>
  <c r="Q244" i="4"/>
  <c r="P244" i="4"/>
  <c r="O244" i="4"/>
  <c r="N244" i="4"/>
  <c r="M244" i="4"/>
  <c r="L244" i="4"/>
  <c r="K244" i="4"/>
  <c r="V207" i="4"/>
  <c r="U207" i="4"/>
  <c r="T207" i="4"/>
  <c r="S207" i="4"/>
  <c r="R207" i="4"/>
  <c r="Q207" i="4"/>
  <c r="P207" i="4"/>
  <c r="O207" i="4"/>
  <c r="N207" i="4"/>
  <c r="M207" i="4"/>
  <c r="L207" i="4"/>
  <c r="K207" i="4"/>
  <c r="V206" i="4"/>
  <c r="U206" i="4"/>
  <c r="T206" i="4"/>
  <c r="S206" i="4"/>
  <c r="R206" i="4"/>
  <c r="Q206" i="4"/>
  <c r="P206" i="4"/>
  <c r="O206" i="4"/>
  <c r="N206" i="4"/>
  <c r="M206" i="4"/>
  <c r="L206" i="4"/>
  <c r="K206" i="4"/>
  <c r="V205" i="4"/>
  <c r="U205" i="4"/>
  <c r="T205" i="4"/>
  <c r="V204" i="4"/>
  <c r="U204" i="4"/>
  <c r="T204" i="4"/>
  <c r="V203" i="4"/>
  <c r="U203" i="4"/>
  <c r="T203" i="4"/>
  <c r="V196" i="4"/>
  <c r="U196" i="4"/>
  <c r="T196" i="4"/>
  <c r="S196" i="4"/>
  <c r="R196" i="4"/>
  <c r="Q196" i="4"/>
  <c r="P196" i="4"/>
  <c r="O196" i="4"/>
  <c r="N196" i="4"/>
  <c r="M196" i="4"/>
  <c r="L196" i="4"/>
  <c r="K196" i="4"/>
  <c r="V195" i="4"/>
  <c r="U195" i="4"/>
  <c r="T195" i="4"/>
  <c r="S195" i="4"/>
  <c r="R195" i="4"/>
  <c r="Q195" i="4"/>
  <c r="P195" i="4"/>
  <c r="O195" i="4"/>
  <c r="N195" i="4"/>
  <c r="M195" i="4"/>
  <c r="L195" i="4"/>
  <c r="K195" i="4"/>
  <c r="V194" i="4"/>
  <c r="U194" i="4"/>
  <c r="T194" i="4"/>
  <c r="S194" i="4"/>
  <c r="R194" i="4"/>
  <c r="Q194" i="4"/>
  <c r="P194" i="4"/>
  <c r="O194" i="4"/>
  <c r="N194" i="4"/>
  <c r="M194" i="4"/>
  <c r="L194" i="4"/>
  <c r="K194" i="4"/>
  <c r="V193" i="4"/>
  <c r="U193" i="4"/>
  <c r="T193" i="4"/>
  <c r="S193" i="4"/>
  <c r="R193" i="4"/>
  <c r="Q193" i="4"/>
  <c r="P193" i="4"/>
  <c r="O193" i="4"/>
  <c r="N193" i="4"/>
  <c r="M193" i="4"/>
  <c r="L193" i="4"/>
  <c r="K193" i="4"/>
  <c r="W244" i="4" l="1"/>
  <c r="W242" i="4" l="1"/>
  <c r="F33" i="16" l="1"/>
  <c r="J36" i="11" l="1"/>
  <c r="I36" i="11"/>
  <c r="K11" i="3" l="1"/>
  <c r="J10" i="3"/>
  <c r="W243" i="4" l="1"/>
  <c r="K10" i="3"/>
  <c r="V13" i="3"/>
  <c r="O31" i="1" s="1"/>
  <c r="W13" i="3"/>
  <c r="P31" i="1" s="1"/>
  <c r="L13" i="3"/>
  <c r="E31" i="1" s="1"/>
  <c r="M96" i="3"/>
  <c r="F47" i="1" s="1"/>
  <c r="N96" i="3"/>
  <c r="G47" i="1" s="1"/>
  <c r="O96" i="3"/>
  <c r="H47" i="1" s="1"/>
  <c r="M13" i="3"/>
  <c r="F31" i="1" s="1"/>
  <c r="P96" i="3"/>
  <c r="I47" i="1" s="1"/>
  <c r="N13" i="3"/>
  <c r="G31" i="1" s="1"/>
  <c r="O13" i="3"/>
  <c r="H31" i="1" s="1"/>
  <c r="P13" i="3"/>
  <c r="I31" i="1" s="1"/>
  <c r="Q96" i="3"/>
  <c r="J47" i="1" s="1"/>
  <c r="S13" i="3"/>
  <c r="L31" i="1" s="1"/>
  <c r="R96" i="3"/>
  <c r="K47" i="1" s="1"/>
  <c r="L96" i="3"/>
  <c r="E47" i="1" s="1"/>
  <c r="S96" i="3"/>
  <c r="L47" i="1" s="1"/>
  <c r="Q13" i="3"/>
  <c r="J31" i="1" s="1"/>
  <c r="U13" i="3"/>
  <c r="N31" i="1" s="1"/>
  <c r="T96" i="3"/>
  <c r="M47" i="1" s="1"/>
  <c r="R13" i="3"/>
  <c r="K31" i="1" s="1"/>
  <c r="U96" i="3"/>
  <c r="N47" i="1" s="1"/>
  <c r="V96" i="3"/>
  <c r="O47" i="1" s="1"/>
  <c r="T13" i="3"/>
  <c r="M31" i="1" s="1"/>
  <c r="W96" i="3"/>
  <c r="P47" i="1" s="1"/>
  <c r="S40" i="1"/>
  <c r="N40" i="17" s="1"/>
  <c r="G56" i="18" s="1"/>
  <c r="F56" i="18" s="1"/>
  <c r="G303" i="4"/>
  <c r="F303" i="4"/>
  <c r="V301" i="4"/>
  <c r="U301" i="4"/>
  <c r="T301" i="4"/>
  <c r="S301" i="4"/>
  <c r="R301" i="4"/>
  <c r="Q301" i="4"/>
  <c r="P301" i="4"/>
  <c r="O301" i="4"/>
  <c r="N301" i="4"/>
  <c r="M301" i="4"/>
  <c r="L301" i="4"/>
  <c r="K301" i="4"/>
  <c r="H301" i="4"/>
  <c r="V300" i="4"/>
  <c r="U300" i="4"/>
  <c r="T300" i="4"/>
  <c r="S300" i="4"/>
  <c r="R300" i="4"/>
  <c r="Q300" i="4"/>
  <c r="P300" i="4"/>
  <c r="O300" i="4"/>
  <c r="N300" i="4"/>
  <c r="M300" i="4"/>
  <c r="L300" i="4"/>
  <c r="K300" i="4"/>
  <c r="H300" i="4"/>
  <c r="V299" i="4"/>
  <c r="U299" i="4"/>
  <c r="T299" i="4"/>
  <c r="S299" i="4"/>
  <c r="R299" i="4"/>
  <c r="Q299" i="4"/>
  <c r="P299" i="4"/>
  <c r="O299" i="4"/>
  <c r="N299" i="4"/>
  <c r="M299" i="4"/>
  <c r="L299" i="4"/>
  <c r="K299" i="4"/>
  <c r="H299" i="4"/>
  <c r="V298" i="4"/>
  <c r="U298" i="4"/>
  <c r="T298" i="4"/>
  <c r="S298" i="4"/>
  <c r="R298" i="4"/>
  <c r="Q298" i="4"/>
  <c r="P298" i="4"/>
  <c r="O298" i="4"/>
  <c r="N298" i="4"/>
  <c r="M298" i="4"/>
  <c r="L298" i="4"/>
  <c r="K298" i="4"/>
  <c r="H298" i="4"/>
  <c r="V297" i="4"/>
  <c r="U297" i="4"/>
  <c r="T297" i="4"/>
  <c r="S297" i="4"/>
  <c r="R297" i="4"/>
  <c r="Q297" i="4"/>
  <c r="P297" i="4"/>
  <c r="O297" i="4"/>
  <c r="N297" i="4"/>
  <c r="M297" i="4"/>
  <c r="L297" i="4"/>
  <c r="K297" i="4"/>
  <c r="H297" i="4"/>
  <c r="G294" i="4"/>
  <c r="F294" i="4"/>
  <c r="V292" i="4"/>
  <c r="U292" i="4"/>
  <c r="T292" i="4"/>
  <c r="S292" i="4"/>
  <c r="R292" i="4"/>
  <c r="Q292" i="4"/>
  <c r="P292" i="4"/>
  <c r="O292" i="4"/>
  <c r="N292" i="4"/>
  <c r="M292" i="4"/>
  <c r="L292" i="4"/>
  <c r="K292" i="4"/>
  <c r="H292" i="4"/>
  <c r="V291" i="4"/>
  <c r="U291" i="4"/>
  <c r="T291" i="4"/>
  <c r="S291" i="4"/>
  <c r="R291" i="4"/>
  <c r="Q291" i="4"/>
  <c r="P291" i="4"/>
  <c r="O291" i="4"/>
  <c r="N291" i="4"/>
  <c r="M291" i="4"/>
  <c r="L291" i="4"/>
  <c r="K291" i="4"/>
  <c r="H291" i="4"/>
  <c r="V290" i="4"/>
  <c r="U290" i="4"/>
  <c r="T290" i="4"/>
  <c r="S290" i="4"/>
  <c r="R290" i="4"/>
  <c r="Q290" i="4"/>
  <c r="P290" i="4"/>
  <c r="O290" i="4"/>
  <c r="N290" i="4"/>
  <c r="M290" i="4"/>
  <c r="L290" i="4"/>
  <c r="K290" i="4"/>
  <c r="H290" i="4"/>
  <c r="V289" i="4"/>
  <c r="U289" i="4"/>
  <c r="T289" i="4"/>
  <c r="S289" i="4"/>
  <c r="R289" i="4"/>
  <c r="Q289" i="4"/>
  <c r="P289" i="4"/>
  <c r="O289" i="4"/>
  <c r="N289" i="4"/>
  <c r="M289" i="4"/>
  <c r="L289" i="4"/>
  <c r="K289" i="4"/>
  <c r="H289" i="4"/>
  <c r="V288" i="4"/>
  <c r="U288" i="4"/>
  <c r="T288" i="4"/>
  <c r="S288" i="4"/>
  <c r="R288" i="4"/>
  <c r="Q288" i="4"/>
  <c r="P288" i="4"/>
  <c r="O288" i="4"/>
  <c r="N288" i="4"/>
  <c r="M288" i="4"/>
  <c r="L288" i="4"/>
  <c r="K288" i="4"/>
  <c r="H288" i="4"/>
  <c r="O284" i="4"/>
  <c r="I108" i="1" s="1"/>
  <c r="I109" i="1" s="1"/>
  <c r="P284" i="4"/>
  <c r="J108" i="1" s="1"/>
  <c r="J109" i="1" s="1"/>
  <c r="Q284" i="4"/>
  <c r="K108" i="1" s="1"/>
  <c r="K109" i="1" s="1"/>
  <c r="S284" i="4"/>
  <c r="M108" i="1" s="1"/>
  <c r="M109" i="1" s="1"/>
  <c r="N284" i="4"/>
  <c r="H108" i="1" s="1"/>
  <c r="H109" i="1" s="1"/>
  <c r="G274" i="4"/>
  <c r="F274" i="4"/>
  <c r="V272" i="4"/>
  <c r="U272" i="4"/>
  <c r="T272" i="4"/>
  <c r="S272" i="4"/>
  <c r="R272" i="4"/>
  <c r="Q272" i="4"/>
  <c r="P272" i="4"/>
  <c r="O272" i="4"/>
  <c r="N272" i="4"/>
  <c r="M272" i="4"/>
  <c r="L272" i="4"/>
  <c r="K272" i="4"/>
  <c r="H272" i="4"/>
  <c r="V271" i="4"/>
  <c r="U271" i="4"/>
  <c r="T271" i="4"/>
  <c r="S271" i="4"/>
  <c r="R271" i="4"/>
  <c r="Q271" i="4"/>
  <c r="P271" i="4"/>
  <c r="O271" i="4"/>
  <c r="N271" i="4"/>
  <c r="M271" i="4"/>
  <c r="L271" i="4"/>
  <c r="K271" i="4"/>
  <c r="H271" i="4"/>
  <c r="V270" i="4"/>
  <c r="U270" i="4"/>
  <c r="T270" i="4"/>
  <c r="S270" i="4"/>
  <c r="R270" i="4"/>
  <c r="Q270" i="4"/>
  <c r="P270" i="4"/>
  <c r="O270" i="4"/>
  <c r="N270" i="4"/>
  <c r="M270" i="4"/>
  <c r="L270" i="4"/>
  <c r="K270" i="4"/>
  <c r="H270" i="4"/>
  <c r="V269" i="4"/>
  <c r="U269" i="4"/>
  <c r="T269" i="4"/>
  <c r="S269" i="4"/>
  <c r="R269" i="4"/>
  <c r="Q269" i="4"/>
  <c r="P269" i="4"/>
  <c r="O269" i="4"/>
  <c r="N269" i="4"/>
  <c r="M269" i="4"/>
  <c r="L269" i="4"/>
  <c r="K269" i="4"/>
  <c r="H269" i="4"/>
  <c r="V268" i="4"/>
  <c r="U268" i="4"/>
  <c r="T268" i="4"/>
  <c r="S268" i="4"/>
  <c r="R268" i="4"/>
  <c r="Q268" i="4"/>
  <c r="P268" i="4"/>
  <c r="O268" i="4"/>
  <c r="N268" i="4"/>
  <c r="M268" i="4"/>
  <c r="L268" i="4"/>
  <c r="K268" i="4"/>
  <c r="H268" i="4"/>
  <c r="G264" i="4"/>
  <c r="F264" i="4"/>
  <c r="V262" i="4"/>
  <c r="U262" i="4"/>
  <c r="T262" i="4"/>
  <c r="S262" i="4"/>
  <c r="R262" i="4"/>
  <c r="Q262" i="4"/>
  <c r="P262" i="4"/>
  <c r="O262" i="4"/>
  <c r="N262" i="4"/>
  <c r="M262" i="4"/>
  <c r="L262" i="4"/>
  <c r="K262" i="4"/>
  <c r="H262" i="4"/>
  <c r="V261" i="4"/>
  <c r="U261" i="4"/>
  <c r="T261" i="4"/>
  <c r="S261" i="4"/>
  <c r="R261" i="4"/>
  <c r="Q261" i="4"/>
  <c r="P261" i="4"/>
  <c r="O261" i="4"/>
  <c r="N261" i="4"/>
  <c r="M261" i="4"/>
  <c r="L261" i="4"/>
  <c r="K261" i="4"/>
  <c r="H261" i="4"/>
  <c r="V260" i="4"/>
  <c r="U260" i="4"/>
  <c r="T260" i="4"/>
  <c r="S260" i="4"/>
  <c r="R260" i="4"/>
  <c r="Q260" i="4"/>
  <c r="P260" i="4"/>
  <c r="O260" i="4"/>
  <c r="N260" i="4"/>
  <c r="M260" i="4"/>
  <c r="L260" i="4"/>
  <c r="K260" i="4"/>
  <c r="H260" i="4"/>
  <c r="G255" i="4"/>
  <c r="F255" i="4"/>
  <c r="V253" i="4"/>
  <c r="U253" i="4"/>
  <c r="T253" i="4"/>
  <c r="S253" i="4"/>
  <c r="R253" i="4"/>
  <c r="Q253" i="4"/>
  <c r="P253" i="4"/>
  <c r="O253" i="4"/>
  <c r="N253" i="4"/>
  <c r="M253" i="4"/>
  <c r="L253" i="4"/>
  <c r="K253" i="4"/>
  <c r="H253" i="4"/>
  <c r="V252" i="4"/>
  <c r="U252" i="4"/>
  <c r="T252" i="4"/>
  <c r="S252" i="4"/>
  <c r="R252" i="4"/>
  <c r="Q252" i="4"/>
  <c r="P252" i="4"/>
  <c r="O252" i="4"/>
  <c r="N252" i="4"/>
  <c r="M252" i="4"/>
  <c r="L252" i="4"/>
  <c r="K252" i="4"/>
  <c r="H252" i="4"/>
  <c r="V251" i="4"/>
  <c r="U251" i="4"/>
  <c r="T251" i="4"/>
  <c r="S251" i="4"/>
  <c r="R251" i="4"/>
  <c r="Q251" i="4"/>
  <c r="P251" i="4"/>
  <c r="O251" i="4"/>
  <c r="N251" i="4"/>
  <c r="M251" i="4"/>
  <c r="L251" i="4"/>
  <c r="K251" i="4"/>
  <c r="H251" i="4"/>
  <c r="V250" i="4"/>
  <c r="U250" i="4"/>
  <c r="T250" i="4"/>
  <c r="S250" i="4"/>
  <c r="R250" i="4"/>
  <c r="Q250" i="4"/>
  <c r="P250" i="4"/>
  <c r="O250" i="4"/>
  <c r="N250" i="4"/>
  <c r="M250" i="4"/>
  <c r="L250" i="4"/>
  <c r="K250" i="4"/>
  <c r="H250" i="4"/>
  <c r="F246" i="4"/>
  <c r="G246" i="4"/>
  <c r="V222" i="4"/>
  <c r="U222" i="4"/>
  <c r="T222" i="4"/>
  <c r="S222" i="4"/>
  <c r="R222" i="4"/>
  <c r="Q222" i="4"/>
  <c r="P222" i="4"/>
  <c r="O222" i="4"/>
  <c r="N222" i="4"/>
  <c r="M222" i="4"/>
  <c r="L222" i="4"/>
  <c r="K222" i="4"/>
  <c r="V216" i="4"/>
  <c r="U216" i="4"/>
  <c r="T216" i="4"/>
  <c r="S216" i="4"/>
  <c r="R216" i="4"/>
  <c r="Q216" i="4"/>
  <c r="P216" i="4"/>
  <c r="O216" i="4"/>
  <c r="N216" i="4"/>
  <c r="M216" i="4"/>
  <c r="L216" i="4"/>
  <c r="K216" i="4"/>
  <c r="V215" i="4"/>
  <c r="U215" i="4"/>
  <c r="T215" i="4"/>
  <c r="S215" i="4"/>
  <c r="R215" i="4"/>
  <c r="Q215" i="4"/>
  <c r="P215" i="4"/>
  <c r="O215" i="4"/>
  <c r="N215" i="4"/>
  <c r="M215" i="4"/>
  <c r="L215" i="4"/>
  <c r="K215" i="4"/>
  <c r="V214" i="4"/>
  <c r="U214" i="4"/>
  <c r="T214" i="4"/>
  <c r="S214" i="4"/>
  <c r="R214" i="4"/>
  <c r="Q214" i="4"/>
  <c r="P214" i="4"/>
  <c r="O214" i="4"/>
  <c r="N214" i="4"/>
  <c r="M214" i="4"/>
  <c r="L214" i="4"/>
  <c r="K214" i="4"/>
  <c r="V213" i="4"/>
  <c r="U213" i="4"/>
  <c r="T213" i="4"/>
  <c r="S213" i="4"/>
  <c r="R213" i="4"/>
  <c r="Q213" i="4"/>
  <c r="P213" i="4"/>
  <c r="O213" i="4"/>
  <c r="N213" i="4"/>
  <c r="M213" i="4"/>
  <c r="L213" i="4"/>
  <c r="K213" i="4"/>
  <c r="V221" i="4"/>
  <c r="U221" i="4"/>
  <c r="T221" i="4"/>
  <c r="F224" i="4"/>
  <c r="G224" i="4"/>
  <c r="H222" i="4"/>
  <c r="G218" i="4"/>
  <c r="F218" i="4"/>
  <c r="H216" i="4"/>
  <c r="H215" i="4"/>
  <c r="H214" i="4"/>
  <c r="H213" i="4"/>
  <c r="H207" i="4"/>
  <c r="H206" i="4"/>
  <c r="H205" i="4"/>
  <c r="H203" i="4"/>
  <c r="W203" i="4"/>
  <c r="H193" i="4"/>
  <c r="H196" i="4"/>
  <c r="K198" i="4"/>
  <c r="E93" i="1" s="1"/>
  <c r="G198" i="4"/>
  <c r="F198" i="4"/>
  <c r="H176" i="4"/>
  <c r="L176" i="4"/>
  <c r="G179" i="4"/>
  <c r="F179" i="4"/>
  <c r="V177" i="4"/>
  <c r="U177" i="4"/>
  <c r="T177" i="4"/>
  <c r="S177" i="4"/>
  <c r="R177" i="4"/>
  <c r="Q177" i="4"/>
  <c r="P177" i="4"/>
  <c r="O177" i="4"/>
  <c r="N177" i="4"/>
  <c r="M177" i="4"/>
  <c r="L177" i="4"/>
  <c r="K177" i="4"/>
  <c r="H177" i="4"/>
  <c r="V176" i="4"/>
  <c r="U176" i="4"/>
  <c r="T176" i="4"/>
  <c r="S176" i="4"/>
  <c r="R176" i="4"/>
  <c r="Q176" i="4"/>
  <c r="P176" i="4"/>
  <c r="O176" i="4"/>
  <c r="N176" i="4"/>
  <c r="M176" i="4"/>
  <c r="K176" i="4"/>
  <c r="V169" i="4"/>
  <c r="U169" i="4"/>
  <c r="T169" i="4"/>
  <c r="S169" i="4"/>
  <c r="R169" i="4"/>
  <c r="Q169" i="4"/>
  <c r="P169" i="4"/>
  <c r="O169" i="4"/>
  <c r="N169" i="4"/>
  <c r="M169" i="4"/>
  <c r="L169" i="4"/>
  <c r="K169" i="4"/>
  <c r="V168" i="4"/>
  <c r="U168" i="4"/>
  <c r="T168" i="4"/>
  <c r="S168" i="4"/>
  <c r="R168" i="4"/>
  <c r="Q168" i="4"/>
  <c r="P168" i="4"/>
  <c r="O168" i="4"/>
  <c r="N168" i="4"/>
  <c r="M168" i="4"/>
  <c r="L168" i="4"/>
  <c r="K168" i="4"/>
  <c r="H168" i="4"/>
  <c r="G171" i="4"/>
  <c r="F171" i="4"/>
  <c r="H169" i="4"/>
  <c r="G159" i="4"/>
  <c r="F159" i="4"/>
  <c r="V157" i="4"/>
  <c r="U157" i="4"/>
  <c r="T157" i="4"/>
  <c r="S157" i="4"/>
  <c r="R157" i="4"/>
  <c r="Q157" i="4"/>
  <c r="P157" i="4"/>
  <c r="O157" i="4"/>
  <c r="N157" i="4"/>
  <c r="M157" i="4"/>
  <c r="L157" i="4"/>
  <c r="K157" i="4"/>
  <c r="H157" i="4"/>
  <c r="G153" i="4"/>
  <c r="F153" i="4"/>
  <c r="V151" i="4"/>
  <c r="U151" i="4"/>
  <c r="T151" i="4"/>
  <c r="S151" i="4"/>
  <c r="R151" i="4"/>
  <c r="Q151" i="4"/>
  <c r="P151" i="4"/>
  <c r="O151" i="4"/>
  <c r="N151" i="4"/>
  <c r="M151" i="4"/>
  <c r="L151" i="4"/>
  <c r="K151" i="4"/>
  <c r="H151" i="4"/>
  <c r="V150" i="4"/>
  <c r="U150" i="4"/>
  <c r="T150" i="4"/>
  <c r="S150" i="4"/>
  <c r="R150" i="4"/>
  <c r="Q150" i="4"/>
  <c r="P150" i="4"/>
  <c r="O150" i="4"/>
  <c r="N150" i="4"/>
  <c r="M150" i="4"/>
  <c r="L150" i="4"/>
  <c r="K150" i="4"/>
  <c r="K143" i="4"/>
  <c r="G147" i="4"/>
  <c r="F147" i="4"/>
  <c r="V145" i="4"/>
  <c r="U145" i="4"/>
  <c r="T145" i="4"/>
  <c r="S145" i="4"/>
  <c r="R145" i="4"/>
  <c r="Q145" i="4"/>
  <c r="P145" i="4"/>
  <c r="O145" i="4"/>
  <c r="N145" i="4"/>
  <c r="M145" i="4"/>
  <c r="L145" i="4"/>
  <c r="K145" i="4"/>
  <c r="H145" i="4"/>
  <c r="V144" i="4"/>
  <c r="U144" i="4"/>
  <c r="T144" i="4"/>
  <c r="S144" i="4"/>
  <c r="R144" i="4"/>
  <c r="Q144" i="4"/>
  <c r="P144" i="4"/>
  <c r="O144" i="4"/>
  <c r="N144" i="4"/>
  <c r="M144" i="4"/>
  <c r="L144" i="4"/>
  <c r="K144" i="4"/>
  <c r="H144" i="4"/>
  <c r="V143" i="4"/>
  <c r="U143" i="4"/>
  <c r="T143" i="4"/>
  <c r="S143" i="4"/>
  <c r="R143" i="4"/>
  <c r="Q143" i="4"/>
  <c r="P143" i="4"/>
  <c r="O143" i="4"/>
  <c r="N143" i="4"/>
  <c r="M143" i="4"/>
  <c r="L143" i="4"/>
  <c r="H143" i="4"/>
  <c r="K122" i="4"/>
  <c r="E83" i="1" s="1"/>
  <c r="V140" i="4"/>
  <c r="P85" i="1" s="1"/>
  <c r="U140" i="4"/>
  <c r="O85" i="1" s="1"/>
  <c r="T140" i="4"/>
  <c r="N85" i="1" s="1"/>
  <c r="S140" i="4"/>
  <c r="M85" i="1" s="1"/>
  <c r="R140" i="4"/>
  <c r="L85" i="1" s="1"/>
  <c r="Q140" i="4"/>
  <c r="K85" i="1" s="1"/>
  <c r="P140" i="4"/>
  <c r="J85" i="1" s="1"/>
  <c r="O140" i="4"/>
  <c r="I85" i="1" s="1"/>
  <c r="N140" i="4"/>
  <c r="H85" i="1" s="1"/>
  <c r="M140" i="4"/>
  <c r="G85" i="1" s="1"/>
  <c r="L140" i="4"/>
  <c r="F85" i="1" s="1"/>
  <c r="K140" i="4"/>
  <c r="E85" i="1" s="1"/>
  <c r="G140" i="4"/>
  <c r="F140" i="4"/>
  <c r="W138" i="4"/>
  <c r="H138" i="4"/>
  <c r="W137" i="4"/>
  <c r="H137" i="4"/>
  <c r="W136" i="4"/>
  <c r="H136" i="4"/>
  <c r="W135" i="4"/>
  <c r="H135" i="4"/>
  <c r="W134" i="4"/>
  <c r="H134" i="4"/>
  <c r="V131" i="4"/>
  <c r="P84" i="1" s="1"/>
  <c r="U131" i="4"/>
  <c r="O84" i="1" s="1"/>
  <c r="T131" i="4"/>
  <c r="N84" i="1" s="1"/>
  <c r="S131" i="4"/>
  <c r="M84" i="1" s="1"/>
  <c r="R131" i="4"/>
  <c r="L84" i="1" s="1"/>
  <c r="Q131" i="4"/>
  <c r="K84" i="1" s="1"/>
  <c r="P131" i="4"/>
  <c r="J84" i="1" s="1"/>
  <c r="O131" i="4"/>
  <c r="I84" i="1" s="1"/>
  <c r="N131" i="4"/>
  <c r="H84" i="1" s="1"/>
  <c r="M131" i="4"/>
  <c r="G84" i="1" s="1"/>
  <c r="L131" i="4"/>
  <c r="F84" i="1" s="1"/>
  <c r="K131" i="4"/>
  <c r="E84" i="1" s="1"/>
  <c r="G131" i="4"/>
  <c r="F131" i="4"/>
  <c r="W129" i="4"/>
  <c r="H129" i="4"/>
  <c r="W128" i="4"/>
  <c r="H128" i="4"/>
  <c r="W127" i="4"/>
  <c r="H127" i="4"/>
  <c r="W126" i="4"/>
  <c r="H126" i="4"/>
  <c r="W125" i="4"/>
  <c r="H125" i="4"/>
  <c r="V122" i="4"/>
  <c r="P83" i="1" s="1"/>
  <c r="U122" i="4"/>
  <c r="O83" i="1" s="1"/>
  <c r="T122" i="4"/>
  <c r="N83" i="1" s="1"/>
  <c r="S122" i="4"/>
  <c r="M83" i="1" s="1"/>
  <c r="R122" i="4"/>
  <c r="L83" i="1" s="1"/>
  <c r="Q122" i="4"/>
  <c r="K83" i="1" s="1"/>
  <c r="P122" i="4"/>
  <c r="J83" i="1" s="1"/>
  <c r="O122" i="4"/>
  <c r="I83" i="1" s="1"/>
  <c r="N122" i="4"/>
  <c r="H83" i="1" s="1"/>
  <c r="M122" i="4"/>
  <c r="G83" i="1" s="1"/>
  <c r="L122" i="4"/>
  <c r="F83" i="1" s="1"/>
  <c r="G122" i="4"/>
  <c r="W120" i="4"/>
  <c r="H120" i="4"/>
  <c r="W119" i="4"/>
  <c r="H119" i="4"/>
  <c r="W118" i="4"/>
  <c r="H118" i="4"/>
  <c r="W117" i="4"/>
  <c r="H117" i="4"/>
  <c r="W116" i="4"/>
  <c r="H116" i="4"/>
  <c r="G113" i="4"/>
  <c r="V111" i="4"/>
  <c r="U111" i="4"/>
  <c r="T111" i="4"/>
  <c r="S111" i="4"/>
  <c r="R111" i="4"/>
  <c r="Q111" i="4"/>
  <c r="P111" i="4"/>
  <c r="O111" i="4"/>
  <c r="N111" i="4"/>
  <c r="M111" i="4"/>
  <c r="L111" i="4"/>
  <c r="K111" i="4"/>
  <c r="H111" i="4"/>
  <c r="V110" i="4"/>
  <c r="U110" i="4"/>
  <c r="T110" i="4"/>
  <c r="S110" i="4"/>
  <c r="R110" i="4"/>
  <c r="Q110" i="4"/>
  <c r="P110" i="4"/>
  <c r="O110" i="4"/>
  <c r="N110" i="4"/>
  <c r="M110" i="4"/>
  <c r="L110" i="4"/>
  <c r="K110" i="4"/>
  <c r="H110" i="4"/>
  <c r="H101" i="4"/>
  <c r="V103" i="4"/>
  <c r="U103" i="4"/>
  <c r="T103" i="4"/>
  <c r="S103" i="4"/>
  <c r="R103" i="4"/>
  <c r="Q103" i="4"/>
  <c r="P103" i="4"/>
  <c r="O103" i="4"/>
  <c r="O105" i="4" s="1"/>
  <c r="I79" i="1" s="1"/>
  <c r="N103" i="4"/>
  <c r="M103" i="4"/>
  <c r="L103" i="4"/>
  <c r="K103" i="4"/>
  <c r="H100" i="4"/>
  <c r="H93" i="4"/>
  <c r="W93" i="4"/>
  <c r="H94" i="4"/>
  <c r="K94" i="4"/>
  <c r="L94" i="4"/>
  <c r="M94" i="4"/>
  <c r="N94" i="4"/>
  <c r="O94" i="4"/>
  <c r="P94" i="4"/>
  <c r="Q94" i="4"/>
  <c r="R94" i="4"/>
  <c r="S94" i="4"/>
  <c r="T94" i="4"/>
  <c r="U94" i="4"/>
  <c r="V94" i="4"/>
  <c r="H95" i="4"/>
  <c r="K95" i="4"/>
  <c r="L95" i="4"/>
  <c r="M95" i="4"/>
  <c r="N95" i="4"/>
  <c r="O95" i="4"/>
  <c r="P95" i="4"/>
  <c r="Q95" i="4"/>
  <c r="R95" i="4"/>
  <c r="S95" i="4"/>
  <c r="T95" i="4"/>
  <c r="U95" i="4"/>
  <c r="V95" i="4"/>
  <c r="H88" i="4"/>
  <c r="H87" i="4"/>
  <c r="H86" i="4"/>
  <c r="H85" i="4"/>
  <c r="H80" i="4"/>
  <c r="H79" i="4"/>
  <c r="V88" i="4"/>
  <c r="U88" i="4"/>
  <c r="T88" i="4"/>
  <c r="S88" i="4"/>
  <c r="R88" i="4"/>
  <c r="Q88" i="4"/>
  <c r="P88" i="4"/>
  <c r="O88" i="4"/>
  <c r="N88" i="4"/>
  <c r="M88" i="4"/>
  <c r="L88" i="4"/>
  <c r="K88" i="4"/>
  <c r="V87" i="4"/>
  <c r="U87" i="4"/>
  <c r="T87" i="4"/>
  <c r="S87" i="4"/>
  <c r="R87" i="4"/>
  <c r="Q87" i="4"/>
  <c r="P87" i="4"/>
  <c r="O87" i="4"/>
  <c r="N87" i="4"/>
  <c r="M87" i="4"/>
  <c r="L87" i="4"/>
  <c r="K87" i="4"/>
  <c r="W86" i="4"/>
  <c r="V80" i="4"/>
  <c r="U80" i="4"/>
  <c r="T80" i="4"/>
  <c r="S80" i="4"/>
  <c r="R80" i="4"/>
  <c r="Q80" i="4"/>
  <c r="P80" i="4"/>
  <c r="O80" i="4"/>
  <c r="N80" i="4"/>
  <c r="M80" i="4"/>
  <c r="L80" i="4"/>
  <c r="K80" i="4"/>
  <c r="V79" i="4"/>
  <c r="U79" i="4"/>
  <c r="T79" i="4"/>
  <c r="S79" i="4"/>
  <c r="R79" i="4"/>
  <c r="Q79" i="4"/>
  <c r="P79" i="4"/>
  <c r="O79" i="4"/>
  <c r="N79" i="4"/>
  <c r="M79" i="4"/>
  <c r="L79" i="4"/>
  <c r="K79" i="4"/>
  <c r="V78" i="4"/>
  <c r="U78" i="4"/>
  <c r="T78" i="4"/>
  <c r="S78" i="4"/>
  <c r="U74" i="4"/>
  <c r="O73" i="1" s="1"/>
  <c r="T74" i="4"/>
  <c r="N73" i="1" s="1"/>
  <c r="S74" i="4"/>
  <c r="M73" i="1" s="1"/>
  <c r="R74" i="4"/>
  <c r="L73" i="1" s="1"/>
  <c r="Q74" i="4"/>
  <c r="K73" i="1" s="1"/>
  <c r="P74" i="4"/>
  <c r="J73" i="1" s="1"/>
  <c r="O74" i="4"/>
  <c r="I73" i="1" s="1"/>
  <c r="N74" i="4"/>
  <c r="H73" i="1" s="1"/>
  <c r="M74" i="4"/>
  <c r="G73" i="1" s="1"/>
  <c r="L74" i="4"/>
  <c r="F73" i="1" s="1"/>
  <c r="K74" i="4"/>
  <c r="E73" i="1" s="1"/>
  <c r="V74" i="4"/>
  <c r="P73" i="1" s="1"/>
  <c r="H68" i="4"/>
  <c r="H72" i="4"/>
  <c r="H71" i="4"/>
  <c r="H70" i="4"/>
  <c r="H69" i="4"/>
  <c r="H63" i="4"/>
  <c r="H57" i="4"/>
  <c r="H56" i="4"/>
  <c r="V63" i="4"/>
  <c r="U63" i="4"/>
  <c r="T63" i="4"/>
  <c r="T65" i="4" s="1"/>
  <c r="N72" i="1" s="1"/>
  <c r="S63" i="4"/>
  <c r="R63" i="4"/>
  <c r="Q63" i="4"/>
  <c r="P63" i="4"/>
  <c r="O63" i="4"/>
  <c r="N63" i="4"/>
  <c r="M63" i="4"/>
  <c r="L63" i="4"/>
  <c r="K63" i="4"/>
  <c r="V57" i="4"/>
  <c r="U57" i="4"/>
  <c r="T57" i="4"/>
  <c r="S57" i="4"/>
  <c r="R57" i="4"/>
  <c r="Q57" i="4"/>
  <c r="P57" i="4"/>
  <c r="O57" i="4"/>
  <c r="N57" i="4"/>
  <c r="M57" i="4"/>
  <c r="L57" i="4"/>
  <c r="K57" i="4"/>
  <c r="V56" i="4"/>
  <c r="U56" i="4"/>
  <c r="T56" i="4"/>
  <c r="S56" i="4"/>
  <c r="R56" i="4"/>
  <c r="Q56" i="4"/>
  <c r="P56" i="4"/>
  <c r="O56" i="4"/>
  <c r="N56" i="4"/>
  <c r="M56" i="4"/>
  <c r="L56" i="4"/>
  <c r="K56" i="4"/>
  <c r="V43" i="4"/>
  <c r="U43" i="4"/>
  <c r="T43" i="4"/>
  <c r="S43" i="4"/>
  <c r="R43" i="4"/>
  <c r="Q43" i="4"/>
  <c r="P43" i="4"/>
  <c r="O43" i="4"/>
  <c r="N43" i="4"/>
  <c r="M43" i="4"/>
  <c r="L43" i="4"/>
  <c r="K43" i="4"/>
  <c r="V42" i="4"/>
  <c r="U42" i="4"/>
  <c r="T42" i="4"/>
  <c r="S42" i="4"/>
  <c r="R42" i="4"/>
  <c r="Q42" i="4"/>
  <c r="P42" i="4"/>
  <c r="O42" i="4"/>
  <c r="N42" i="4"/>
  <c r="M42" i="4"/>
  <c r="L42" i="4"/>
  <c r="K42" i="4"/>
  <c r="H43" i="4"/>
  <c r="H42" i="4"/>
  <c r="H36" i="4"/>
  <c r="H35" i="4"/>
  <c r="K35" i="4"/>
  <c r="V36" i="4"/>
  <c r="U36" i="4"/>
  <c r="T36" i="4"/>
  <c r="S36" i="4"/>
  <c r="R36" i="4"/>
  <c r="Q36" i="4"/>
  <c r="P36" i="4"/>
  <c r="O36" i="4"/>
  <c r="N36" i="4"/>
  <c r="M36" i="4"/>
  <c r="L36" i="4"/>
  <c r="K36" i="4"/>
  <c r="V35" i="4"/>
  <c r="U35" i="4"/>
  <c r="T35" i="4"/>
  <c r="S35" i="4"/>
  <c r="R35" i="4"/>
  <c r="Q35" i="4"/>
  <c r="P35" i="4"/>
  <c r="O35" i="4"/>
  <c r="N35" i="4"/>
  <c r="M35" i="4"/>
  <c r="L35" i="4"/>
  <c r="H30" i="4"/>
  <c r="H29" i="4"/>
  <c r="H23" i="4"/>
  <c r="H17" i="4"/>
  <c r="H16" i="4"/>
  <c r="V30" i="4"/>
  <c r="U30" i="4"/>
  <c r="T30" i="4"/>
  <c r="S30" i="4"/>
  <c r="R30" i="4"/>
  <c r="Q30" i="4"/>
  <c r="P30" i="4"/>
  <c r="O30" i="4"/>
  <c r="N30" i="4"/>
  <c r="M30" i="4"/>
  <c r="L30" i="4"/>
  <c r="K30" i="4"/>
  <c r="V29" i="4"/>
  <c r="U29" i="4"/>
  <c r="T29" i="4"/>
  <c r="S29" i="4"/>
  <c r="R29" i="4"/>
  <c r="Q29" i="4"/>
  <c r="P29" i="4"/>
  <c r="O29" i="4"/>
  <c r="N29" i="4"/>
  <c r="M29" i="4"/>
  <c r="L29" i="4"/>
  <c r="K29" i="4"/>
  <c r="V23" i="4"/>
  <c r="U23" i="4"/>
  <c r="T23" i="4"/>
  <c r="S23" i="4"/>
  <c r="R23" i="4"/>
  <c r="Q23" i="4"/>
  <c r="P23" i="4"/>
  <c r="O23" i="4"/>
  <c r="N23" i="4"/>
  <c r="M23" i="4"/>
  <c r="L23" i="4"/>
  <c r="K23" i="4"/>
  <c r="K17" i="4"/>
  <c r="K16" i="4"/>
  <c r="L16" i="4"/>
  <c r="M16" i="4"/>
  <c r="N16" i="4"/>
  <c r="O16" i="4"/>
  <c r="P16" i="4"/>
  <c r="Q16" i="4"/>
  <c r="R16" i="4"/>
  <c r="S16" i="4"/>
  <c r="T16" i="4"/>
  <c r="U16" i="4"/>
  <c r="V16" i="4"/>
  <c r="L17" i="4"/>
  <c r="M17" i="4"/>
  <c r="N17" i="4"/>
  <c r="O17" i="4"/>
  <c r="P17" i="4"/>
  <c r="Q17" i="4"/>
  <c r="R17" i="4"/>
  <c r="S17" i="4"/>
  <c r="T17" i="4"/>
  <c r="U17" i="4"/>
  <c r="V17" i="4"/>
  <c r="H221" i="4" l="1"/>
  <c r="W251" i="4"/>
  <c r="W269" i="4"/>
  <c r="H78" i="4"/>
  <c r="W42" i="4"/>
  <c r="W57" i="4"/>
  <c r="W250" i="4"/>
  <c r="W268" i="4"/>
  <c r="W36" i="4"/>
  <c r="W262" i="4"/>
  <c r="W56" i="4"/>
  <c r="W261" i="4"/>
  <c r="W272" i="4"/>
  <c r="W253" i="4"/>
  <c r="W260" i="4"/>
  <c r="W271" i="4"/>
  <c r="W43" i="4"/>
  <c r="H156" i="4"/>
  <c r="W252" i="4"/>
  <c r="W270" i="4"/>
  <c r="W63" i="4"/>
  <c r="S100" i="3"/>
  <c r="L50" i="1" s="1"/>
  <c r="P100" i="3"/>
  <c r="I50" i="1" s="1"/>
  <c r="O100" i="3"/>
  <c r="H50" i="1" s="1"/>
  <c r="N100" i="3"/>
  <c r="G50" i="1" s="1"/>
  <c r="T100" i="3"/>
  <c r="M50" i="1" s="1"/>
  <c r="M100" i="3"/>
  <c r="F50" i="1" s="1"/>
  <c r="R100" i="3"/>
  <c r="K50" i="1" s="1"/>
  <c r="L100" i="3"/>
  <c r="E50" i="1" s="1"/>
  <c r="U100" i="3"/>
  <c r="N50" i="1" s="1"/>
  <c r="W100" i="3"/>
  <c r="P50" i="1" s="1"/>
  <c r="Q100" i="3"/>
  <c r="J50" i="1" s="1"/>
  <c r="V100" i="3"/>
  <c r="O50" i="1" s="1"/>
  <c r="H255" i="4"/>
  <c r="V284" i="4"/>
  <c r="P108" i="1" s="1"/>
  <c r="S224" i="4"/>
  <c r="M98" i="1" s="1"/>
  <c r="N153" i="4"/>
  <c r="H87" i="1" s="1"/>
  <c r="T179" i="4"/>
  <c r="N91" i="1" s="1"/>
  <c r="K147" i="4"/>
  <c r="E86" i="1" s="1"/>
  <c r="U274" i="4"/>
  <c r="O105" i="1" s="1"/>
  <c r="O106" i="1" s="1"/>
  <c r="V224" i="4"/>
  <c r="P98" i="1" s="1"/>
  <c r="L38" i="4"/>
  <c r="F68" i="1" s="1"/>
  <c r="Q179" i="4"/>
  <c r="K91" i="1" s="1"/>
  <c r="R153" i="4"/>
  <c r="L87" i="1" s="1"/>
  <c r="Q198" i="4"/>
  <c r="K93" i="1" s="1"/>
  <c r="H179" i="4"/>
  <c r="N198" i="4"/>
  <c r="H93" i="1" s="1"/>
  <c r="L264" i="4"/>
  <c r="F102" i="1" s="1"/>
  <c r="V274" i="4"/>
  <c r="P105" i="1" s="1"/>
  <c r="V38" i="4"/>
  <c r="P68" i="1" s="1"/>
  <c r="N97" i="4"/>
  <c r="H78" i="1" s="1"/>
  <c r="M25" i="4"/>
  <c r="G66" i="1" s="1"/>
  <c r="V105" i="4"/>
  <c r="P79" i="1" s="1"/>
  <c r="M179" i="4"/>
  <c r="G91" i="1" s="1"/>
  <c r="L97" i="4"/>
  <c r="F78" i="1" s="1"/>
  <c r="P25" i="4"/>
  <c r="J66" i="1" s="1"/>
  <c r="Q59" i="4"/>
  <c r="K71" i="1" s="1"/>
  <c r="V97" i="4"/>
  <c r="P78" i="1" s="1"/>
  <c r="H194" i="4"/>
  <c r="V25" i="4"/>
  <c r="P66" i="1" s="1"/>
  <c r="P82" i="4"/>
  <c r="J76" i="1" s="1"/>
  <c r="N179" i="4"/>
  <c r="H91" i="1" s="1"/>
  <c r="P224" i="4"/>
  <c r="J98" i="1" s="1"/>
  <c r="M264" i="4"/>
  <c r="G102" i="1" s="1"/>
  <c r="P264" i="4"/>
  <c r="J102" i="1" s="1"/>
  <c r="S264" i="4"/>
  <c r="M102" i="1" s="1"/>
  <c r="V264" i="4"/>
  <c r="P102" i="1" s="1"/>
  <c r="H274" i="4"/>
  <c r="W291" i="4"/>
  <c r="S90" i="4"/>
  <c r="M77" i="1" s="1"/>
  <c r="O218" i="4"/>
  <c r="I97" i="1" s="1"/>
  <c r="N264" i="4"/>
  <c r="H102" i="1" s="1"/>
  <c r="N25" i="4"/>
  <c r="H66" i="1" s="1"/>
  <c r="O59" i="4"/>
  <c r="I71" i="1" s="1"/>
  <c r="K105" i="4"/>
  <c r="E79" i="1" s="1"/>
  <c r="H153" i="4"/>
  <c r="O264" i="4"/>
  <c r="I102" i="1" s="1"/>
  <c r="Q303" i="4"/>
  <c r="K112" i="1" s="1"/>
  <c r="P59" i="4"/>
  <c r="J71" i="1" s="1"/>
  <c r="V65" i="4"/>
  <c r="P72" i="1" s="1"/>
  <c r="O209" i="4"/>
  <c r="I96" i="1" s="1"/>
  <c r="W300" i="4"/>
  <c r="K45" i="4"/>
  <c r="E69" i="1" s="1"/>
  <c r="U59" i="4"/>
  <c r="O71" i="1" s="1"/>
  <c r="N82" i="4"/>
  <c r="H76" i="1" s="1"/>
  <c r="V90" i="4"/>
  <c r="P77" i="1" s="1"/>
  <c r="M90" i="4"/>
  <c r="G77" i="1" s="1"/>
  <c r="R113" i="4"/>
  <c r="L82" i="1" s="1"/>
  <c r="L147" i="4"/>
  <c r="F86" i="1" s="1"/>
  <c r="L153" i="4"/>
  <c r="F87" i="1" s="1"/>
  <c r="O153" i="4"/>
  <c r="I87" i="1" s="1"/>
  <c r="Q159" i="4"/>
  <c r="K88" i="1" s="1"/>
  <c r="Q264" i="4"/>
  <c r="K102" i="1" s="1"/>
  <c r="V294" i="4"/>
  <c r="P111" i="1" s="1"/>
  <c r="S303" i="4"/>
  <c r="M112" i="1" s="1"/>
  <c r="O25" i="4"/>
  <c r="I66" i="1" s="1"/>
  <c r="U25" i="4"/>
  <c r="O66" i="1" s="1"/>
  <c r="Q38" i="4"/>
  <c r="K68" i="1" s="1"/>
  <c r="R59" i="4"/>
  <c r="L71" i="1" s="1"/>
  <c r="S113" i="4"/>
  <c r="M82" i="1" s="1"/>
  <c r="V113" i="4"/>
  <c r="P82" i="1" s="1"/>
  <c r="W122" i="4"/>
  <c r="M153" i="4"/>
  <c r="G87" i="1" s="1"/>
  <c r="S179" i="4"/>
  <c r="M91" i="1" s="1"/>
  <c r="Q209" i="4"/>
  <c r="K96" i="1" s="1"/>
  <c r="U255" i="4"/>
  <c r="O101" i="1" s="1"/>
  <c r="T303" i="4"/>
  <c r="N112" i="1" s="1"/>
  <c r="R209" i="4"/>
  <c r="L96" i="1" s="1"/>
  <c r="W299" i="4"/>
  <c r="R45" i="4"/>
  <c r="L69" i="1" s="1"/>
  <c r="T59" i="4"/>
  <c r="N71" i="1" s="1"/>
  <c r="T264" i="4"/>
  <c r="N102" i="1" s="1"/>
  <c r="K284" i="4"/>
  <c r="E108" i="1" s="1"/>
  <c r="E109" i="1" s="1"/>
  <c r="Q97" i="4"/>
  <c r="K78" i="1" s="1"/>
  <c r="L179" i="4"/>
  <c r="F91" i="1" s="1"/>
  <c r="K255" i="4"/>
  <c r="E101" i="1" s="1"/>
  <c r="N255" i="4"/>
  <c r="H101" i="1" s="1"/>
  <c r="T153" i="4"/>
  <c r="N87" i="1" s="1"/>
  <c r="P65" i="4"/>
  <c r="J72" i="1" s="1"/>
  <c r="O90" i="4"/>
  <c r="I77" i="1" s="1"/>
  <c r="V171" i="4"/>
  <c r="P90" i="1" s="1"/>
  <c r="M224" i="4"/>
  <c r="G98" i="1" s="1"/>
  <c r="V209" i="4"/>
  <c r="P96" i="1" s="1"/>
  <c r="T224" i="4"/>
  <c r="N98" i="1" s="1"/>
  <c r="W289" i="4"/>
  <c r="R294" i="4"/>
  <c r="L111" i="1" s="1"/>
  <c r="R38" i="4"/>
  <c r="L68" i="1" s="1"/>
  <c r="T45" i="4"/>
  <c r="N69" i="1" s="1"/>
  <c r="L65" i="4"/>
  <c r="F72" i="1" s="1"/>
  <c r="R97" i="4"/>
  <c r="L78" i="1" s="1"/>
  <c r="P105" i="4"/>
  <c r="J79" i="1" s="1"/>
  <c r="P171" i="4"/>
  <c r="J90" i="1" s="1"/>
  <c r="T171" i="4"/>
  <c r="N90" i="1" s="1"/>
  <c r="S218" i="4"/>
  <c r="M97" i="1" s="1"/>
  <c r="M255" i="4"/>
  <c r="G101" i="1" s="1"/>
  <c r="H294" i="4"/>
  <c r="V303" i="4"/>
  <c r="P112" i="1" s="1"/>
  <c r="S38" i="4"/>
  <c r="M68" i="1" s="1"/>
  <c r="U45" i="4"/>
  <c r="O69" i="1" s="1"/>
  <c r="U159" i="4"/>
  <c r="O88" i="1" s="1"/>
  <c r="W288" i="4"/>
  <c r="T38" i="4"/>
  <c r="N68" i="1" s="1"/>
  <c r="V45" i="4"/>
  <c r="P69" i="1" s="1"/>
  <c r="N65" i="4"/>
  <c r="H72" i="1" s="1"/>
  <c r="S97" i="4"/>
  <c r="M78" i="1" s="1"/>
  <c r="P97" i="4"/>
  <c r="J78" i="1" s="1"/>
  <c r="R105" i="4"/>
  <c r="L79" i="1" s="1"/>
  <c r="Q153" i="4"/>
  <c r="K87" i="1" s="1"/>
  <c r="U209" i="4"/>
  <c r="O96" i="1" s="1"/>
  <c r="O255" i="4"/>
  <c r="I101" i="1" s="1"/>
  <c r="R255" i="4"/>
  <c r="L101" i="1" s="1"/>
  <c r="L274" i="4"/>
  <c r="F105" i="1" s="1"/>
  <c r="F106" i="1" s="1"/>
  <c r="L294" i="4"/>
  <c r="F111" i="1" s="1"/>
  <c r="W298" i="4"/>
  <c r="U38" i="4"/>
  <c r="O68" i="1" s="1"/>
  <c r="O65" i="4"/>
  <c r="I72" i="1" s="1"/>
  <c r="S105" i="4"/>
  <c r="M79" i="1" s="1"/>
  <c r="P255" i="4"/>
  <c r="J101" i="1" s="1"/>
  <c r="S255" i="4"/>
  <c r="M101" i="1" s="1"/>
  <c r="M274" i="4"/>
  <c r="G105" i="1" s="1"/>
  <c r="G106" i="1" s="1"/>
  <c r="M294" i="4"/>
  <c r="G111" i="1" s="1"/>
  <c r="S153" i="4"/>
  <c r="M87" i="1" s="1"/>
  <c r="K159" i="4"/>
  <c r="E88" i="1" s="1"/>
  <c r="Q255" i="4"/>
  <c r="K101" i="1" s="1"/>
  <c r="N274" i="4"/>
  <c r="H105" i="1" s="1"/>
  <c r="H106" i="1" s="1"/>
  <c r="T284" i="4"/>
  <c r="N108" i="1" s="1"/>
  <c r="N109" i="1" s="1"/>
  <c r="N294" i="4"/>
  <c r="H111" i="1" s="1"/>
  <c r="H303" i="4"/>
  <c r="P19" i="4"/>
  <c r="J65" i="1" s="1"/>
  <c r="H45" i="4"/>
  <c r="Q45" i="4"/>
  <c r="K69" i="1" s="1"/>
  <c r="K59" i="4"/>
  <c r="E71" i="1" s="1"/>
  <c r="P90" i="4"/>
  <c r="J77" i="1" s="1"/>
  <c r="W144" i="4"/>
  <c r="O198" i="4"/>
  <c r="I93" i="1" s="1"/>
  <c r="U264" i="4"/>
  <c r="O102" i="1" s="1"/>
  <c r="O274" i="4"/>
  <c r="I105" i="1" s="1"/>
  <c r="I106" i="1" s="1"/>
  <c r="O294" i="4"/>
  <c r="I111" i="1" s="1"/>
  <c r="K303" i="4"/>
  <c r="E112" i="1" s="1"/>
  <c r="Q19" i="4"/>
  <c r="K65" i="1" s="1"/>
  <c r="O97" i="4"/>
  <c r="I78" i="1" s="1"/>
  <c r="O147" i="4"/>
  <c r="I86" i="1" s="1"/>
  <c r="U153" i="4"/>
  <c r="O87" i="1" s="1"/>
  <c r="P198" i="4"/>
  <c r="J93" i="1" s="1"/>
  <c r="K224" i="4"/>
  <c r="E98" i="1" s="1"/>
  <c r="P274" i="4"/>
  <c r="J105" i="1" s="1"/>
  <c r="J106" i="1" s="1"/>
  <c r="P294" i="4"/>
  <c r="J111" i="1" s="1"/>
  <c r="W292" i="4"/>
  <c r="W297" i="4"/>
  <c r="V82" i="4"/>
  <c r="P76" i="1" s="1"/>
  <c r="T255" i="4"/>
  <c r="N101" i="1" s="1"/>
  <c r="Q274" i="4"/>
  <c r="K105" i="1" s="1"/>
  <c r="K106" i="1" s="1"/>
  <c r="Q294" i="4"/>
  <c r="K111" i="1" s="1"/>
  <c r="M303" i="4"/>
  <c r="G112" i="1" s="1"/>
  <c r="S19" i="4"/>
  <c r="M65" i="1" s="1"/>
  <c r="R25" i="4"/>
  <c r="L66" i="1" s="1"/>
  <c r="V32" i="4"/>
  <c r="P67" i="1" s="1"/>
  <c r="N32" i="4"/>
  <c r="H67" i="1" s="1"/>
  <c r="O159" i="4"/>
  <c r="I88" i="1" s="1"/>
  <c r="R274" i="4"/>
  <c r="L105" i="1" s="1"/>
  <c r="L106" i="1" s="1"/>
  <c r="U294" i="4"/>
  <c r="O111" i="1" s="1"/>
  <c r="N303" i="4"/>
  <c r="H112" i="1" s="1"/>
  <c r="R19" i="4"/>
  <c r="L65" i="1" s="1"/>
  <c r="K153" i="4"/>
  <c r="E87" i="1" s="1"/>
  <c r="W221" i="4"/>
  <c r="V255" i="4"/>
  <c r="P101" i="1" s="1"/>
  <c r="S274" i="4"/>
  <c r="M105" i="1" s="1"/>
  <c r="M106" i="1" s="1"/>
  <c r="S294" i="4"/>
  <c r="M111" i="1" s="1"/>
  <c r="O303" i="4"/>
  <c r="I112" i="1" s="1"/>
  <c r="R303" i="4"/>
  <c r="L112" i="1" s="1"/>
  <c r="U19" i="4"/>
  <c r="O65" i="1" s="1"/>
  <c r="T25" i="4"/>
  <c r="N66" i="1" s="1"/>
  <c r="L32" i="4"/>
  <c r="F67" i="1" s="1"/>
  <c r="U90" i="4"/>
  <c r="O77" i="1" s="1"/>
  <c r="N159" i="4"/>
  <c r="H88" i="1" s="1"/>
  <c r="R179" i="4"/>
  <c r="L91" i="1" s="1"/>
  <c r="M209" i="4"/>
  <c r="G96" i="1" s="1"/>
  <c r="M218" i="4"/>
  <c r="G97" i="1" s="1"/>
  <c r="T274" i="4"/>
  <c r="N105" i="1" s="1"/>
  <c r="N106" i="1" s="1"/>
  <c r="T294" i="4"/>
  <c r="N111" i="1" s="1"/>
  <c r="P303" i="4"/>
  <c r="J112" i="1" s="1"/>
  <c r="W301" i="4"/>
  <c r="K171" i="4"/>
  <c r="E90" i="1" s="1"/>
  <c r="V218" i="4"/>
  <c r="P97" i="1" s="1"/>
  <c r="W290" i="4"/>
  <c r="V19" i="4"/>
  <c r="P65" i="1" s="1"/>
  <c r="W207" i="4"/>
  <c r="L284" i="4"/>
  <c r="F108" i="1" s="1"/>
  <c r="F109" i="1" s="1"/>
  <c r="U303" i="4"/>
  <c r="O112" i="1" s="1"/>
  <c r="L303" i="4"/>
  <c r="F112" i="1" s="1"/>
  <c r="F113" i="1" s="1"/>
  <c r="K294" i="4"/>
  <c r="E111" i="1" s="1"/>
  <c r="R284" i="4"/>
  <c r="L108" i="1" s="1"/>
  <c r="L109" i="1" s="1"/>
  <c r="W282" i="4"/>
  <c r="U284" i="4"/>
  <c r="O108" i="1" s="1"/>
  <c r="O109" i="1" s="1"/>
  <c r="H284" i="4"/>
  <c r="M284" i="4"/>
  <c r="G108" i="1" s="1"/>
  <c r="G109" i="1" s="1"/>
  <c r="K274" i="4"/>
  <c r="E105" i="1" s="1"/>
  <c r="E106" i="1" s="1"/>
  <c r="H264" i="4"/>
  <c r="R264" i="4"/>
  <c r="L102" i="1" s="1"/>
  <c r="K264" i="4"/>
  <c r="E102" i="1" s="1"/>
  <c r="L255" i="4"/>
  <c r="F101" i="1" s="1"/>
  <c r="R90" i="4"/>
  <c r="L77" i="1" s="1"/>
  <c r="T19" i="4"/>
  <c r="N65" i="1" s="1"/>
  <c r="O45" i="4"/>
  <c r="I69" i="1" s="1"/>
  <c r="H131" i="4"/>
  <c r="O171" i="4"/>
  <c r="I90" i="1" s="1"/>
  <c r="O179" i="4"/>
  <c r="I91" i="1" s="1"/>
  <c r="N209" i="4"/>
  <c r="H96" i="1" s="1"/>
  <c r="Q224" i="4"/>
  <c r="K98" i="1" s="1"/>
  <c r="T32" i="4"/>
  <c r="N67" i="1" s="1"/>
  <c r="V59" i="4"/>
  <c r="P71" i="1" s="1"/>
  <c r="T90" i="4"/>
  <c r="N77" i="1" s="1"/>
  <c r="M97" i="4"/>
  <c r="G78" i="1" s="1"/>
  <c r="U105" i="4"/>
  <c r="O79" i="1" s="1"/>
  <c r="P153" i="4"/>
  <c r="J87" i="1" s="1"/>
  <c r="P179" i="4"/>
  <c r="J91" i="1" s="1"/>
  <c r="L198" i="4"/>
  <c r="F93" i="1" s="1"/>
  <c r="S209" i="4"/>
  <c r="M96" i="1" s="1"/>
  <c r="W206" i="4"/>
  <c r="U224" i="4"/>
  <c r="O98" i="1" s="1"/>
  <c r="U32" i="4"/>
  <c r="O67" i="1" s="1"/>
  <c r="M65" i="4"/>
  <c r="G72" i="1" s="1"/>
  <c r="H90" i="4"/>
  <c r="H147" i="4"/>
  <c r="W195" i="4"/>
  <c r="T209" i="4"/>
  <c r="N96" i="1" s="1"/>
  <c r="L209" i="4"/>
  <c r="F96" i="1" s="1"/>
  <c r="P209" i="4"/>
  <c r="J96" i="1" s="1"/>
  <c r="W94" i="4"/>
  <c r="H113" i="4"/>
  <c r="W143" i="4"/>
  <c r="R159" i="4"/>
  <c r="L88" i="1" s="1"/>
  <c r="R171" i="4"/>
  <c r="L90" i="1" s="1"/>
  <c r="U179" i="4"/>
  <c r="O91" i="1" s="1"/>
  <c r="W29" i="4"/>
  <c r="S45" i="4"/>
  <c r="M69" i="1" s="1"/>
  <c r="M147" i="4"/>
  <c r="G86" i="1" s="1"/>
  <c r="P32" i="4"/>
  <c r="J67" i="1" s="1"/>
  <c r="L45" i="4"/>
  <c r="F69" i="1" s="1"/>
  <c r="T82" i="4"/>
  <c r="N76" i="1" s="1"/>
  <c r="W196" i="4"/>
  <c r="L25" i="4"/>
  <c r="F66" i="1" s="1"/>
  <c r="S25" i="4"/>
  <c r="M66" i="1" s="1"/>
  <c r="M38" i="4"/>
  <c r="G68" i="1" s="1"/>
  <c r="M45" i="4"/>
  <c r="G69" i="1" s="1"/>
  <c r="Q65" i="4"/>
  <c r="K72" i="1" s="1"/>
  <c r="Q82" i="4"/>
  <c r="K76" i="1" s="1"/>
  <c r="L90" i="4"/>
  <c r="F77" i="1" s="1"/>
  <c r="T105" i="4"/>
  <c r="N79" i="1" s="1"/>
  <c r="Q171" i="4"/>
  <c r="K90" i="1" s="1"/>
  <c r="N38" i="4"/>
  <c r="H68" i="1" s="1"/>
  <c r="N45" i="4"/>
  <c r="H69" i="1" s="1"/>
  <c r="L59" i="4"/>
  <c r="F71" i="1" s="1"/>
  <c r="R65" i="4"/>
  <c r="L72" i="1" s="1"/>
  <c r="P147" i="4"/>
  <c r="J86" i="1" s="1"/>
  <c r="V153" i="4"/>
  <c r="P87" i="1" s="1"/>
  <c r="V159" i="4"/>
  <c r="P88" i="1" s="1"/>
  <c r="V179" i="4"/>
  <c r="P91" i="1" s="1"/>
  <c r="K32" i="4"/>
  <c r="E67" i="1" s="1"/>
  <c r="O32" i="4"/>
  <c r="I67" i="1" s="1"/>
  <c r="O38" i="4"/>
  <c r="I68" i="1" s="1"/>
  <c r="M59" i="4"/>
  <c r="G71" i="1" s="1"/>
  <c r="S65" i="4"/>
  <c r="M72" i="1" s="1"/>
  <c r="S82" i="4"/>
  <c r="M76" i="1" s="1"/>
  <c r="K90" i="4"/>
  <c r="E77" i="1" s="1"/>
  <c r="L105" i="4"/>
  <c r="F79" i="1" s="1"/>
  <c r="H165" i="4"/>
  <c r="S171" i="4"/>
  <c r="M90" i="1" s="1"/>
  <c r="S198" i="4"/>
  <c r="M93" i="1" s="1"/>
  <c r="L224" i="4"/>
  <c r="F98" i="1" s="1"/>
  <c r="L19" i="4"/>
  <c r="F65" i="1" s="1"/>
  <c r="M19" i="4"/>
  <c r="G65" i="1" s="1"/>
  <c r="K25" i="4"/>
  <c r="E66" i="1" s="1"/>
  <c r="P38" i="4"/>
  <c r="J68" i="1" s="1"/>
  <c r="P45" i="4"/>
  <c r="J69" i="1" s="1"/>
  <c r="N59" i="4"/>
  <c r="H71" i="1" s="1"/>
  <c r="U97" i="4"/>
  <c r="O78" i="1" s="1"/>
  <c r="M105" i="4"/>
  <c r="G79" i="1" s="1"/>
  <c r="W103" i="4"/>
  <c r="Q105" i="4"/>
  <c r="K79" i="1" s="1"/>
  <c r="K179" i="4"/>
  <c r="E91" i="1" s="1"/>
  <c r="U198" i="4"/>
  <c r="O93" i="1" s="1"/>
  <c r="T198" i="4"/>
  <c r="N93" i="1" s="1"/>
  <c r="W205" i="4"/>
  <c r="U218" i="4"/>
  <c r="O97" i="1" s="1"/>
  <c r="W35" i="4"/>
  <c r="N19" i="4"/>
  <c r="H65" i="1" s="1"/>
  <c r="S59" i="4"/>
  <c r="M71" i="1" s="1"/>
  <c r="U65" i="4"/>
  <c r="O72" i="1" s="1"/>
  <c r="P113" i="4"/>
  <c r="J82" i="1" s="1"/>
  <c r="H122" i="4"/>
  <c r="W165" i="4"/>
  <c r="R218" i="4"/>
  <c r="L97" i="1" s="1"/>
  <c r="O19" i="4"/>
  <c r="I65" i="1" s="1"/>
  <c r="K19" i="4"/>
  <c r="E65" i="1" s="1"/>
  <c r="N90" i="4"/>
  <c r="H77" i="1" s="1"/>
  <c r="Q90" i="4"/>
  <c r="K77" i="1" s="1"/>
  <c r="V198" i="4"/>
  <c r="P93" i="1" s="1"/>
  <c r="W17" i="4"/>
  <c r="W23" i="4"/>
  <c r="K82" i="4"/>
  <c r="E76" i="1" s="1"/>
  <c r="N105" i="4"/>
  <c r="H79" i="1" s="1"/>
  <c r="U147" i="4"/>
  <c r="O86" i="1" s="1"/>
  <c r="W150" i="4"/>
  <c r="L218" i="4"/>
  <c r="F97" i="1" s="1"/>
  <c r="T218" i="4"/>
  <c r="N97" i="1" s="1"/>
  <c r="W95" i="4"/>
  <c r="T97" i="4"/>
  <c r="N78" i="1" s="1"/>
  <c r="W131" i="4"/>
  <c r="W151" i="4"/>
  <c r="W169" i="4"/>
  <c r="W215" i="4"/>
  <c r="W16" i="4"/>
  <c r="W111" i="4"/>
  <c r="W140" i="4"/>
  <c r="W145" i="4"/>
  <c r="P159" i="4"/>
  <c r="J88" i="1" s="1"/>
  <c r="K113" i="4"/>
  <c r="E82" i="1" s="1"/>
  <c r="N113" i="4"/>
  <c r="H82" i="1" s="1"/>
  <c r="W176" i="4"/>
  <c r="M198" i="4"/>
  <c r="G93" i="1" s="1"/>
  <c r="W214" i="4"/>
  <c r="M113" i="4"/>
  <c r="G82" i="1" s="1"/>
  <c r="S159" i="4"/>
  <c r="M88" i="1" s="1"/>
  <c r="K209" i="4"/>
  <c r="E96" i="1" s="1"/>
  <c r="K65" i="4"/>
  <c r="E72" i="1" s="1"/>
  <c r="L82" i="4"/>
  <c r="F76" i="1" s="1"/>
  <c r="T159" i="4"/>
  <c r="N88" i="1" s="1"/>
  <c r="W168" i="4"/>
  <c r="R32" i="4"/>
  <c r="L67" i="1" s="1"/>
  <c r="K38" i="4"/>
  <c r="E68" i="1" s="1"/>
  <c r="M32" i="4"/>
  <c r="G67" i="1" s="1"/>
  <c r="M82" i="4"/>
  <c r="G76" i="1" s="1"/>
  <c r="O113" i="4"/>
  <c r="I82" i="1" s="1"/>
  <c r="M171" i="4"/>
  <c r="G90" i="1" s="1"/>
  <c r="W177" i="4"/>
  <c r="R198" i="4"/>
  <c r="L93" i="1" s="1"/>
  <c r="H224" i="4"/>
  <c r="W30" i="4"/>
  <c r="R82" i="4"/>
  <c r="L76" i="1" s="1"/>
  <c r="L80" i="1" s="1"/>
  <c r="N171" i="4"/>
  <c r="H90" i="1" s="1"/>
  <c r="W213" i="4"/>
  <c r="K218" i="4"/>
  <c r="E97" i="1" s="1"/>
  <c r="O82" i="4"/>
  <c r="I76" i="1" s="1"/>
  <c r="K97" i="4"/>
  <c r="E78" i="1" s="1"/>
  <c r="Q113" i="4"/>
  <c r="K82" i="1" s="1"/>
  <c r="H140" i="4"/>
  <c r="N147" i="4"/>
  <c r="H86" i="1" s="1"/>
  <c r="H159" i="4"/>
  <c r="P218" i="4"/>
  <c r="J97" i="1" s="1"/>
  <c r="W87" i="4"/>
  <c r="W78" i="4"/>
  <c r="T113" i="4"/>
  <c r="N82" i="1" s="1"/>
  <c r="Q147" i="4"/>
  <c r="K86" i="1" s="1"/>
  <c r="W157" i="4"/>
  <c r="S32" i="4"/>
  <c r="M67" i="1" s="1"/>
  <c r="W85" i="4"/>
  <c r="U113" i="4"/>
  <c r="O82" i="1" s="1"/>
  <c r="R147" i="4"/>
  <c r="L86" i="1" s="1"/>
  <c r="W222" i="4"/>
  <c r="S147" i="4"/>
  <c r="M86" i="1" s="1"/>
  <c r="Q218" i="4"/>
  <c r="K97" i="1" s="1"/>
  <c r="U82" i="4"/>
  <c r="O76" i="1" s="1"/>
  <c r="T147" i="4"/>
  <c r="N86" i="1" s="1"/>
  <c r="V147" i="4"/>
  <c r="P86" i="1" s="1"/>
  <c r="M159" i="4"/>
  <c r="G88" i="1" s="1"/>
  <c r="U171" i="4"/>
  <c r="O90" i="1" s="1"/>
  <c r="R224" i="4"/>
  <c r="L98" i="1" s="1"/>
  <c r="N218" i="4"/>
  <c r="H97" i="1" s="1"/>
  <c r="W216" i="4"/>
  <c r="O224" i="4"/>
  <c r="I98" i="1" s="1"/>
  <c r="H218" i="4"/>
  <c r="N224" i="4"/>
  <c r="H98" i="1" s="1"/>
  <c r="W204" i="4"/>
  <c r="H204" i="4"/>
  <c r="H195" i="4"/>
  <c r="W194" i="4"/>
  <c r="W193" i="4"/>
  <c r="L171" i="4"/>
  <c r="F90" i="1" s="1"/>
  <c r="H171" i="4"/>
  <c r="L159" i="4"/>
  <c r="F88" i="1" s="1"/>
  <c r="L113" i="4"/>
  <c r="F82" i="1" s="1"/>
  <c r="W110" i="4"/>
  <c r="H97" i="4"/>
  <c r="W88" i="4"/>
  <c r="W80" i="4"/>
  <c r="W79" i="4"/>
  <c r="Q25" i="4"/>
  <c r="K66" i="1" s="1"/>
  <c r="Q32" i="4"/>
  <c r="K67" i="1" s="1"/>
  <c r="W72" i="4"/>
  <c r="W71" i="4"/>
  <c r="W70" i="4"/>
  <c r="W69" i="4"/>
  <c r="W68" i="4"/>
  <c r="V165" i="4"/>
  <c r="P89" i="1" s="1"/>
  <c r="U165" i="4"/>
  <c r="O89" i="1" s="1"/>
  <c r="T165" i="4"/>
  <c r="N89" i="1" s="1"/>
  <c r="S165" i="4"/>
  <c r="M89" i="1" s="1"/>
  <c r="R165" i="4"/>
  <c r="L89" i="1" s="1"/>
  <c r="Q165" i="4"/>
  <c r="K89" i="1" s="1"/>
  <c r="P165" i="4"/>
  <c r="J89" i="1" s="1"/>
  <c r="O165" i="4"/>
  <c r="I89" i="1" s="1"/>
  <c r="N165" i="4"/>
  <c r="H89" i="1" s="1"/>
  <c r="M165" i="4"/>
  <c r="G89" i="1" s="1"/>
  <c r="L165" i="4"/>
  <c r="F89" i="1" s="1"/>
  <c r="G12" i="4"/>
  <c r="K165" i="4"/>
  <c r="E89" i="1" s="1"/>
  <c r="M113" i="1" l="1"/>
  <c r="N113" i="1"/>
  <c r="I80" i="1"/>
  <c r="K113" i="1"/>
  <c r="M80" i="1"/>
  <c r="O113" i="1"/>
  <c r="K80" i="1"/>
  <c r="G113" i="1"/>
  <c r="H80" i="1"/>
  <c r="G80" i="1"/>
  <c r="J113" i="1"/>
  <c r="L113" i="1"/>
  <c r="I113" i="1"/>
  <c r="E80" i="1"/>
  <c r="N80" i="1"/>
  <c r="J80" i="1"/>
  <c r="E113" i="1"/>
  <c r="O80" i="1"/>
  <c r="H113" i="1"/>
  <c r="F80" i="1"/>
  <c r="W105" i="4"/>
  <c r="W224" i="4"/>
  <c r="X224" i="4" s="1"/>
  <c r="W38" i="4"/>
  <c r="W255" i="4"/>
  <c r="X255" i="4" s="1"/>
  <c r="X122" i="4"/>
  <c r="W303" i="4"/>
  <c r="X303" i="4" s="1"/>
  <c r="H198" i="4"/>
  <c r="W294" i="4"/>
  <c r="X294" i="4" s="1"/>
  <c r="W147" i="4"/>
  <c r="X147" i="4" s="1"/>
  <c r="W19" i="4"/>
  <c r="W65" i="4"/>
  <c r="W179" i="4"/>
  <c r="X179" i="4" s="1"/>
  <c r="W97" i="4"/>
  <c r="X97" i="4" s="1"/>
  <c r="W264" i="4"/>
  <c r="X264" i="4" s="1"/>
  <c r="X165" i="4"/>
  <c r="W25" i="4"/>
  <c r="W274" i="4"/>
  <c r="X274" i="4" s="1"/>
  <c r="W59" i="4"/>
  <c r="X131" i="4"/>
  <c r="W159" i="4"/>
  <c r="X159" i="4" s="1"/>
  <c r="W284" i="4"/>
  <c r="X284" i="4" s="1"/>
  <c r="W113" i="4"/>
  <c r="X113" i="4" s="1"/>
  <c r="W32" i="4"/>
  <c r="W171" i="4"/>
  <c r="X171" i="4" s="1"/>
  <c r="W153" i="4"/>
  <c r="X153" i="4" s="1"/>
  <c r="W45" i="4"/>
  <c r="X45" i="4" s="1"/>
  <c r="X140" i="4"/>
  <c r="W198" i="4"/>
  <c r="W74" i="4"/>
  <c r="W90" i="4"/>
  <c r="W209" i="4"/>
  <c r="W218" i="4"/>
  <c r="X218" i="4" s="1"/>
  <c r="W82" i="4"/>
  <c r="AF86" i="1"/>
  <c r="X198" i="4" l="1"/>
  <c r="U116" i="23" l="1"/>
  <c r="U114" i="23"/>
  <c r="U110" i="23"/>
  <c r="U108" i="23"/>
  <c r="U107" i="23"/>
  <c r="U105" i="23"/>
  <c r="U104" i="23"/>
  <c r="U102" i="23"/>
  <c r="U101" i="23"/>
  <c r="U100" i="23"/>
  <c r="U99" i="23"/>
  <c r="U98" i="23"/>
  <c r="U97" i="23"/>
  <c r="U96" i="23"/>
  <c r="U95" i="23"/>
  <c r="U93" i="23"/>
  <c r="U92" i="23"/>
  <c r="U91" i="23"/>
  <c r="U90" i="23"/>
  <c r="U89" i="23"/>
  <c r="U88" i="23"/>
  <c r="U87" i="23"/>
  <c r="U86" i="23"/>
  <c r="U85" i="23"/>
  <c r="U84" i="23"/>
  <c r="U83" i="23"/>
  <c r="U82" i="23"/>
  <c r="U81" i="23"/>
  <c r="U79" i="23"/>
  <c r="U78" i="23"/>
  <c r="U77" i="23"/>
  <c r="U76" i="23"/>
  <c r="U75" i="23"/>
  <c r="U73" i="23"/>
  <c r="U72" i="23"/>
  <c r="U71" i="23"/>
  <c r="U70" i="23"/>
  <c r="U69" i="23"/>
  <c r="U68" i="23"/>
  <c r="U67" i="23"/>
  <c r="U66" i="23"/>
  <c r="U65" i="23"/>
  <c r="U64" i="23"/>
  <c r="U63" i="23"/>
  <c r="U61" i="23"/>
  <c r="U60" i="23"/>
  <c r="U59" i="23"/>
  <c r="U58" i="23"/>
  <c r="U57" i="23"/>
  <c r="U56" i="23"/>
  <c r="U55" i="23"/>
  <c r="U54" i="23"/>
  <c r="U53" i="23"/>
  <c r="U52" i="23"/>
  <c r="U51" i="23"/>
  <c r="U50" i="23"/>
  <c r="U49" i="23"/>
  <c r="U48" i="23"/>
  <c r="U47" i="23"/>
  <c r="U46" i="23"/>
  <c r="U45" i="23"/>
  <c r="U44" i="23"/>
  <c r="U43" i="23"/>
  <c r="U42" i="23"/>
  <c r="U40" i="23"/>
  <c r="U39" i="23"/>
  <c r="U38" i="23"/>
  <c r="U37" i="23"/>
  <c r="U36" i="23"/>
  <c r="U35" i="23"/>
  <c r="U34" i="23"/>
  <c r="U33" i="23"/>
  <c r="U32" i="23"/>
  <c r="U31" i="23"/>
  <c r="U30" i="23"/>
  <c r="U29" i="23"/>
  <c r="U28" i="23"/>
  <c r="U26" i="23"/>
  <c r="U23" i="23"/>
  <c r="U18" i="23"/>
  <c r="U16" i="23"/>
  <c r="U14" i="23"/>
  <c r="U12" i="23"/>
  <c r="U11" i="23"/>
  <c r="U10" i="23"/>
  <c r="U9" i="23"/>
  <c r="U8" i="23"/>
  <c r="U116" i="1"/>
  <c r="U114" i="1"/>
  <c r="U110" i="1"/>
  <c r="U108" i="1"/>
  <c r="U107" i="1"/>
  <c r="U104" i="1"/>
  <c r="U102" i="1"/>
  <c r="U101" i="1"/>
  <c r="U98" i="1"/>
  <c r="U97" i="1"/>
  <c r="U96" i="1"/>
  <c r="U95" i="1"/>
  <c r="U93" i="1"/>
  <c r="U91" i="1"/>
  <c r="U90" i="1"/>
  <c r="U89" i="1"/>
  <c r="U88" i="1"/>
  <c r="U87" i="1"/>
  <c r="U86" i="1"/>
  <c r="U85" i="1"/>
  <c r="U84" i="1"/>
  <c r="U83" i="1"/>
  <c r="U82" i="1"/>
  <c r="U81" i="1"/>
  <c r="U79" i="1"/>
  <c r="U78" i="1"/>
  <c r="U77" i="1"/>
  <c r="U76" i="1"/>
  <c r="U75" i="1"/>
  <c r="U73" i="1"/>
  <c r="U72" i="1"/>
  <c r="U71" i="1"/>
  <c r="U69" i="1"/>
  <c r="U68" i="1"/>
  <c r="U67" i="1"/>
  <c r="U66" i="1"/>
  <c r="U65" i="1"/>
  <c r="U63" i="1"/>
  <c r="U61" i="1"/>
  <c r="U60" i="1"/>
  <c r="U59" i="1"/>
  <c r="U51" i="1"/>
  <c r="U50" i="1"/>
  <c r="U48" i="1"/>
  <c r="U47" i="1"/>
  <c r="U45" i="1"/>
  <c r="U44" i="1"/>
  <c r="U43" i="1"/>
  <c r="U42" i="1"/>
  <c r="U40" i="1"/>
  <c r="U39" i="1"/>
  <c r="U38" i="1"/>
  <c r="U37" i="1"/>
  <c r="U36" i="1"/>
  <c r="U35" i="1"/>
  <c r="U32" i="1"/>
  <c r="U31" i="1"/>
  <c r="U30" i="1"/>
  <c r="U29" i="1"/>
  <c r="U28" i="1"/>
  <c r="U26" i="1"/>
  <c r="U23" i="1"/>
  <c r="U21" i="1"/>
  <c r="U19" i="1"/>
  <c r="U18" i="1"/>
  <c r="U15" i="1"/>
  <c r="U14" i="1"/>
  <c r="A3" i="16"/>
  <c r="P112" i="23" l="1"/>
  <c r="O112" i="23"/>
  <c r="N112" i="23"/>
  <c r="M112" i="23"/>
  <c r="L112" i="23"/>
  <c r="K112" i="23"/>
  <c r="J112" i="23"/>
  <c r="I112" i="23"/>
  <c r="H112" i="23"/>
  <c r="G112" i="23"/>
  <c r="F112" i="23"/>
  <c r="E112" i="23"/>
  <c r="P111" i="23"/>
  <c r="O111" i="23"/>
  <c r="N111" i="23"/>
  <c r="M111" i="23"/>
  <c r="L111" i="23"/>
  <c r="K111" i="23"/>
  <c r="J111" i="23"/>
  <c r="I111" i="23"/>
  <c r="H111" i="23"/>
  <c r="G111" i="23"/>
  <c r="F111" i="23"/>
  <c r="E111" i="23"/>
  <c r="P24" i="23"/>
  <c r="O24" i="23"/>
  <c r="N24" i="23"/>
  <c r="M24" i="23"/>
  <c r="L24" i="23"/>
  <c r="K24" i="23"/>
  <c r="J24" i="23"/>
  <c r="I24" i="23"/>
  <c r="H24" i="23"/>
  <c r="G24" i="23"/>
  <c r="F24" i="23"/>
  <c r="E24" i="23"/>
  <c r="P21" i="23"/>
  <c r="O21" i="23"/>
  <c r="N21" i="23"/>
  <c r="M21" i="23"/>
  <c r="L21" i="23"/>
  <c r="K21" i="23"/>
  <c r="J21" i="23"/>
  <c r="I21" i="23"/>
  <c r="H21" i="23"/>
  <c r="G21" i="23"/>
  <c r="F21" i="23"/>
  <c r="E21" i="23"/>
  <c r="P20" i="23"/>
  <c r="O20" i="23"/>
  <c r="N20" i="23"/>
  <c r="M20" i="23"/>
  <c r="L20" i="23"/>
  <c r="K20" i="23"/>
  <c r="J20" i="23"/>
  <c r="I20" i="23"/>
  <c r="H20" i="23"/>
  <c r="G20" i="23"/>
  <c r="F20" i="23"/>
  <c r="E20" i="23"/>
  <c r="P19" i="23"/>
  <c r="O19" i="23"/>
  <c r="N19" i="23"/>
  <c r="M19" i="23"/>
  <c r="L19" i="23"/>
  <c r="K19" i="23"/>
  <c r="J19" i="23"/>
  <c r="I19" i="23"/>
  <c r="H19" i="23"/>
  <c r="G19" i="23"/>
  <c r="F19" i="23"/>
  <c r="E19" i="23"/>
  <c r="U21" i="23" l="1"/>
  <c r="U19" i="23"/>
  <c r="U112" i="23"/>
  <c r="U20" i="23"/>
  <c r="U111" i="23"/>
  <c r="U24" i="23"/>
  <c r="U15" i="23"/>
  <c r="P112" i="5"/>
  <c r="O112" i="5"/>
  <c r="N112" i="5"/>
  <c r="M112" i="5"/>
  <c r="L112" i="5"/>
  <c r="K112" i="5"/>
  <c r="J112" i="5"/>
  <c r="I112" i="5"/>
  <c r="H112" i="5"/>
  <c r="G112" i="5"/>
  <c r="F112" i="5"/>
  <c r="E112" i="5"/>
  <c r="P111" i="5"/>
  <c r="O111" i="5"/>
  <c r="N111" i="5"/>
  <c r="M111" i="5"/>
  <c r="L111" i="5"/>
  <c r="K111" i="5"/>
  <c r="J111" i="5"/>
  <c r="I111" i="5"/>
  <c r="H111" i="5"/>
  <c r="G111" i="5"/>
  <c r="F111" i="5"/>
  <c r="E111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X10" i="3" l="1"/>
  <c r="Z10" i="3" s="1"/>
  <c r="AB10" i="3" s="1"/>
  <c r="AD10" i="3" s="1"/>
  <c r="Y10" i="3" l="1"/>
  <c r="AA10" i="3" s="1"/>
  <c r="AC10" i="3" s="1"/>
  <c r="AE10" i="3" s="1"/>
  <c r="S8" i="23" l="1"/>
  <c r="P157" i="23" l="1"/>
  <c r="O157" i="23"/>
  <c r="N157" i="23"/>
  <c r="M157" i="23"/>
  <c r="L157" i="23"/>
  <c r="K157" i="23"/>
  <c r="J157" i="23"/>
  <c r="I157" i="23"/>
  <c r="H157" i="23"/>
  <c r="G157" i="23"/>
  <c r="F157" i="23"/>
  <c r="E157" i="23"/>
  <c r="P156" i="23"/>
  <c r="O156" i="23"/>
  <c r="N156" i="23"/>
  <c r="M156" i="23"/>
  <c r="L156" i="23"/>
  <c r="K156" i="23"/>
  <c r="J156" i="23"/>
  <c r="I156" i="23"/>
  <c r="H156" i="23"/>
  <c r="G156" i="23"/>
  <c r="F156" i="23"/>
  <c r="E156" i="23"/>
  <c r="P155" i="23"/>
  <c r="O155" i="23"/>
  <c r="N155" i="23"/>
  <c r="M155" i="23"/>
  <c r="L155" i="23"/>
  <c r="K155" i="23"/>
  <c r="J155" i="23"/>
  <c r="I155" i="23"/>
  <c r="H155" i="23"/>
  <c r="G155" i="23"/>
  <c r="F155" i="23"/>
  <c r="E155" i="23"/>
  <c r="P154" i="23"/>
  <c r="O154" i="23"/>
  <c r="N154" i="23"/>
  <c r="M154" i="23"/>
  <c r="L154" i="23"/>
  <c r="K154" i="23"/>
  <c r="J154" i="23"/>
  <c r="I154" i="23"/>
  <c r="H154" i="23"/>
  <c r="G154" i="23"/>
  <c r="F154" i="23"/>
  <c r="E154" i="23"/>
  <c r="P153" i="23"/>
  <c r="O153" i="23"/>
  <c r="N153" i="23"/>
  <c r="M153" i="23"/>
  <c r="L153" i="23"/>
  <c r="K153" i="23"/>
  <c r="J153" i="23"/>
  <c r="I153" i="23"/>
  <c r="H153" i="23"/>
  <c r="G153" i="23"/>
  <c r="F153" i="23"/>
  <c r="E153" i="23"/>
  <c r="P152" i="23"/>
  <c r="O152" i="23"/>
  <c r="N152" i="23"/>
  <c r="M152" i="23"/>
  <c r="L152" i="23"/>
  <c r="K152" i="23"/>
  <c r="J152" i="23"/>
  <c r="I152" i="23"/>
  <c r="H152" i="23"/>
  <c r="G152" i="23"/>
  <c r="F152" i="23"/>
  <c r="E152" i="23"/>
  <c r="P151" i="23"/>
  <c r="O151" i="23"/>
  <c r="N151" i="23"/>
  <c r="M151" i="23"/>
  <c r="L151" i="23"/>
  <c r="K151" i="23"/>
  <c r="J151" i="23"/>
  <c r="I151" i="23"/>
  <c r="H151" i="23"/>
  <c r="G151" i="23"/>
  <c r="F151" i="23"/>
  <c r="E151" i="23"/>
  <c r="P150" i="23"/>
  <c r="O150" i="23"/>
  <c r="N150" i="23"/>
  <c r="M150" i="23"/>
  <c r="L150" i="23"/>
  <c r="K150" i="23"/>
  <c r="J150" i="23"/>
  <c r="I150" i="23"/>
  <c r="H150" i="23"/>
  <c r="G150" i="23"/>
  <c r="F150" i="23"/>
  <c r="E150" i="23"/>
  <c r="P149" i="23"/>
  <c r="O149" i="23"/>
  <c r="N149" i="23"/>
  <c r="M149" i="23"/>
  <c r="L149" i="23"/>
  <c r="K149" i="23"/>
  <c r="J149" i="23"/>
  <c r="I149" i="23"/>
  <c r="H149" i="23"/>
  <c r="G149" i="23"/>
  <c r="F149" i="23"/>
  <c r="E149" i="23"/>
  <c r="P148" i="23"/>
  <c r="O148" i="23"/>
  <c r="N148" i="23"/>
  <c r="M148" i="23"/>
  <c r="L148" i="23"/>
  <c r="K148" i="23"/>
  <c r="J148" i="23"/>
  <c r="I148" i="23"/>
  <c r="H148" i="23"/>
  <c r="G148" i="23"/>
  <c r="F148" i="23"/>
  <c r="E148" i="23"/>
  <c r="P147" i="23"/>
  <c r="O147" i="23"/>
  <c r="N147" i="23"/>
  <c r="M147" i="23"/>
  <c r="L147" i="23"/>
  <c r="K147" i="23"/>
  <c r="J147" i="23"/>
  <c r="I147" i="23"/>
  <c r="H147" i="23"/>
  <c r="G147" i="23"/>
  <c r="F147" i="23"/>
  <c r="E147" i="23"/>
  <c r="P146" i="23"/>
  <c r="O146" i="23"/>
  <c r="N146" i="23"/>
  <c r="M146" i="23"/>
  <c r="L146" i="23"/>
  <c r="K146" i="23"/>
  <c r="J146" i="23"/>
  <c r="I146" i="23"/>
  <c r="H146" i="23"/>
  <c r="G146" i="23"/>
  <c r="F146" i="23"/>
  <c r="E146" i="23"/>
  <c r="E139" i="23"/>
  <c r="Q113" i="23"/>
  <c r="P113" i="23"/>
  <c r="O113" i="23"/>
  <c r="N113" i="23"/>
  <c r="M113" i="23"/>
  <c r="L113" i="23"/>
  <c r="K113" i="23"/>
  <c r="J113" i="23"/>
  <c r="I113" i="23"/>
  <c r="H113" i="23"/>
  <c r="G113" i="23"/>
  <c r="F113" i="23"/>
  <c r="E113" i="23"/>
  <c r="S112" i="23"/>
  <c r="S111" i="23"/>
  <c r="Q109" i="23"/>
  <c r="P109" i="23"/>
  <c r="O109" i="23"/>
  <c r="N109" i="23"/>
  <c r="M109" i="23"/>
  <c r="L109" i="23"/>
  <c r="K109" i="23"/>
  <c r="J109" i="23"/>
  <c r="I109" i="23"/>
  <c r="H109" i="23"/>
  <c r="G109" i="23"/>
  <c r="F109" i="23"/>
  <c r="E109" i="23"/>
  <c r="S108" i="23"/>
  <c r="S109" i="23" s="1"/>
  <c r="I29" i="11" s="1"/>
  <c r="Q106" i="23"/>
  <c r="P106" i="23"/>
  <c r="O106" i="23"/>
  <c r="N106" i="23"/>
  <c r="M106" i="23"/>
  <c r="L106" i="23"/>
  <c r="K106" i="23"/>
  <c r="J106" i="23"/>
  <c r="I106" i="23"/>
  <c r="H106" i="23"/>
  <c r="G106" i="23"/>
  <c r="F106" i="23"/>
  <c r="E106" i="23"/>
  <c r="S105" i="23"/>
  <c r="S106" i="23" s="1"/>
  <c r="I28" i="11" s="1"/>
  <c r="Q103" i="23"/>
  <c r="P103" i="23"/>
  <c r="O103" i="23"/>
  <c r="N103" i="23"/>
  <c r="M103" i="23"/>
  <c r="L103" i="23"/>
  <c r="K103" i="23"/>
  <c r="J103" i="23"/>
  <c r="I103" i="23"/>
  <c r="H103" i="23"/>
  <c r="G103" i="23"/>
  <c r="F103" i="23"/>
  <c r="E103" i="23"/>
  <c r="S102" i="23"/>
  <c r="S101" i="23"/>
  <c r="S100" i="23"/>
  <c r="S99" i="23"/>
  <c r="S98" i="23"/>
  <c r="S97" i="23"/>
  <c r="S96" i="23"/>
  <c r="Q94" i="23"/>
  <c r="P94" i="23"/>
  <c r="O94" i="23"/>
  <c r="N94" i="23"/>
  <c r="M94" i="23"/>
  <c r="L94" i="23"/>
  <c r="K94" i="23"/>
  <c r="J94" i="23"/>
  <c r="I94" i="23"/>
  <c r="H94" i="23"/>
  <c r="G94" i="23"/>
  <c r="F94" i="23"/>
  <c r="E94" i="23"/>
  <c r="S93" i="23"/>
  <c r="S92" i="23"/>
  <c r="S91" i="23"/>
  <c r="S90" i="23"/>
  <c r="S89" i="23"/>
  <c r="S88" i="23"/>
  <c r="S87" i="23"/>
  <c r="S86" i="23"/>
  <c r="S85" i="23"/>
  <c r="S84" i="23"/>
  <c r="S83" i="23"/>
  <c r="S82" i="23"/>
  <c r="Q80" i="23"/>
  <c r="P80" i="23"/>
  <c r="O80" i="23"/>
  <c r="N80" i="23"/>
  <c r="M80" i="23"/>
  <c r="L80" i="23"/>
  <c r="K80" i="23"/>
  <c r="J80" i="23"/>
  <c r="I80" i="23"/>
  <c r="H80" i="23"/>
  <c r="G80" i="23"/>
  <c r="F80" i="23"/>
  <c r="E80" i="23"/>
  <c r="S79" i="23"/>
  <c r="S78" i="23"/>
  <c r="S77" i="23"/>
  <c r="S76" i="23"/>
  <c r="Q74" i="23"/>
  <c r="P74" i="23"/>
  <c r="O74" i="23"/>
  <c r="N74" i="23"/>
  <c r="M74" i="23"/>
  <c r="L74" i="23"/>
  <c r="K74" i="23"/>
  <c r="J74" i="23"/>
  <c r="I74" i="23"/>
  <c r="H74" i="23"/>
  <c r="G74" i="23"/>
  <c r="F74" i="23"/>
  <c r="E74" i="23"/>
  <c r="S73" i="23"/>
  <c r="S72" i="23"/>
  <c r="S71" i="23"/>
  <c r="S70" i="23"/>
  <c r="S69" i="23"/>
  <c r="S68" i="23"/>
  <c r="S67" i="23"/>
  <c r="S66" i="23"/>
  <c r="S65" i="23"/>
  <c r="S64" i="23"/>
  <c r="Q62" i="23"/>
  <c r="P62" i="23"/>
  <c r="O62" i="23"/>
  <c r="N62" i="23"/>
  <c r="M62" i="23"/>
  <c r="L62" i="23"/>
  <c r="K62" i="23"/>
  <c r="J62" i="23"/>
  <c r="I62" i="23"/>
  <c r="H62" i="23"/>
  <c r="G62" i="23"/>
  <c r="F62" i="23"/>
  <c r="E62" i="23"/>
  <c r="S61" i="23"/>
  <c r="S60" i="23"/>
  <c r="S59" i="23"/>
  <c r="S58" i="23"/>
  <c r="S57" i="23"/>
  <c r="S56" i="23"/>
  <c r="S55" i="23"/>
  <c r="S54" i="23"/>
  <c r="S53" i="23"/>
  <c r="S52" i="23"/>
  <c r="S51" i="23"/>
  <c r="S50" i="23"/>
  <c r="S49" i="23"/>
  <c r="S48" i="23"/>
  <c r="S47" i="23"/>
  <c r="S46" i="23"/>
  <c r="S45" i="23"/>
  <c r="S44" i="23"/>
  <c r="S43" i="23"/>
  <c r="Q41" i="23"/>
  <c r="P41" i="23"/>
  <c r="O41" i="23"/>
  <c r="N41" i="23"/>
  <c r="M41" i="23"/>
  <c r="L41" i="23"/>
  <c r="K41" i="23"/>
  <c r="J41" i="23"/>
  <c r="I41" i="23"/>
  <c r="H41" i="23"/>
  <c r="G41" i="23"/>
  <c r="F41" i="23"/>
  <c r="E41" i="23"/>
  <c r="S40" i="23"/>
  <c r="S39" i="23"/>
  <c r="S38" i="23"/>
  <c r="S37" i="23"/>
  <c r="S36" i="23"/>
  <c r="S35" i="23"/>
  <c r="S34" i="23"/>
  <c r="S33" i="23"/>
  <c r="S32" i="23"/>
  <c r="S31" i="23"/>
  <c r="Q25" i="23"/>
  <c r="P25" i="23"/>
  <c r="O25" i="23"/>
  <c r="N25" i="23"/>
  <c r="M25" i="23"/>
  <c r="L25" i="23"/>
  <c r="K25" i="23"/>
  <c r="J25" i="23"/>
  <c r="I25" i="23"/>
  <c r="H25" i="23"/>
  <c r="G25" i="23"/>
  <c r="F25" i="23"/>
  <c r="E25" i="23"/>
  <c r="S24" i="23"/>
  <c r="S25" i="23" s="1"/>
  <c r="I17" i="11" s="1"/>
  <c r="Q22" i="23"/>
  <c r="P22" i="23"/>
  <c r="O22" i="23"/>
  <c r="N22" i="23"/>
  <c r="M22" i="23"/>
  <c r="L22" i="23"/>
  <c r="K22" i="23"/>
  <c r="J22" i="23"/>
  <c r="I22" i="23"/>
  <c r="H22" i="23"/>
  <c r="G22" i="23"/>
  <c r="F22" i="23"/>
  <c r="E22" i="23"/>
  <c r="S21" i="23"/>
  <c r="S20" i="23"/>
  <c r="S19" i="23"/>
  <c r="Q17" i="23"/>
  <c r="P17" i="23"/>
  <c r="O17" i="23"/>
  <c r="N17" i="23"/>
  <c r="M17" i="23"/>
  <c r="L17" i="23"/>
  <c r="K17" i="23"/>
  <c r="J17" i="23"/>
  <c r="I17" i="23"/>
  <c r="H17" i="23"/>
  <c r="G17" i="23"/>
  <c r="F17" i="23"/>
  <c r="E17" i="23"/>
  <c r="S16" i="23"/>
  <c r="S15" i="23"/>
  <c r="Q13" i="23"/>
  <c r="P13" i="23"/>
  <c r="O13" i="23"/>
  <c r="N13" i="23"/>
  <c r="M13" i="23"/>
  <c r="L13" i="23"/>
  <c r="K13" i="23"/>
  <c r="J13" i="23"/>
  <c r="I13" i="23"/>
  <c r="H13" i="23"/>
  <c r="G13" i="23"/>
  <c r="F13" i="23"/>
  <c r="E13" i="23"/>
  <c r="S12" i="23"/>
  <c r="S11" i="23"/>
  <c r="S10" i="23"/>
  <c r="S9" i="23"/>
  <c r="F4" i="23"/>
  <c r="G4" i="23" s="1"/>
  <c r="H4" i="23" s="1"/>
  <c r="I4" i="23" s="1"/>
  <c r="J4" i="23" s="1"/>
  <c r="K4" i="23" s="1"/>
  <c r="L4" i="23" s="1"/>
  <c r="M4" i="23" s="1"/>
  <c r="N4" i="23" s="1"/>
  <c r="O4" i="23" s="1"/>
  <c r="P4" i="23" s="1"/>
  <c r="A1" i="23"/>
  <c r="G27" i="23" l="1"/>
  <c r="E160" i="23"/>
  <c r="U113" i="23"/>
  <c r="F30" i="11" s="1"/>
  <c r="U62" i="23"/>
  <c r="F23" i="11" s="1"/>
  <c r="U94" i="23"/>
  <c r="F26" i="11" s="1"/>
  <c r="U109" i="23"/>
  <c r="F29" i="11" s="1"/>
  <c r="H160" i="23"/>
  <c r="U41" i="23"/>
  <c r="F22" i="11" s="1"/>
  <c r="U106" i="23"/>
  <c r="F28" i="11" s="1"/>
  <c r="U103" i="23"/>
  <c r="F27" i="11" s="1"/>
  <c r="U74" i="23"/>
  <c r="F24" i="11" s="1"/>
  <c r="O160" i="23"/>
  <c r="S17" i="23"/>
  <c r="U25" i="23"/>
  <c r="F17" i="11" s="1"/>
  <c r="U80" i="23"/>
  <c r="F25" i="11" s="1"/>
  <c r="U17" i="23"/>
  <c r="F15" i="11" s="1"/>
  <c r="U22" i="23"/>
  <c r="F16" i="11" s="1"/>
  <c r="U13" i="23"/>
  <c r="F14" i="11" s="1"/>
  <c r="P27" i="23"/>
  <c r="P115" i="23"/>
  <c r="I27" i="23"/>
  <c r="H27" i="23"/>
  <c r="N27" i="23"/>
  <c r="L27" i="23"/>
  <c r="M27" i="23"/>
  <c r="O27" i="23"/>
  <c r="K27" i="23"/>
  <c r="F26" i="16"/>
  <c r="J27" i="23"/>
  <c r="F25" i="16"/>
  <c r="I160" i="23"/>
  <c r="J160" i="23"/>
  <c r="S80" i="23"/>
  <c r="I25" i="11" s="1"/>
  <c r="S94" i="23"/>
  <c r="I26" i="11" s="1"/>
  <c r="L115" i="23"/>
  <c r="Q27" i="23"/>
  <c r="S22" i="23"/>
  <c r="I16" i="11" s="1"/>
  <c r="F14" i="16"/>
  <c r="P160" i="23"/>
  <c r="E27" i="23"/>
  <c r="F27" i="23"/>
  <c r="S103" i="23"/>
  <c r="I27" i="11" s="1"/>
  <c r="N160" i="23"/>
  <c r="L160" i="23"/>
  <c r="M160" i="23"/>
  <c r="K160" i="23"/>
  <c r="G160" i="23"/>
  <c r="F160" i="23"/>
  <c r="S113" i="23"/>
  <c r="I30" i="11" s="1"/>
  <c r="J115" i="23"/>
  <c r="K115" i="23"/>
  <c r="M115" i="23"/>
  <c r="N115" i="23"/>
  <c r="O115" i="23"/>
  <c r="Q115" i="23"/>
  <c r="E115" i="23"/>
  <c r="I115" i="23"/>
  <c r="F115" i="23"/>
  <c r="S74" i="23"/>
  <c r="I24" i="11" s="1"/>
  <c r="S62" i="23"/>
  <c r="I23" i="11" s="1"/>
  <c r="G115" i="23"/>
  <c r="H115" i="23"/>
  <c r="S13" i="23"/>
  <c r="I14" i="11" s="1"/>
  <c r="S41" i="23"/>
  <c r="I22" i="11" s="1"/>
  <c r="I117" i="23" l="1"/>
  <c r="I120" i="23" s="1"/>
  <c r="I138" i="23" s="1"/>
  <c r="F12" i="16"/>
  <c r="I15" i="11"/>
  <c r="I19" i="11" s="1"/>
  <c r="I32" i="11"/>
  <c r="L117" i="23"/>
  <c r="L120" i="23" s="1"/>
  <c r="L138" i="23" s="1"/>
  <c r="H117" i="23"/>
  <c r="H120" i="23" s="1"/>
  <c r="H138" i="23" s="1"/>
  <c r="G117" i="23"/>
  <c r="G120" i="23" s="1"/>
  <c r="G138" i="23" s="1"/>
  <c r="U115" i="23"/>
  <c r="U27" i="23"/>
  <c r="K117" i="23"/>
  <c r="K120" i="23" s="1"/>
  <c r="K138" i="23" s="1"/>
  <c r="F19" i="11"/>
  <c r="P117" i="23"/>
  <c r="P120" i="23" s="1"/>
  <c r="P138" i="23" s="1"/>
  <c r="M117" i="23"/>
  <c r="M120" i="23" s="1"/>
  <c r="M138" i="23" s="1"/>
  <c r="N117" i="23"/>
  <c r="N120" i="23" s="1"/>
  <c r="N138" i="23" s="1"/>
  <c r="O117" i="23"/>
  <c r="O120" i="23" s="1"/>
  <c r="O138" i="23" s="1"/>
  <c r="J117" i="23"/>
  <c r="J120" i="23" s="1"/>
  <c r="J138" i="23" s="1"/>
  <c r="F117" i="23"/>
  <c r="F120" i="23" s="1"/>
  <c r="F138" i="23" s="1"/>
  <c r="E117" i="23"/>
  <c r="F22" i="16"/>
  <c r="F24" i="16"/>
  <c r="F23" i="16"/>
  <c r="Q117" i="23"/>
  <c r="Q120" i="23" s="1"/>
  <c r="F21" i="16"/>
  <c r="S27" i="23"/>
  <c r="F11" i="16"/>
  <c r="F27" i="16"/>
  <c r="S115" i="23"/>
  <c r="F19" i="16"/>
  <c r="F13" i="16"/>
  <c r="F20" i="16"/>
  <c r="Q160" i="23"/>
  <c r="F9" i="16" s="1"/>
  <c r="F41" i="16" s="1"/>
  <c r="I34" i="11" l="1"/>
  <c r="I37" i="11"/>
  <c r="U117" i="23"/>
  <c r="S117" i="23"/>
  <c r="F16" i="16"/>
  <c r="F29" i="16"/>
  <c r="E120" i="23"/>
  <c r="E138" i="23" s="1"/>
  <c r="E141" i="23" s="1"/>
  <c r="F139" i="23" s="1"/>
  <c r="F141" i="23" s="1"/>
  <c r="G139" i="23" s="1"/>
  <c r="G141" i="23" s="1"/>
  <c r="H139" i="23" s="1"/>
  <c r="H141" i="23" s="1"/>
  <c r="I139" i="23" s="1"/>
  <c r="I141" i="23" s="1"/>
  <c r="J139" i="23" s="1"/>
  <c r="J141" i="23" s="1"/>
  <c r="K139" i="23" s="1"/>
  <c r="K141" i="23" s="1"/>
  <c r="L139" i="23" s="1"/>
  <c r="L141" i="23" s="1"/>
  <c r="M139" i="23" s="1"/>
  <c r="M141" i="23" s="1"/>
  <c r="N139" i="23" s="1"/>
  <c r="N141" i="23" s="1"/>
  <c r="O139" i="23" s="1"/>
  <c r="O141" i="23" s="1"/>
  <c r="P139" i="23" s="1"/>
  <c r="P141" i="23" s="1"/>
  <c r="S112" i="5"/>
  <c r="S97" i="5"/>
  <c r="S98" i="5"/>
  <c r="S99" i="5"/>
  <c r="S100" i="5"/>
  <c r="S101" i="5"/>
  <c r="S102" i="5"/>
  <c r="S83" i="5"/>
  <c r="S84" i="5"/>
  <c r="S85" i="5"/>
  <c r="S86" i="5"/>
  <c r="S87" i="5"/>
  <c r="S88" i="5"/>
  <c r="S89" i="5"/>
  <c r="S90" i="5"/>
  <c r="S91" i="5"/>
  <c r="S92" i="5"/>
  <c r="S93" i="5"/>
  <c r="S78" i="5"/>
  <c r="S79" i="5"/>
  <c r="S65" i="5"/>
  <c r="S66" i="5"/>
  <c r="S67" i="5"/>
  <c r="S68" i="5"/>
  <c r="S69" i="5"/>
  <c r="S70" i="5"/>
  <c r="S71" i="5"/>
  <c r="S72" i="5"/>
  <c r="S73" i="5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S32" i="5"/>
  <c r="S33" i="5"/>
  <c r="S34" i="5"/>
  <c r="S35" i="5"/>
  <c r="S36" i="5"/>
  <c r="S37" i="5"/>
  <c r="S38" i="5"/>
  <c r="S39" i="5"/>
  <c r="S40" i="5"/>
  <c r="S20" i="5"/>
  <c r="S21" i="5"/>
  <c r="S16" i="5"/>
  <c r="S9" i="5"/>
  <c r="S10" i="5"/>
  <c r="S11" i="5"/>
  <c r="S12" i="5"/>
  <c r="F31" i="16" l="1"/>
  <c r="H103" i="4"/>
  <c r="F34" i="16" l="1"/>
  <c r="I25" i="3" l="1"/>
  <c r="I13" i="3"/>
  <c r="X11" i="3"/>
  <c r="Z11" i="3" s="1"/>
  <c r="AB11" i="3" s="1"/>
  <c r="AD11" i="3" s="1"/>
  <c r="I19" i="3"/>
  <c r="K40" i="3" l="1"/>
  <c r="X37" i="3" l="1"/>
  <c r="F8" i="4" l="1"/>
  <c r="S8" i="4" l="1"/>
  <c r="S12" i="4" s="1"/>
  <c r="M64" i="1" s="1"/>
  <c r="T8" i="4"/>
  <c r="T12" i="4" s="1"/>
  <c r="N64" i="1" s="1"/>
  <c r="U8" i="4"/>
  <c r="U12" i="4" s="1"/>
  <c r="O64" i="1" s="1"/>
  <c r="V8" i="4"/>
  <c r="V12" i="4" s="1"/>
  <c r="P64" i="1" s="1"/>
  <c r="K8" i="4"/>
  <c r="L8" i="4"/>
  <c r="L12" i="4" s="1"/>
  <c r="F64" i="1" s="1"/>
  <c r="M8" i="4"/>
  <c r="M12" i="4" s="1"/>
  <c r="G64" i="1" s="1"/>
  <c r="N8" i="4"/>
  <c r="N12" i="4" s="1"/>
  <c r="H64" i="1" s="1"/>
  <c r="Q8" i="4"/>
  <c r="Q12" i="4" s="1"/>
  <c r="K64" i="1" s="1"/>
  <c r="R8" i="4"/>
  <c r="R12" i="4" s="1"/>
  <c r="L64" i="1" s="1"/>
  <c r="O8" i="4"/>
  <c r="O12" i="4" s="1"/>
  <c r="I64" i="1" s="1"/>
  <c r="P8" i="4"/>
  <c r="P12" i="4" s="1"/>
  <c r="J64" i="1" s="1"/>
  <c r="H8" i="4"/>
  <c r="H12" i="4" s="1"/>
  <c r="G48" i="4"/>
  <c r="W8" i="4" l="1"/>
  <c r="W12" i="4" s="1"/>
  <c r="X12" i="4" s="1"/>
  <c r="K12" i="4"/>
  <c r="E64" i="1" s="1"/>
  <c r="U64" i="1" s="1"/>
  <c r="N48" i="4"/>
  <c r="N53" i="4" s="1"/>
  <c r="H70" i="1" s="1"/>
  <c r="H74" i="1" s="1"/>
  <c r="M48" i="4"/>
  <c r="M53" i="4" s="1"/>
  <c r="G70" i="1" s="1"/>
  <c r="G74" i="1" s="1"/>
  <c r="L48" i="4"/>
  <c r="L53" i="4" s="1"/>
  <c r="F70" i="1" s="1"/>
  <c r="K48" i="4"/>
  <c r="V48" i="4"/>
  <c r="R48" i="4"/>
  <c r="R53" i="4" s="1"/>
  <c r="L70" i="1" s="1"/>
  <c r="L74" i="1" s="1"/>
  <c r="U48" i="4"/>
  <c r="U53" i="4" s="1"/>
  <c r="O70" i="1" s="1"/>
  <c r="O74" i="1" s="1"/>
  <c r="S48" i="4"/>
  <c r="S53" i="4" s="1"/>
  <c r="M70" i="1" s="1"/>
  <c r="M74" i="1" s="1"/>
  <c r="T48" i="4"/>
  <c r="T53" i="4" s="1"/>
  <c r="N70" i="1" s="1"/>
  <c r="N74" i="1" s="1"/>
  <c r="Q48" i="4"/>
  <c r="P48" i="4"/>
  <c r="P53" i="4" s="1"/>
  <c r="J70" i="1" s="1"/>
  <c r="J74" i="1" s="1"/>
  <c r="O48" i="4"/>
  <c r="O53" i="4" s="1"/>
  <c r="I70" i="1" s="1"/>
  <c r="I74" i="1" s="1"/>
  <c r="V53" i="4"/>
  <c r="P70" i="1" s="1"/>
  <c r="AC41" i="1"/>
  <c r="W48" i="4" l="1"/>
  <c r="W53" i="4" s="1"/>
  <c r="K53" i="4"/>
  <c r="E70" i="1" s="1"/>
  <c r="E74" i="1" s="1"/>
  <c r="H48" i="4"/>
  <c r="H53" i="4" s="1"/>
  <c r="F74" i="1"/>
  <c r="Q53" i="4"/>
  <c r="K70" i="1" s="1"/>
  <c r="K74" i="1" s="1"/>
  <c r="X25" i="3"/>
  <c r="X19" i="3"/>
  <c r="X13" i="3"/>
  <c r="U70" i="1" l="1"/>
  <c r="U24" i="1" l="1"/>
  <c r="S15" i="1"/>
  <c r="X15" i="1" s="1"/>
  <c r="K58" i="3" l="1"/>
  <c r="J58" i="3"/>
  <c r="Y58" i="3" s="1"/>
  <c r="AA58" i="3" s="1"/>
  <c r="AC58" i="3" s="1"/>
  <c r="AE58" i="3" s="1"/>
  <c r="K35" i="3"/>
  <c r="J35" i="3"/>
  <c r="Y35" i="3" s="1"/>
  <c r="AA35" i="3" s="1"/>
  <c r="AC35" i="3" s="1"/>
  <c r="AE35" i="3" s="1"/>
  <c r="K34" i="3"/>
  <c r="J34" i="3"/>
  <c r="Y34" i="3" s="1"/>
  <c r="AA34" i="3" s="1"/>
  <c r="AC34" i="3" s="1"/>
  <c r="AE34" i="3" s="1"/>
  <c r="K41" i="3"/>
  <c r="J41" i="3"/>
  <c r="Y41" i="3" s="1"/>
  <c r="AA41" i="3" s="1"/>
  <c r="AC41" i="3" s="1"/>
  <c r="AE41" i="3" s="1"/>
  <c r="J40" i="3"/>
  <c r="Y40" i="3" s="1"/>
  <c r="K47" i="3"/>
  <c r="J47" i="3"/>
  <c r="Y47" i="3" s="1"/>
  <c r="AA47" i="3" s="1"/>
  <c r="AC47" i="3" s="1"/>
  <c r="AE47" i="3" s="1"/>
  <c r="K46" i="3"/>
  <c r="J46" i="3"/>
  <c r="Y46" i="3" s="1"/>
  <c r="K53" i="3"/>
  <c r="J53" i="3"/>
  <c r="Y53" i="3" s="1"/>
  <c r="AA53" i="3" s="1"/>
  <c r="AC53" i="3" s="1"/>
  <c r="AE53" i="3" s="1"/>
  <c r="K52" i="3"/>
  <c r="J52" i="3"/>
  <c r="Y52" i="3" s="1"/>
  <c r="AA52" i="3" s="1"/>
  <c r="AC52" i="3" s="1"/>
  <c r="AE52" i="3" s="1"/>
  <c r="AA46" i="3" l="1"/>
  <c r="AC46" i="3" s="1"/>
  <c r="AE46" i="3" s="1"/>
  <c r="AA40" i="3"/>
  <c r="AC40" i="3" s="1"/>
  <c r="AE40" i="3" s="1"/>
  <c r="J59" i="3"/>
  <c r="Y59" i="3" s="1"/>
  <c r="AA59" i="3" s="1"/>
  <c r="AC59" i="3" s="1"/>
  <c r="AE59" i="3" s="1"/>
  <c r="K59" i="3"/>
  <c r="J29" i="3"/>
  <c r="Y29" i="3" s="1"/>
  <c r="AA29" i="3" s="1"/>
  <c r="AC29" i="3" s="1"/>
  <c r="AE29" i="3" s="1"/>
  <c r="J28" i="3"/>
  <c r="J22" i="3"/>
  <c r="X22" i="3"/>
  <c r="Z22" i="3" s="1"/>
  <c r="AB22" i="3" s="1"/>
  <c r="AD22" i="3" s="1"/>
  <c r="X23" i="3"/>
  <c r="Z23" i="3" s="1"/>
  <c r="AB23" i="3" s="1"/>
  <c r="AD23" i="3" s="1"/>
  <c r="X16" i="3"/>
  <c r="Z16" i="3" s="1"/>
  <c r="AB16" i="3" s="1"/>
  <c r="AD16" i="3" s="1"/>
  <c r="R98" i="3" l="1"/>
  <c r="M25" i="3"/>
  <c r="F33" i="1" s="1"/>
  <c r="P25" i="3"/>
  <c r="I33" i="1" s="1"/>
  <c r="S98" i="3"/>
  <c r="N25" i="3"/>
  <c r="G33" i="1" s="1"/>
  <c r="R25" i="3"/>
  <c r="K33" i="1" s="1"/>
  <c r="T98" i="3"/>
  <c r="M49" i="1" s="1"/>
  <c r="O25" i="3"/>
  <c r="H33" i="1" s="1"/>
  <c r="U98" i="3"/>
  <c r="V98" i="3"/>
  <c r="Q25" i="3"/>
  <c r="J33" i="1" s="1"/>
  <c r="S25" i="3"/>
  <c r="L33" i="1" s="1"/>
  <c r="T25" i="3"/>
  <c r="M33" i="1" s="1"/>
  <c r="L98" i="3"/>
  <c r="U25" i="3"/>
  <c r="N33" i="1" s="1"/>
  <c r="V25" i="3"/>
  <c r="O33" i="1" s="1"/>
  <c r="W25" i="3"/>
  <c r="P33" i="1" s="1"/>
  <c r="M98" i="3"/>
  <c r="N98" i="3"/>
  <c r="W98" i="3"/>
  <c r="O98" i="3"/>
  <c r="P98" i="3"/>
  <c r="Q98" i="3"/>
  <c r="L25" i="3"/>
  <c r="E33" i="1" s="1"/>
  <c r="N31" i="3"/>
  <c r="G34" i="1" s="1"/>
  <c r="M31" i="3"/>
  <c r="F34" i="1" s="1"/>
  <c r="L31" i="3"/>
  <c r="E34" i="1" s="1"/>
  <c r="O31" i="3"/>
  <c r="H34" i="1" s="1"/>
  <c r="P31" i="3"/>
  <c r="I34" i="1" s="1"/>
  <c r="Q31" i="3"/>
  <c r="J34" i="1" s="1"/>
  <c r="R31" i="3"/>
  <c r="K34" i="1" s="1"/>
  <c r="S31" i="3"/>
  <c r="L34" i="1" s="1"/>
  <c r="T31" i="3"/>
  <c r="M34" i="1" s="1"/>
  <c r="U31" i="3"/>
  <c r="N34" i="1" s="1"/>
  <c r="V31" i="3"/>
  <c r="O34" i="1" s="1"/>
  <c r="W31" i="3"/>
  <c r="P34" i="1" s="1"/>
  <c r="Y16" i="3"/>
  <c r="AA16" i="3" s="1"/>
  <c r="AC16" i="3" s="1"/>
  <c r="AE16" i="3" s="1"/>
  <c r="K22" i="3"/>
  <c r="Y22" i="3"/>
  <c r="AA22" i="3" s="1"/>
  <c r="AC22" i="3" s="1"/>
  <c r="AE22" i="3" s="1"/>
  <c r="K28" i="3"/>
  <c r="Y28" i="3"/>
  <c r="AA28" i="3" s="1"/>
  <c r="AC28" i="3" s="1"/>
  <c r="AE28" i="3" s="1"/>
  <c r="K23" i="3"/>
  <c r="Y23" i="3"/>
  <c r="AA23" i="3" s="1"/>
  <c r="K104" i="3"/>
  <c r="Y11" i="3"/>
  <c r="AA11" i="3" s="1"/>
  <c r="AC11" i="3" s="1"/>
  <c r="AE11" i="3" s="1"/>
  <c r="K29" i="3"/>
  <c r="M41" i="1" l="1"/>
  <c r="N104" i="3"/>
  <c r="G53" i="1" s="1"/>
  <c r="O104" i="3"/>
  <c r="H53" i="1" s="1"/>
  <c r="P104" i="3"/>
  <c r="I53" i="1" s="1"/>
  <c r="R104" i="3"/>
  <c r="K53" i="1" s="1"/>
  <c r="U104" i="3"/>
  <c r="Q104" i="3"/>
  <c r="J53" i="1" s="1"/>
  <c r="S104" i="3"/>
  <c r="L53" i="1" s="1"/>
  <c r="T104" i="3"/>
  <c r="M53" i="1" s="1"/>
  <c r="M104" i="3"/>
  <c r="F53" i="1" s="1"/>
  <c r="V104" i="3"/>
  <c r="O53" i="1" s="1"/>
  <c r="W104" i="3"/>
  <c r="P53" i="1" s="1"/>
  <c r="L104" i="3"/>
  <c r="E53" i="1" s="1"/>
  <c r="N41" i="1"/>
  <c r="L99" i="3"/>
  <c r="E49" i="1"/>
  <c r="O41" i="1"/>
  <c r="L41" i="1"/>
  <c r="U34" i="1"/>
  <c r="J41" i="1"/>
  <c r="V99" i="3"/>
  <c r="O49" i="1"/>
  <c r="U99" i="3"/>
  <c r="N49" i="1"/>
  <c r="E41" i="1"/>
  <c r="U33" i="1"/>
  <c r="H41" i="1"/>
  <c r="P99" i="3"/>
  <c r="I49" i="1"/>
  <c r="K41" i="1"/>
  <c r="O99" i="3"/>
  <c r="H49" i="1"/>
  <c r="G41" i="1"/>
  <c r="W99" i="3"/>
  <c r="P49" i="1"/>
  <c r="S99" i="3"/>
  <c r="L49" i="1"/>
  <c r="Q99" i="3"/>
  <c r="J49" i="1"/>
  <c r="N99" i="3"/>
  <c r="G49" i="1"/>
  <c r="I41" i="1"/>
  <c r="M99" i="3"/>
  <c r="F49" i="1"/>
  <c r="F41" i="1"/>
  <c r="R99" i="3"/>
  <c r="K49" i="1"/>
  <c r="T68" i="3"/>
  <c r="P94" i="3"/>
  <c r="I46" i="1" s="1"/>
  <c r="P68" i="3"/>
  <c r="N94" i="3"/>
  <c r="G46" i="1" s="1"/>
  <c r="N68" i="3"/>
  <c r="L94" i="3"/>
  <c r="L68" i="3"/>
  <c r="M94" i="3"/>
  <c r="F46" i="1" s="1"/>
  <c r="M68" i="3"/>
  <c r="O94" i="3"/>
  <c r="O68" i="3"/>
  <c r="W94" i="3"/>
  <c r="W68" i="3"/>
  <c r="V94" i="3"/>
  <c r="V68" i="3"/>
  <c r="U94" i="3"/>
  <c r="U68" i="3"/>
  <c r="S94" i="3"/>
  <c r="L46" i="1" s="1"/>
  <c r="S68" i="3"/>
  <c r="R94" i="3"/>
  <c r="K46" i="1" s="1"/>
  <c r="R68" i="3"/>
  <c r="Q94" i="3"/>
  <c r="J46" i="1" s="1"/>
  <c r="Q68" i="3"/>
  <c r="M95" i="3"/>
  <c r="T102" i="3"/>
  <c r="M52" i="1" s="1"/>
  <c r="N95" i="3"/>
  <c r="S102" i="3"/>
  <c r="Q102" i="3"/>
  <c r="U102" i="3"/>
  <c r="L102" i="3"/>
  <c r="O102" i="3"/>
  <c r="T99" i="3"/>
  <c r="V102" i="3"/>
  <c r="R102" i="3"/>
  <c r="N102" i="3"/>
  <c r="P102" i="3"/>
  <c r="T94" i="3"/>
  <c r="M46" i="1" s="1"/>
  <c r="R95" i="3"/>
  <c r="M102" i="3"/>
  <c r="N53" i="1"/>
  <c r="Q95" i="3"/>
  <c r="W102" i="3"/>
  <c r="K106" i="3"/>
  <c r="AC23" i="3"/>
  <c r="AE23" i="3" s="1"/>
  <c r="AA25" i="3"/>
  <c r="H36" i="2"/>
  <c r="J36" i="2" s="1"/>
  <c r="L36" i="2" s="1"/>
  <c r="N36" i="2" s="1"/>
  <c r="U53" i="1" l="1"/>
  <c r="W106" i="3"/>
  <c r="S106" i="3"/>
  <c r="V106" i="3"/>
  <c r="O55" i="1" s="1"/>
  <c r="U106" i="3"/>
  <c r="N55" i="1" s="1"/>
  <c r="T106" i="3"/>
  <c r="M55" i="1" s="1"/>
  <c r="R106" i="3"/>
  <c r="P106" i="3"/>
  <c r="Q106" i="3"/>
  <c r="O106" i="3"/>
  <c r="L106" i="3"/>
  <c r="E55" i="1" s="1"/>
  <c r="N106" i="3"/>
  <c r="M106" i="3"/>
  <c r="R103" i="3"/>
  <c r="K52" i="1"/>
  <c r="V95" i="3"/>
  <c r="O46" i="1"/>
  <c r="L103" i="3"/>
  <c r="E52" i="1"/>
  <c r="P95" i="3"/>
  <c r="W95" i="3"/>
  <c r="P46" i="1"/>
  <c r="O103" i="3"/>
  <c r="H52" i="1"/>
  <c r="Q103" i="3"/>
  <c r="J52" i="1"/>
  <c r="U103" i="3"/>
  <c r="N52" i="1"/>
  <c r="O95" i="3"/>
  <c r="H46" i="1"/>
  <c r="V103" i="3"/>
  <c r="O52" i="1"/>
  <c r="U95" i="3"/>
  <c r="N46" i="1"/>
  <c r="U49" i="1"/>
  <c r="P103" i="3"/>
  <c r="I52" i="1"/>
  <c r="L95" i="3"/>
  <c r="E46" i="1"/>
  <c r="S95" i="3"/>
  <c r="W103" i="3"/>
  <c r="P52" i="1"/>
  <c r="S103" i="3"/>
  <c r="L52" i="1"/>
  <c r="M103" i="3"/>
  <c r="F52" i="1"/>
  <c r="N103" i="3"/>
  <c r="G52" i="1"/>
  <c r="T95" i="3"/>
  <c r="P55" i="1"/>
  <c r="T103" i="3"/>
  <c r="F284" i="4"/>
  <c r="F209" i="4"/>
  <c r="F190" i="4"/>
  <c r="F165" i="4"/>
  <c r="F122" i="4"/>
  <c r="F113" i="4"/>
  <c r="F105" i="4"/>
  <c r="F97" i="4"/>
  <c r="F90" i="4"/>
  <c r="F82" i="4"/>
  <c r="F74" i="4"/>
  <c r="F65" i="4"/>
  <c r="F59" i="4"/>
  <c r="F53" i="4"/>
  <c r="F45" i="4"/>
  <c r="F38" i="4"/>
  <c r="F32" i="4"/>
  <c r="F25" i="4"/>
  <c r="F19" i="4"/>
  <c r="F12" i="4"/>
  <c r="H55" i="1" l="1"/>
  <c r="G55" i="1"/>
  <c r="J55" i="1"/>
  <c r="I55" i="1"/>
  <c r="K55" i="1"/>
  <c r="L55" i="1"/>
  <c r="F55" i="1"/>
  <c r="U52" i="1"/>
  <c r="U46" i="1"/>
  <c r="U55" i="1" l="1"/>
  <c r="P112" i="17" l="1"/>
  <c r="P111" i="17"/>
  <c r="P105" i="17"/>
  <c r="P106" i="17" s="1"/>
  <c r="P102" i="17"/>
  <c r="P101" i="17"/>
  <c r="P100" i="17"/>
  <c r="P99" i="17"/>
  <c r="P98" i="17"/>
  <c r="P97" i="17"/>
  <c r="P96" i="17"/>
  <c r="P93" i="17"/>
  <c r="P92" i="17"/>
  <c r="P91" i="17"/>
  <c r="P90" i="17"/>
  <c r="P89" i="17"/>
  <c r="P88" i="17"/>
  <c r="P87" i="17"/>
  <c r="P86" i="17"/>
  <c r="P85" i="17"/>
  <c r="P84" i="17"/>
  <c r="P83" i="17"/>
  <c r="P82" i="17"/>
  <c r="P79" i="17"/>
  <c r="P78" i="17"/>
  <c r="P77" i="17"/>
  <c r="P76" i="17"/>
  <c r="P73" i="17"/>
  <c r="P72" i="17"/>
  <c r="P71" i="17"/>
  <c r="P69" i="17"/>
  <c r="P68" i="17"/>
  <c r="P67" i="17"/>
  <c r="P66" i="17"/>
  <c r="P65" i="17"/>
  <c r="P64" i="17"/>
  <c r="P62" i="17"/>
  <c r="P41" i="17"/>
  <c r="P25" i="17"/>
  <c r="P22" i="17"/>
  <c r="P17" i="17"/>
  <c r="P13" i="17"/>
  <c r="W64" i="17"/>
  <c r="P27" i="17" l="1"/>
  <c r="P113" i="17"/>
  <c r="P80" i="17"/>
  <c r="P103" i="17"/>
  <c r="P94" i="17"/>
  <c r="K72" i="3" l="1"/>
  <c r="F37" i="2" l="1"/>
  <c r="K65" i="3"/>
  <c r="J65" i="3"/>
  <c r="Y65" i="3" s="1"/>
  <c r="AA65" i="3" s="1"/>
  <c r="AC65" i="3" s="1"/>
  <c r="AE65" i="3" s="1"/>
  <c r="K64" i="3"/>
  <c r="J64" i="3"/>
  <c r="Y64" i="3" s="1"/>
  <c r="AA64" i="3" s="1"/>
  <c r="AC64" i="3" s="1"/>
  <c r="AE64" i="3" s="1"/>
  <c r="C37" i="3"/>
  <c r="N5" i="1" l="1"/>
  <c r="O5" i="1"/>
  <c r="F5" i="1"/>
  <c r="F11" i="1" s="1"/>
  <c r="E5" i="1"/>
  <c r="E9" i="1" s="1"/>
  <c r="G5" i="1"/>
  <c r="G10" i="1" s="1"/>
  <c r="K5" i="1"/>
  <c r="K11" i="1" s="1"/>
  <c r="H5" i="1"/>
  <c r="H12" i="1" s="1"/>
  <c r="I5" i="1"/>
  <c r="I10" i="1" s="1"/>
  <c r="L5" i="1"/>
  <c r="L11" i="1" s="1"/>
  <c r="J5" i="1"/>
  <c r="J10" i="1" s="1"/>
  <c r="M5" i="1"/>
  <c r="M11" i="1" s="1"/>
  <c r="F8" i="1"/>
  <c r="K9" i="1"/>
  <c r="J12" i="1"/>
  <c r="G8" i="1"/>
  <c r="G11" i="1"/>
  <c r="F10" i="1"/>
  <c r="F9" i="1"/>
  <c r="K10" i="1"/>
  <c r="P5" i="1"/>
  <c r="P8" i="1" s="1"/>
  <c r="O10" i="1"/>
  <c r="E10" i="1"/>
  <c r="N11" i="1"/>
  <c r="Y61" i="3"/>
  <c r="Y49" i="3"/>
  <c r="Y43" i="3"/>
  <c r="K37" i="3"/>
  <c r="H9" i="1" l="1"/>
  <c r="J9" i="1"/>
  <c r="I12" i="1"/>
  <c r="K8" i="1"/>
  <c r="J8" i="1"/>
  <c r="I8" i="1"/>
  <c r="I9" i="1"/>
  <c r="J11" i="1"/>
  <c r="L12" i="1"/>
  <c r="G12" i="1"/>
  <c r="H11" i="1"/>
  <c r="I11" i="1"/>
  <c r="I13" i="1" s="1"/>
  <c r="G9" i="1"/>
  <c r="G13" i="1" s="1"/>
  <c r="G27" i="1" s="1"/>
  <c r="F12" i="1"/>
  <c r="F13" i="1" s="1"/>
  <c r="F27" i="1" s="1"/>
  <c r="L10" i="1"/>
  <c r="H10" i="1"/>
  <c r="U10" i="1" s="1"/>
  <c r="H8" i="1"/>
  <c r="K12" i="1"/>
  <c r="L8" i="1"/>
  <c r="O12" i="1"/>
  <c r="N12" i="1"/>
  <c r="O9" i="1"/>
  <c r="N10" i="1"/>
  <c r="L9" i="1"/>
  <c r="M12" i="1"/>
  <c r="E12" i="1"/>
  <c r="M9" i="1"/>
  <c r="J13" i="1"/>
  <c r="E11" i="1"/>
  <c r="U11" i="1" s="1"/>
  <c r="M8" i="1"/>
  <c r="E8" i="1"/>
  <c r="N9" i="1"/>
  <c r="O8" i="1"/>
  <c r="M10" i="1"/>
  <c r="N8" i="1"/>
  <c r="O11" i="1"/>
  <c r="K13" i="1" l="1"/>
  <c r="H13" i="1"/>
  <c r="H27" i="1" s="1"/>
  <c r="L13" i="1"/>
  <c r="L27" i="1" s="1"/>
  <c r="U12" i="1"/>
  <c r="N13" i="1"/>
  <c r="N27" i="1" s="1"/>
  <c r="M13" i="1"/>
  <c r="U9" i="1"/>
  <c r="O13" i="1"/>
  <c r="E13" i="1"/>
  <c r="E27" i="1" s="1"/>
  <c r="U8" i="1"/>
  <c r="E41" i="17" l="1"/>
  <c r="L62" i="17"/>
  <c r="L41" i="17"/>
  <c r="F68" i="17" l="1"/>
  <c r="G68" i="17"/>
  <c r="H68" i="17"/>
  <c r="I68" i="17"/>
  <c r="J68" i="17"/>
  <c r="K68" i="17"/>
  <c r="L68" i="17"/>
  <c r="M68" i="17"/>
  <c r="N68" i="17"/>
  <c r="G73" i="18" s="1"/>
  <c r="F73" i="18" s="1"/>
  <c r="O68" i="17"/>
  <c r="Q68" i="17"/>
  <c r="R68" i="17"/>
  <c r="S68" i="17"/>
  <c r="T68" i="17"/>
  <c r="U68" i="17"/>
  <c r="V68" i="17"/>
  <c r="W68" i="17"/>
  <c r="X68" i="17"/>
  <c r="Y68" i="17"/>
  <c r="Z68" i="17"/>
  <c r="AA68" i="17"/>
  <c r="AB68" i="17"/>
  <c r="AC68" i="17"/>
  <c r="AD68" i="17"/>
  <c r="AE68" i="17"/>
  <c r="AF68" i="17"/>
  <c r="AG68" i="17"/>
  <c r="AH68" i="17"/>
  <c r="AI68" i="17"/>
  <c r="AJ68" i="17"/>
  <c r="AK68" i="17"/>
  <c r="AL68" i="17"/>
  <c r="AP14" i="17"/>
  <c r="AP18" i="17"/>
  <c r="AP23" i="17"/>
  <c r="AP26" i="17"/>
  <c r="AP28" i="17"/>
  <c r="AP29" i="17"/>
  <c r="AP30" i="17"/>
  <c r="AP42" i="17"/>
  <c r="AP63" i="17"/>
  <c r="AP75" i="17"/>
  <c r="AP81" i="17"/>
  <c r="AP95" i="17"/>
  <c r="AP104" i="17"/>
  <c r="AP107" i="17"/>
  <c r="AP110" i="17"/>
  <c r="AP114" i="17"/>
  <c r="AP116" i="17"/>
  <c r="AG62" i="17"/>
  <c r="AF62" i="17"/>
  <c r="AE62" i="17"/>
  <c r="AD62" i="17"/>
  <c r="AC62" i="17"/>
  <c r="AB62" i="17"/>
  <c r="AA62" i="17"/>
  <c r="Z62" i="17"/>
  <c r="Y62" i="17"/>
  <c r="X62" i="17"/>
  <c r="W62" i="17"/>
  <c r="V62" i="17"/>
  <c r="U62" i="17"/>
  <c r="T62" i="17"/>
  <c r="S62" i="17"/>
  <c r="R62" i="17"/>
  <c r="AG41" i="17"/>
  <c r="AF41" i="17"/>
  <c r="AE41" i="17"/>
  <c r="AD41" i="17"/>
  <c r="AC41" i="17"/>
  <c r="AB41" i="17"/>
  <c r="AA41" i="17"/>
  <c r="Z41" i="17"/>
  <c r="Y41" i="17"/>
  <c r="X41" i="17"/>
  <c r="W41" i="17"/>
  <c r="V41" i="17"/>
  <c r="U41" i="17"/>
  <c r="T41" i="17"/>
  <c r="S41" i="17"/>
  <c r="R41" i="17"/>
  <c r="AG25" i="17"/>
  <c r="AF25" i="17"/>
  <c r="AE25" i="17"/>
  <c r="AD25" i="17"/>
  <c r="AC25" i="17"/>
  <c r="AB25" i="17"/>
  <c r="AA25" i="17"/>
  <c r="Z25" i="17"/>
  <c r="Y25" i="17"/>
  <c r="X25" i="17"/>
  <c r="W25" i="17"/>
  <c r="V25" i="17"/>
  <c r="U25" i="17"/>
  <c r="T25" i="17"/>
  <c r="S25" i="17"/>
  <c r="R25" i="17"/>
  <c r="AG22" i="17"/>
  <c r="AE22" i="17"/>
  <c r="AA22" i="17"/>
  <c r="Y22" i="17"/>
  <c r="X22" i="17"/>
  <c r="W22" i="17"/>
  <c r="V22" i="17"/>
  <c r="U22" i="17"/>
  <c r="T22" i="17"/>
  <c r="S22" i="17"/>
  <c r="R22" i="17"/>
  <c r="AG17" i="17"/>
  <c r="AF17" i="17"/>
  <c r="AE17" i="17"/>
  <c r="AD17" i="17"/>
  <c r="AC17" i="17"/>
  <c r="AB17" i="17"/>
  <c r="Z17" i="17"/>
  <c r="X17" i="17"/>
  <c r="W17" i="17"/>
  <c r="V17" i="17"/>
  <c r="U17" i="17"/>
  <c r="T17" i="17"/>
  <c r="S17" i="17"/>
  <c r="R17" i="17"/>
  <c r="AG13" i="17"/>
  <c r="AF13" i="17"/>
  <c r="AE13" i="17"/>
  <c r="AD13" i="17"/>
  <c r="AC13" i="17"/>
  <c r="AB13" i="17"/>
  <c r="AA13" i="17"/>
  <c r="Z13" i="17"/>
  <c r="Y13" i="17"/>
  <c r="X13" i="17"/>
  <c r="W13" i="17"/>
  <c r="V13" i="17"/>
  <c r="U13" i="17"/>
  <c r="T13" i="17"/>
  <c r="S13" i="17"/>
  <c r="R13" i="17"/>
  <c r="H96" i="17"/>
  <c r="G112" i="17"/>
  <c r="F112" i="17"/>
  <c r="F111" i="17"/>
  <c r="F108" i="17"/>
  <c r="G105" i="17"/>
  <c r="F105" i="17"/>
  <c r="F102" i="17"/>
  <c r="G101" i="17"/>
  <c r="F101" i="17"/>
  <c r="F98" i="17"/>
  <c r="G97" i="17"/>
  <c r="F97" i="17"/>
  <c r="F93" i="17"/>
  <c r="G91" i="17"/>
  <c r="F91" i="17"/>
  <c r="G37" i="18" s="1"/>
  <c r="F37" i="18" s="1"/>
  <c r="G90" i="17"/>
  <c r="F90" i="17"/>
  <c r="F89" i="17"/>
  <c r="G88" i="17"/>
  <c r="F88" i="17"/>
  <c r="G36" i="18" s="1"/>
  <c r="F36" i="18" s="1"/>
  <c r="F87" i="17"/>
  <c r="H86" i="17"/>
  <c r="F86" i="17"/>
  <c r="F85" i="17"/>
  <c r="G84" i="17"/>
  <c r="G83" i="17"/>
  <c r="F83" i="17"/>
  <c r="F82" i="17"/>
  <c r="H79" i="17"/>
  <c r="G79" i="17"/>
  <c r="F78" i="17"/>
  <c r="G77" i="17"/>
  <c r="F77" i="17"/>
  <c r="F76" i="17"/>
  <c r="G73" i="17"/>
  <c r="F73" i="17"/>
  <c r="F72" i="17"/>
  <c r="G71" i="17"/>
  <c r="F71" i="17"/>
  <c r="F70" i="17"/>
  <c r="G69" i="17"/>
  <c r="F69" i="17"/>
  <c r="G67" i="17"/>
  <c r="F67" i="17"/>
  <c r="G65" i="17"/>
  <c r="F65" i="17"/>
  <c r="AL62" i="17"/>
  <c r="AK62" i="17"/>
  <c r="AJ62" i="17"/>
  <c r="AI62" i="17"/>
  <c r="AH62" i="17"/>
  <c r="Q62" i="17"/>
  <c r="K62" i="17"/>
  <c r="J62" i="17"/>
  <c r="I62" i="17"/>
  <c r="H62" i="17"/>
  <c r="G62" i="17"/>
  <c r="AL41" i="17"/>
  <c r="AK41" i="17"/>
  <c r="AJ41" i="17"/>
  <c r="AI41" i="17"/>
  <c r="AH41" i="17"/>
  <c r="Q41" i="17"/>
  <c r="K41" i="17"/>
  <c r="J41" i="17"/>
  <c r="I41" i="17"/>
  <c r="H41" i="17"/>
  <c r="G41" i="17"/>
  <c r="AL25" i="17"/>
  <c r="AK25" i="17"/>
  <c r="AJ25" i="17"/>
  <c r="AI25" i="17"/>
  <c r="AH25" i="17"/>
  <c r="Q25" i="17"/>
  <c r="O25" i="17"/>
  <c r="N25" i="17"/>
  <c r="M25" i="17"/>
  <c r="L25" i="17"/>
  <c r="K25" i="17"/>
  <c r="J25" i="17"/>
  <c r="I25" i="17"/>
  <c r="H25" i="17"/>
  <c r="G25" i="17"/>
  <c r="F25" i="17"/>
  <c r="H22" i="17"/>
  <c r="G22" i="17"/>
  <c r="F22" i="17"/>
  <c r="AL22" i="17"/>
  <c r="AK22" i="17"/>
  <c r="AJ22" i="17"/>
  <c r="AH22" i="17"/>
  <c r="Q22" i="17"/>
  <c r="N22" i="17"/>
  <c r="M22" i="17"/>
  <c r="J22" i="17"/>
  <c r="AL17" i="17"/>
  <c r="AK17" i="17"/>
  <c r="AJ17" i="17"/>
  <c r="AI17" i="17"/>
  <c r="AH17" i="17"/>
  <c r="Q17" i="17"/>
  <c r="O17" i="17"/>
  <c r="N17" i="17"/>
  <c r="M17" i="17"/>
  <c r="L17" i="17"/>
  <c r="K17" i="17"/>
  <c r="J17" i="17"/>
  <c r="I17" i="17"/>
  <c r="H17" i="17"/>
  <c r="G17" i="17"/>
  <c r="AL13" i="17"/>
  <c r="AK13" i="17"/>
  <c r="AJ13" i="17"/>
  <c r="AI13" i="17"/>
  <c r="AH13" i="17"/>
  <c r="Q13" i="17"/>
  <c r="O13" i="17"/>
  <c r="N13" i="17"/>
  <c r="M13" i="17"/>
  <c r="L13" i="17"/>
  <c r="K13" i="17"/>
  <c r="J13" i="17"/>
  <c r="I13" i="17"/>
  <c r="H13" i="17"/>
  <c r="G13" i="17"/>
  <c r="F13" i="17"/>
  <c r="A3" i="17"/>
  <c r="A1" i="17"/>
  <c r="U27" i="17" l="1"/>
  <c r="S27" i="17"/>
  <c r="E68" i="17"/>
  <c r="G27" i="17"/>
  <c r="F109" i="17"/>
  <c r="G106" i="17"/>
  <c r="F106" i="17"/>
  <c r="H27" i="17"/>
  <c r="H38" i="4"/>
  <c r="X38" i="4" s="1"/>
  <c r="T27" i="17"/>
  <c r="X27" i="17"/>
  <c r="AE27" i="17"/>
  <c r="AG27" i="17"/>
  <c r="W27" i="17"/>
  <c r="V27" i="17"/>
  <c r="R27" i="17"/>
  <c r="N27" i="17"/>
  <c r="AH27" i="17"/>
  <c r="G85" i="17"/>
  <c r="G92" i="17"/>
  <c r="H65" i="17"/>
  <c r="H67" i="17"/>
  <c r="H69" i="17"/>
  <c r="H71" i="17"/>
  <c r="H73" i="17"/>
  <c r="H77" i="17"/>
  <c r="G86" i="17"/>
  <c r="G93" i="17"/>
  <c r="H105" i="17"/>
  <c r="J27" i="17"/>
  <c r="M27" i="17"/>
  <c r="AL27" i="17"/>
  <c r="G82" i="17"/>
  <c r="H84" i="17"/>
  <c r="G89" i="17"/>
  <c r="H91" i="17"/>
  <c r="H101" i="17"/>
  <c r="R112" i="17"/>
  <c r="R111" i="17"/>
  <c r="R108" i="17"/>
  <c r="R105" i="17"/>
  <c r="R102" i="17"/>
  <c r="R101" i="17"/>
  <c r="R100" i="17"/>
  <c r="R99" i="17"/>
  <c r="R98" i="17"/>
  <c r="R97" i="17"/>
  <c r="R96" i="17"/>
  <c r="R93" i="17"/>
  <c r="R92" i="17"/>
  <c r="R91" i="17"/>
  <c r="R90" i="17"/>
  <c r="R89" i="17"/>
  <c r="R88" i="17"/>
  <c r="R87" i="17"/>
  <c r="R86" i="17"/>
  <c r="R85" i="17"/>
  <c r="R84" i="17"/>
  <c r="R83" i="17"/>
  <c r="R82" i="17"/>
  <c r="R79" i="17"/>
  <c r="R78" i="17"/>
  <c r="R77" i="17"/>
  <c r="R76" i="17"/>
  <c r="R73" i="17"/>
  <c r="R72" i="17"/>
  <c r="R71" i="17"/>
  <c r="R70" i="17"/>
  <c r="R69" i="17"/>
  <c r="R64" i="17"/>
  <c r="R65" i="17"/>
  <c r="R66" i="17"/>
  <c r="R67" i="17"/>
  <c r="AJ27" i="17"/>
  <c r="G64" i="17"/>
  <c r="G66" i="17"/>
  <c r="G70" i="17"/>
  <c r="G72" i="17"/>
  <c r="G76" i="17"/>
  <c r="G78" i="17"/>
  <c r="H82" i="17"/>
  <c r="H89" i="17"/>
  <c r="G96" i="17"/>
  <c r="AK27" i="17"/>
  <c r="H64" i="17"/>
  <c r="H66" i="17"/>
  <c r="H70" i="17"/>
  <c r="H72" i="17"/>
  <c r="H76" i="17"/>
  <c r="G87" i="17"/>
  <c r="G99" i="17"/>
  <c r="F113" i="17"/>
  <c r="H111" i="17"/>
  <c r="H98" i="17"/>
  <c r="H88" i="17"/>
  <c r="H83" i="17"/>
  <c r="H108" i="17"/>
  <c r="H100" i="17"/>
  <c r="H93" i="17"/>
  <c r="H97" i="17"/>
  <c r="H90" i="17"/>
  <c r="H85" i="17"/>
  <c r="H102" i="17"/>
  <c r="H112" i="17"/>
  <c r="H99" i="17"/>
  <c r="H92" i="17"/>
  <c r="H87" i="17"/>
  <c r="H78" i="17"/>
  <c r="G102" i="17"/>
  <c r="G100" i="17"/>
  <c r="G108" i="17"/>
  <c r="G98" i="17"/>
  <c r="G111" i="17"/>
  <c r="Q27" i="17"/>
  <c r="G113" i="17" l="1"/>
  <c r="R109" i="17"/>
  <c r="H109" i="17"/>
  <c r="G109" i="17"/>
  <c r="R106" i="17"/>
  <c r="H106" i="17"/>
  <c r="R113" i="17"/>
  <c r="G80" i="17"/>
  <c r="G94" i="17"/>
  <c r="H113" i="17"/>
  <c r="G103" i="17"/>
  <c r="H74" i="17"/>
  <c r="G74" i="17"/>
  <c r="R94" i="17"/>
  <c r="S71" i="17"/>
  <c r="S111" i="17"/>
  <c r="S105" i="17"/>
  <c r="S100" i="17"/>
  <c r="S96" i="17"/>
  <c r="S92" i="17"/>
  <c r="S88" i="17"/>
  <c r="S84" i="17"/>
  <c r="S78" i="17"/>
  <c r="S73" i="17"/>
  <c r="S67" i="17"/>
  <c r="S66" i="17"/>
  <c r="S65" i="17"/>
  <c r="S64" i="17"/>
  <c r="S69" i="17"/>
  <c r="S70" i="17"/>
  <c r="S99" i="17"/>
  <c r="S93" i="17"/>
  <c r="S89" i="17"/>
  <c r="S85" i="17"/>
  <c r="S77" i="17"/>
  <c r="S108" i="17"/>
  <c r="S102" i="17"/>
  <c r="G89" i="18" s="1"/>
  <c r="F89" i="18" s="1"/>
  <c r="S98" i="17"/>
  <c r="S90" i="17"/>
  <c r="S86" i="17"/>
  <c r="S82" i="17"/>
  <c r="S76" i="17"/>
  <c r="S112" i="17"/>
  <c r="S101" i="17"/>
  <c r="G88" i="18" s="1"/>
  <c r="F88" i="18" s="1"/>
  <c r="S97" i="17"/>
  <c r="S91" i="17"/>
  <c r="S87" i="17"/>
  <c r="S83" i="17"/>
  <c r="S79" i="17"/>
  <c r="R74" i="17"/>
  <c r="H94" i="17"/>
  <c r="R80" i="17"/>
  <c r="R103" i="17"/>
  <c r="H103" i="17"/>
  <c r="H80" i="17"/>
  <c r="I108" i="17"/>
  <c r="I100" i="17"/>
  <c r="I93" i="17"/>
  <c r="I97" i="17"/>
  <c r="I102" i="17"/>
  <c r="I112" i="17"/>
  <c r="I99" i="17"/>
  <c r="I92" i="17"/>
  <c r="I105" i="17"/>
  <c r="I89" i="17"/>
  <c r="I84" i="17"/>
  <c r="I87" i="17"/>
  <c r="I77" i="17"/>
  <c r="I98" i="17"/>
  <c r="I86" i="17"/>
  <c r="I72" i="17"/>
  <c r="I67" i="17"/>
  <c r="I83" i="17"/>
  <c r="I64" i="17"/>
  <c r="I82" i="17"/>
  <c r="I101" i="17"/>
  <c r="I96" i="17"/>
  <c r="I76" i="17"/>
  <c r="I69" i="17"/>
  <c r="I88" i="17"/>
  <c r="I91" i="17"/>
  <c r="I90" i="17"/>
  <c r="I85" i="17"/>
  <c r="I71" i="17"/>
  <c r="I66" i="17"/>
  <c r="I79" i="17"/>
  <c r="I111" i="17"/>
  <c r="I78" i="17"/>
  <c r="I73" i="17"/>
  <c r="I70" i="17"/>
  <c r="I65" i="17"/>
  <c r="I109" i="17" l="1"/>
  <c r="S109" i="17"/>
  <c r="S106" i="17"/>
  <c r="I113" i="17"/>
  <c r="G115" i="17"/>
  <c r="G117" i="17" s="1"/>
  <c r="H115" i="17"/>
  <c r="H117" i="17" s="1"/>
  <c r="R115" i="17"/>
  <c r="R117" i="17" s="1"/>
  <c r="S80" i="17"/>
  <c r="S94" i="17"/>
  <c r="S103" i="17"/>
  <c r="S113" i="17"/>
  <c r="T112" i="17"/>
  <c r="T111" i="17"/>
  <c r="T108" i="17"/>
  <c r="T105" i="17"/>
  <c r="T102" i="17"/>
  <c r="T101" i="17"/>
  <c r="T100" i="17"/>
  <c r="T99" i="17"/>
  <c r="T98" i="17"/>
  <c r="T97" i="17"/>
  <c r="T96" i="17"/>
  <c r="T93" i="17"/>
  <c r="T92" i="17"/>
  <c r="T91" i="17"/>
  <c r="T90" i="17"/>
  <c r="T89" i="17"/>
  <c r="T88" i="17"/>
  <c r="T87" i="17"/>
  <c r="T86" i="17"/>
  <c r="T85" i="17"/>
  <c r="T84" i="17"/>
  <c r="T83" i="17"/>
  <c r="T82" i="17"/>
  <c r="T78" i="17"/>
  <c r="T73" i="17"/>
  <c r="T67" i="17"/>
  <c r="T66" i="17"/>
  <c r="T65" i="17"/>
  <c r="T64" i="17"/>
  <c r="T70" i="17"/>
  <c r="T77" i="17"/>
  <c r="T72" i="17"/>
  <c r="T69" i="17"/>
  <c r="T76" i="17"/>
  <c r="T71" i="17"/>
  <c r="I74" i="17"/>
  <c r="I103" i="17"/>
  <c r="I80" i="17"/>
  <c r="I94" i="17"/>
  <c r="J108" i="17"/>
  <c r="J100" i="17"/>
  <c r="J97" i="17"/>
  <c r="J90" i="17"/>
  <c r="J85" i="17"/>
  <c r="J102" i="17"/>
  <c r="J112" i="17"/>
  <c r="J99" i="17"/>
  <c r="J92" i="17"/>
  <c r="J87" i="17"/>
  <c r="J105" i="17"/>
  <c r="J101" i="17"/>
  <c r="J96" i="17"/>
  <c r="J93" i="17"/>
  <c r="J86" i="17"/>
  <c r="J72" i="17"/>
  <c r="J67" i="17"/>
  <c r="J83" i="17"/>
  <c r="J64" i="17"/>
  <c r="J76" i="17"/>
  <c r="J69" i="17"/>
  <c r="J91" i="17"/>
  <c r="J89" i="17"/>
  <c r="J71" i="17"/>
  <c r="J66" i="17"/>
  <c r="J79" i="17"/>
  <c r="J111" i="17"/>
  <c r="J98" i="17"/>
  <c r="J88" i="17"/>
  <c r="J84" i="17"/>
  <c r="J82" i="17"/>
  <c r="J78" i="17"/>
  <c r="J73" i="17"/>
  <c r="J70" i="17"/>
  <c r="J77" i="17"/>
  <c r="I106" i="17"/>
  <c r="N37" i="2"/>
  <c r="T109" i="17" l="1"/>
  <c r="T106" i="17"/>
  <c r="J106" i="17"/>
  <c r="J37" i="2"/>
  <c r="H37" i="2"/>
  <c r="L37" i="2"/>
  <c r="T113" i="17"/>
  <c r="T103" i="17"/>
  <c r="I115" i="17"/>
  <c r="T94" i="17"/>
  <c r="U112" i="17"/>
  <c r="U111" i="17"/>
  <c r="U108" i="17"/>
  <c r="U105" i="17"/>
  <c r="U102" i="17"/>
  <c r="U101" i="17"/>
  <c r="U100" i="17"/>
  <c r="U99" i="17"/>
  <c r="U97" i="17"/>
  <c r="U96" i="17"/>
  <c r="U93" i="17"/>
  <c r="U92" i="17"/>
  <c r="U91" i="17"/>
  <c r="U90" i="17"/>
  <c r="U89" i="17"/>
  <c r="U88" i="17"/>
  <c r="U87" i="17"/>
  <c r="U86" i="17"/>
  <c r="U85" i="17"/>
  <c r="U84" i="17"/>
  <c r="U83" i="17"/>
  <c r="U82" i="17"/>
  <c r="U79" i="17"/>
  <c r="U78" i="17"/>
  <c r="U77" i="17"/>
  <c r="U73" i="17"/>
  <c r="U72" i="17"/>
  <c r="U71" i="17"/>
  <c r="U69" i="17"/>
  <c r="U67" i="17"/>
  <c r="U66" i="17"/>
  <c r="U65" i="17"/>
  <c r="U64" i="17"/>
  <c r="T74" i="17"/>
  <c r="J103" i="17"/>
  <c r="J113" i="17"/>
  <c r="K105" i="17"/>
  <c r="K96" i="17"/>
  <c r="K69" i="17"/>
  <c r="K78" i="17"/>
  <c r="K102" i="17"/>
  <c r="K87" i="17"/>
  <c r="K82" i="17"/>
  <c r="K101" i="17"/>
  <c r="K100" i="17"/>
  <c r="K76" i="17"/>
  <c r="K90" i="17"/>
  <c r="K112" i="17"/>
  <c r="K77" i="17"/>
  <c r="K111" i="17"/>
  <c r="K85" i="17"/>
  <c r="K99" i="17"/>
  <c r="K71" i="17"/>
  <c r="K86" i="17"/>
  <c r="K70" i="17"/>
  <c r="K93" i="17"/>
  <c r="K73" i="17"/>
  <c r="K66" i="17"/>
  <c r="K89" i="17"/>
  <c r="K65" i="17"/>
  <c r="K79" i="17"/>
  <c r="K98" i="17"/>
  <c r="K88" i="17"/>
  <c r="K108" i="17"/>
  <c r="K97" i="17"/>
  <c r="K64" i="17"/>
  <c r="K84" i="17"/>
  <c r="K83" i="17"/>
  <c r="K72" i="17"/>
  <c r="K92" i="17"/>
  <c r="K91" i="17"/>
  <c r="K67" i="17"/>
  <c r="J109" i="17"/>
  <c r="J80" i="17"/>
  <c r="J94" i="17"/>
  <c r="AC113" i="1"/>
  <c r="AC109" i="1"/>
  <c r="AC106" i="1"/>
  <c r="AC103" i="1"/>
  <c r="AC94" i="1"/>
  <c r="AC62" i="1"/>
  <c r="AC25" i="1"/>
  <c r="AC22" i="1"/>
  <c r="AC17" i="1"/>
  <c r="AC13" i="1"/>
  <c r="K109" i="17" l="1"/>
  <c r="U109" i="17"/>
  <c r="U106" i="17"/>
  <c r="U113" i="17"/>
  <c r="U94" i="17"/>
  <c r="V112" i="17"/>
  <c r="V111" i="17"/>
  <c r="V108" i="17"/>
  <c r="V105" i="17"/>
  <c r="V102" i="17"/>
  <c r="V101" i="17"/>
  <c r="V100" i="17"/>
  <c r="V99" i="17"/>
  <c r="V98" i="17"/>
  <c r="V97" i="17"/>
  <c r="V96" i="17"/>
  <c r="V93" i="17"/>
  <c r="V92" i="17"/>
  <c r="V91" i="17"/>
  <c r="V90" i="17"/>
  <c r="V89" i="17"/>
  <c r="V88" i="17"/>
  <c r="V87" i="17"/>
  <c r="V86" i="17"/>
  <c r="V85" i="17"/>
  <c r="V84" i="17"/>
  <c r="V83" i="17"/>
  <c r="V82" i="17"/>
  <c r="V79" i="17"/>
  <c r="V73" i="17"/>
  <c r="V72" i="17"/>
  <c r="V71" i="17"/>
  <c r="V70" i="17"/>
  <c r="V69" i="17"/>
  <c r="V65" i="17"/>
  <c r="V67" i="17"/>
  <c r="V66" i="17"/>
  <c r="V64" i="17"/>
  <c r="K74" i="17"/>
  <c r="K113" i="17"/>
  <c r="K80" i="17"/>
  <c r="L102" i="17"/>
  <c r="L87" i="17"/>
  <c r="L82" i="17"/>
  <c r="L112" i="17"/>
  <c r="L105" i="17"/>
  <c r="L99" i="17"/>
  <c r="L96" i="17"/>
  <c r="L89" i="17"/>
  <c r="L84" i="17"/>
  <c r="L101" i="17"/>
  <c r="L111" i="17"/>
  <c r="L98" i="17"/>
  <c r="L91" i="17"/>
  <c r="L86" i="17"/>
  <c r="L108" i="17"/>
  <c r="L83" i="17"/>
  <c r="L69" i="17"/>
  <c r="L64" i="17"/>
  <c r="L77" i="17"/>
  <c r="L76" i="17"/>
  <c r="L92" i="17"/>
  <c r="L71" i="17"/>
  <c r="L66" i="17"/>
  <c r="L90" i="17"/>
  <c r="L85" i="17"/>
  <c r="L79" i="17"/>
  <c r="L78" i="17"/>
  <c r="L88" i="17"/>
  <c r="L73" i="17"/>
  <c r="L65" i="17"/>
  <c r="L100" i="17"/>
  <c r="L70" i="17"/>
  <c r="L97" i="17"/>
  <c r="L72" i="17"/>
  <c r="L93" i="17"/>
  <c r="L67" i="17"/>
  <c r="K103" i="17"/>
  <c r="K106" i="17"/>
  <c r="K94" i="17"/>
  <c r="AC27" i="1"/>
  <c r="AC80" i="1"/>
  <c r="L109" i="17" l="1"/>
  <c r="V109" i="17"/>
  <c r="L106" i="17"/>
  <c r="V106" i="17"/>
  <c r="L80" i="17"/>
  <c r="L113" i="17"/>
  <c r="W112" i="17"/>
  <c r="W111" i="17"/>
  <c r="W108" i="17"/>
  <c r="W105" i="17"/>
  <c r="W102" i="17"/>
  <c r="W101" i="17"/>
  <c r="W100" i="17"/>
  <c r="W99" i="17"/>
  <c r="W98" i="17"/>
  <c r="W97" i="17"/>
  <c r="W96" i="17"/>
  <c r="W92" i="17"/>
  <c r="W88" i="17"/>
  <c r="W84" i="17"/>
  <c r="W67" i="17"/>
  <c r="W77" i="17"/>
  <c r="W72" i="17"/>
  <c r="W91" i="17"/>
  <c r="W83" i="17"/>
  <c r="W93" i="17"/>
  <c r="W89" i="17"/>
  <c r="W85" i="17"/>
  <c r="W87" i="17"/>
  <c r="W76" i="17"/>
  <c r="W71" i="17"/>
  <c r="W69" i="17"/>
  <c r="W90" i="17"/>
  <c r="W86" i="17"/>
  <c r="W79" i="17"/>
  <c r="W66" i="17"/>
  <c r="W65" i="17"/>
  <c r="W78" i="17"/>
  <c r="W73" i="17"/>
  <c r="W70" i="17"/>
  <c r="V113" i="17"/>
  <c r="L103" i="17"/>
  <c r="V94" i="17"/>
  <c r="V74" i="17"/>
  <c r="V103" i="17"/>
  <c r="K115" i="17"/>
  <c r="M102" i="17"/>
  <c r="M112" i="17"/>
  <c r="M105" i="17"/>
  <c r="M99" i="17"/>
  <c r="M92" i="17"/>
  <c r="M96" i="17"/>
  <c r="M101" i="17"/>
  <c r="M111" i="17"/>
  <c r="M98" i="17"/>
  <c r="M91" i="17"/>
  <c r="M88" i="17"/>
  <c r="M83" i="17"/>
  <c r="M79" i="17"/>
  <c r="M76" i="17"/>
  <c r="M93" i="17"/>
  <c r="M71" i="17"/>
  <c r="M66" i="17"/>
  <c r="M90" i="17"/>
  <c r="M89" i="17"/>
  <c r="M85" i="17"/>
  <c r="M78" i="17"/>
  <c r="M97" i="17"/>
  <c r="M73" i="17"/>
  <c r="M100" i="17"/>
  <c r="M84" i="17"/>
  <c r="M82" i="17"/>
  <c r="M70" i="17"/>
  <c r="M65" i="17"/>
  <c r="M77" i="17"/>
  <c r="M87" i="17"/>
  <c r="M67" i="17"/>
  <c r="M69" i="17"/>
  <c r="M108" i="17"/>
  <c r="M86" i="17"/>
  <c r="M72" i="17"/>
  <c r="M64" i="17"/>
  <c r="L94" i="17"/>
  <c r="L74" i="17"/>
  <c r="W109" i="17" l="1"/>
  <c r="M109" i="17"/>
  <c r="W106" i="17"/>
  <c r="L115" i="17"/>
  <c r="W80" i="17"/>
  <c r="M113" i="17"/>
  <c r="X112" i="17"/>
  <c r="X111" i="17"/>
  <c r="X105" i="17"/>
  <c r="X102" i="17"/>
  <c r="X101" i="17"/>
  <c r="X100" i="17"/>
  <c r="X99" i="17"/>
  <c r="X98" i="17"/>
  <c r="X97" i="17"/>
  <c r="X96" i="17"/>
  <c r="X77" i="17"/>
  <c r="X72" i="17"/>
  <c r="X93" i="17"/>
  <c r="X89" i="17"/>
  <c r="X85" i="17"/>
  <c r="X70" i="17"/>
  <c r="X76" i="17"/>
  <c r="X71" i="17"/>
  <c r="X69" i="17"/>
  <c r="X78" i="17"/>
  <c r="X90" i="17"/>
  <c r="X86" i="17"/>
  <c r="X82" i="17"/>
  <c r="X79" i="17"/>
  <c r="X67" i="17"/>
  <c r="X66" i="17"/>
  <c r="X65" i="17"/>
  <c r="X64" i="17"/>
  <c r="X91" i="17"/>
  <c r="X87" i="17"/>
  <c r="X83" i="17"/>
  <c r="X92" i="17"/>
  <c r="X88" i="17"/>
  <c r="X84" i="17"/>
  <c r="X73" i="17"/>
  <c r="W103" i="17"/>
  <c r="W74" i="17"/>
  <c r="W113" i="17"/>
  <c r="M94" i="17"/>
  <c r="M106" i="17"/>
  <c r="N112" i="17"/>
  <c r="N105" i="17"/>
  <c r="N99" i="17"/>
  <c r="N89" i="17"/>
  <c r="N84" i="17"/>
  <c r="N101" i="17"/>
  <c r="N111" i="17"/>
  <c r="N98" i="17"/>
  <c r="N91" i="17"/>
  <c r="N86" i="17"/>
  <c r="N108" i="17"/>
  <c r="N100" i="17"/>
  <c r="N93" i="17"/>
  <c r="N71" i="17"/>
  <c r="N66" i="17"/>
  <c r="N90" i="17"/>
  <c r="N85" i="17"/>
  <c r="N78" i="17"/>
  <c r="N79" i="17"/>
  <c r="N73" i="17"/>
  <c r="N88" i="17"/>
  <c r="N82" i="17"/>
  <c r="N70" i="17"/>
  <c r="N65" i="17"/>
  <c r="G70" i="18" s="1"/>
  <c r="F70" i="18" s="1"/>
  <c r="N102" i="17"/>
  <c r="N77" i="17"/>
  <c r="N97" i="17"/>
  <c r="N92" i="17"/>
  <c r="N87" i="17"/>
  <c r="N72" i="17"/>
  <c r="N69" i="17"/>
  <c r="G74" i="18" s="1"/>
  <c r="F74" i="18" s="1"/>
  <c r="N76" i="17"/>
  <c r="N83" i="17"/>
  <c r="M80" i="17"/>
  <c r="M103" i="17"/>
  <c r="M74" i="17"/>
  <c r="Z38" i="4"/>
  <c r="A1" i="16"/>
  <c r="N109" i="17" l="1"/>
  <c r="X106" i="17"/>
  <c r="N106" i="17"/>
  <c r="N113" i="17"/>
  <c r="X80" i="17"/>
  <c r="X103" i="17"/>
  <c r="X74" i="17"/>
  <c r="X94" i="17"/>
  <c r="X113" i="17"/>
  <c r="Y112" i="17"/>
  <c r="Y111" i="17"/>
  <c r="Y108" i="17"/>
  <c r="Y105" i="17"/>
  <c r="Y102" i="17"/>
  <c r="Y101" i="17"/>
  <c r="Y100" i="17"/>
  <c r="Y99" i="17"/>
  <c r="Y98" i="17"/>
  <c r="Y97" i="17"/>
  <c r="Y96" i="17"/>
  <c r="Y93" i="17"/>
  <c r="Y92" i="17"/>
  <c r="Y91" i="17"/>
  <c r="Y90" i="17"/>
  <c r="Y89" i="17"/>
  <c r="Y88" i="17"/>
  <c r="Y87" i="17"/>
  <c r="Y86" i="17"/>
  <c r="Y85" i="17"/>
  <c r="Y84" i="17"/>
  <c r="Y83" i="17"/>
  <c r="Y82" i="17"/>
  <c r="Y76" i="17"/>
  <c r="Y71" i="17"/>
  <c r="Y69" i="17"/>
  <c r="Y79" i="17"/>
  <c r="Y67" i="17"/>
  <c r="Y66" i="17"/>
  <c r="Y65" i="17"/>
  <c r="Y64" i="17"/>
  <c r="Y78" i="17"/>
  <c r="Y73" i="17"/>
  <c r="Y70" i="17"/>
  <c r="Y77" i="17"/>
  <c r="Y72" i="17"/>
  <c r="N80" i="17"/>
  <c r="N94" i="17"/>
  <c r="O101" i="17"/>
  <c r="O111" i="17"/>
  <c r="O98" i="17"/>
  <c r="O108" i="17"/>
  <c r="O100" i="17"/>
  <c r="O93" i="17"/>
  <c r="O97" i="17"/>
  <c r="G82" i="18" s="1"/>
  <c r="F82" i="18" s="1"/>
  <c r="O90" i="17"/>
  <c r="O85" i="17"/>
  <c r="O78" i="17"/>
  <c r="O89" i="17"/>
  <c r="G80" i="18" s="1"/>
  <c r="F80" i="18" s="1"/>
  <c r="O79" i="17"/>
  <c r="O73" i="17"/>
  <c r="O105" i="17"/>
  <c r="O91" i="17"/>
  <c r="O82" i="17"/>
  <c r="O70" i="17"/>
  <c r="O65" i="17"/>
  <c r="O76" i="17"/>
  <c r="O102" i="17"/>
  <c r="O84" i="17"/>
  <c r="O77" i="17"/>
  <c r="O92" i="17"/>
  <c r="O87" i="17"/>
  <c r="O72" i="17"/>
  <c r="O67" i="17"/>
  <c r="O112" i="17"/>
  <c r="O99" i="17"/>
  <c r="O69" i="17"/>
  <c r="O83" i="17"/>
  <c r="O71" i="17"/>
  <c r="O66" i="17"/>
  <c r="O109" i="17" l="1"/>
  <c r="Y109" i="17"/>
  <c r="Y106" i="17"/>
  <c r="Y113" i="17"/>
  <c r="Y74" i="17"/>
  <c r="Y80" i="17"/>
  <c r="Y94" i="17"/>
  <c r="O113" i="17"/>
  <c r="Z112" i="17"/>
  <c r="Z111" i="17"/>
  <c r="Z108" i="17"/>
  <c r="Z105" i="17"/>
  <c r="Z102" i="17"/>
  <c r="Z101" i="17"/>
  <c r="Z100" i="17"/>
  <c r="Z99" i="17"/>
  <c r="Z98" i="17"/>
  <c r="Z97" i="17"/>
  <c r="Z93" i="17"/>
  <c r="Z92" i="17"/>
  <c r="Z90" i="17"/>
  <c r="Z89" i="17"/>
  <c r="Z88" i="17"/>
  <c r="Z87" i="17"/>
  <c r="Z86" i="17"/>
  <c r="Z85" i="17"/>
  <c r="Z84" i="17"/>
  <c r="Z83" i="17"/>
  <c r="Z82" i="17"/>
  <c r="Z79" i="17"/>
  <c r="Z78" i="17"/>
  <c r="Z77" i="17"/>
  <c r="Z76" i="17"/>
  <c r="Z73" i="17"/>
  <c r="Z72" i="17"/>
  <c r="Z71" i="17"/>
  <c r="Z70" i="17"/>
  <c r="Z69" i="17"/>
  <c r="Z67" i="17"/>
  <c r="Z66" i="17"/>
  <c r="Z65" i="17"/>
  <c r="Z64" i="17"/>
  <c r="Y103" i="17"/>
  <c r="O106" i="17"/>
  <c r="Q101" i="17"/>
  <c r="Q111" i="17"/>
  <c r="Q98" i="17"/>
  <c r="Q91" i="17"/>
  <c r="Q86" i="17"/>
  <c r="Q108" i="17"/>
  <c r="Q100" i="17"/>
  <c r="Q93" i="17"/>
  <c r="Q97" i="17"/>
  <c r="Q90" i="17"/>
  <c r="Q102" i="17"/>
  <c r="Q87" i="17"/>
  <c r="Q82" i="17"/>
  <c r="Q78" i="17"/>
  <c r="Q89" i="17"/>
  <c r="Q85" i="17"/>
  <c r="Q79" i="17"/>
  <c r="Q73" i="17"/>
  <c r="Q105" i="17"/>
  <c r="Q96" i="17"/>
  <c r="Q70" i="17"/>
  <c r="Q65" i="17"/>
  <c r="Q88" i="17"/>
  <c r="Q84" i="17"/>
  <c r="Q77" i="17"/>
  <c r="Q92" i="17"/>
  <c r="Q72" i="17"/>
  <c r="Q67" i="17"/>
  <c r="Q112" i="17"/>
  <c r="Q99" i="17"/>
  <c r="Q69" i="17"/>
  <c r="Q64" i="17"/>
  <c r="Q83" i="17"/>
  <c r="Q76" i="17"/>
  <c r="Q66" i="17"/>
  <c r="Q71" i="17"/>
  <c r="O80" i="17"/>
  <c r="Q109" i="17" l="1"/>
  <c r="Z109" i="17"/>
  <c r="Q106" i="17"/>
  <c r="Z106" i="17"/>
  <c r="Z80" i="17"/>
  <c r="Y115" i="17"/>
  <c r="Q80" i="17"/>
  <c r="Z74" i="17"/>
  <c r="AA111" i="17"/>
  <c r="AA105" i="17"/>
  <c r="AA100" i="17"/>
  <c r="AA96" i="17"/>
  <c r="AA93" i="17"/>
  <c r="AA89" i="17"/>
  <c r="AA85" i="17"/>
  <c r="AA76" i="17"/>
  <c r="AA71" i="17"/>
  <c r="AA69" i="17"/>
  <c r="AA97" i="17"/>
  <c r="AA66" i="17"/>
  <c r="AA65" i="17"/>
  <c r="AA64" i="17"/>
  <c r="AA88" i="17"/>
  <c r="AA77" i="17"/>
  <c r="AA72" i="17"/>
  <c r="AA99" i="17"/>
  <c r="AA90" i="17"/>
  <c r="AA86" i="17"/>
  <c r="AA82" i="17"/>
  <c r="AA79" i="17"/>
  <c r="AA67" i="17"/>
  <c r="AA112" i="17"/>
  <c r="AA92" i="17"/>
  <c r="AA84" i="17"/>
  <c r="AA108" i="17"/>
  <c r="AA102" i="17"/>
  <c r="AA98" i="17"/>
  <c r="AA91" i="17"/>
  <c r="AA87" i="17"/>
  <c r="AA83" i="17"/>
  <c r="AA78" i="17"/>
  <c r="AA73" i="17"/>
  <c r="AA70" i="17"/>
  <c r="AA101" i="17"/>
  <c r="Z113" i="17"/>
  <c r="Q103" i="17"/>
  <c r="AH111" i="17"/>
  <c r="AH98" i="17"/>
  <c r="AH88" i="17"/>
  <c r="AH83" i="17"/>
  <c r="AH79" i="17"/>
  <c r="AH108" i="17"/>
  <c r="AH100" i="17"/>
  <c r="AH93" i="17"/>
  <c r="AH97" i="17"/>
  <c r="AH90" i="17"/>
  <c r="AH85" i="17"/>
  <c r="AH102" i="17"/>
  <c r="AH112" i="17"/>
  <c r="AH105" i="17"/>
  <c r="AH99" i="17"/>
  <c r="AH92" i="17"/>
  <c r="AH96" i="17"/>
  <c r="AH70" i="17"/>
  <c r="AH65" i="17"/>
  <c r="AH91" i="17"/>
  <c r="AH84" i="17"/>
  <c r="AH82" i="17"/>
  <c r="AH77" i="17"/>
  <c r="AH101" i="17"/>
  <c r="AH72" i="17"/>
  <c r="AH67" i="17"/>
  <c r="AH87" i="17"/>
  <c r="AH69" i="17"/>
  <c r="AH64" i="17"/>
  <c r="AH76" i="17"/>
  <c r="AH86" i="17"/>
  <c r="AH71" i="17"/>
  <c r="AH66" i="17"/>
  <c r="AH89" i="17"/>
  <c r="AH78" i="17"/>
  <c r="AH73" i="17"/>
  <c r="Q94" i="17"/>
  <c r="Q74" i="17"/>
  <c r="Q113" i="17"/>
  <c r="AC74" i="1"/>
  <c r="AC115" i="1" s="1"/>
  <c r="AC117" i="1" s="1"/>
  <c r="AH109" i="17" l="1"/>
  <c r="AA109" i="17"/>
  <c r="AA106" i="17"/>
  <c r="AH106" i="17"/>
  <c r="AA103" i="17"/>
  <c r="Q115" i="17"/>
  <c r="Q117" i="17" s="1"/>
  <c r="AA113" i="17"/>
  <c r="AA80" i="17"/>
  <c r="AA74" i="17"/>
  <c r="AA94" i="17"/>
  <c r="AB112" i="17"/>
  <c r="AB111" i="17"/>
  <c r="AB108" i="17"/>
  <c r="AB105" i="17"/>
  <c r="AB102" i="17"/>
  <c r="AB101" i="17"/>
  <c r="AB98" i="17"/>
  <c r="AB97" i="17"/>
  <c r="AB96" i="17"/>
  <c r="AB93" i="17"/>
  <c r="AB90" i="17"/>
  <c r="AB89" i="17"/>
  <c r="AB88" i="17"/>
  <c r="AB87" i="17"/>
  <c r="AB86" i="17"/>
  <c r="AB85" i="17"/>
  <c r="AB84" i="17"/>
  <c r="AB83" i="17"/>
  <c r="AB82" i="17"/>
  <c r="AB66" i="17"/>
  <c r="AB65" i="17"/>
  <c r="AB64" i="17"/>
  <c r="AB79" i="17"/>
  <c r="AB67" i="17"/>
  <c r="AB78" i="17"/>
  <c r="AB73" i="17"/>
  <c r="AB70" i="17"/>
  <c r="AB77" i="17"/>
  <c r="AB72" i="17"/>
  <c r="AB76" i="17"/>
  <c r="AB71" i="17"/>
  <c r="AB69" i="17"/>
  <c r="AH94" i="17"/>
  <c r="AH103" i="17"/>
  <c r="AI108" i="17"/>
  <c r="AI100" i="17"/>
  <c r="AI93" i="17"/>
  <c r="AI97" i="17"/>
  <c r="AI102" i="17"/>
  <c r="AI87" i="17"/>
  <c r="AI112" i="17"/>
  <c r="AI105" i="17"/>
  <c r="AI99" i="17"/>
  <c r="AI92" i="17"/>
  <c r="AI96" i="17"/>
  <c r="AI89" i="17"/>
  <c r="AI84" i="17"/>
  <c r="AI91" i="17"/>
  <c r="AI90" i="17"/>
  <c r="AI82" i="17"/>
  <c r="AI77" i="17"/>
  <c r="AI73" i="17"/>
  <c r="AI101" i="17"/>
  <c r="AI88" i="17"/>
  <c r="AI72" i="17"/>
  <c r="AI67" i="17"/>
  <c r="AI69" i="17"/>
  <c r="AI64" i="17"/>
  <c r="AI78" i="17"/>
  <c r="AI76" i="17"/>
  <c r="AI111" i="17"/>
  <c r="AI98" i="17"/>
  <c r="AI86" i="17"/>
  <c r="AI83" i="17"/>
  <c r="AI71" i="17"/>
  <c r="AI66" i="17"/>
  <c r="AI70" i="17"/>
  <c r="AI65" i="17"/>
  <c r="AI79" i="17"/>
  <c r="AI85" i="17"/>
  <c r="AH113" i="17"/>
  <c r="AH80" i="17"/>
  <c r="AH74" i="17"/>
  <c r="X17" i="3"/>
  <c r="Z17" i="3" s="1"/>
  <c r="AB17" i="3" s="1"/>
  <c r="AD17" i="3" s="1"/>
  <c r="C19" i="3"/>
  <c r="Y79" i="3"/>
  <c r="Y17" i="3" l="1"/>
  <c r="AA17" i="3" s="1"/>
  <c r="AC17" i="3" s="1"/>
  <c r="AE17" i="3" s="1"/>
  <c r="J13" i="3"/>
  <c r="K98" i="3"/>
  <c r="AI109" i="17"/>
  <c r="AB109" i="17"/>
  <c r="AI106" i="17"/>
  <c r="AB106" i="17"/>
  <c r="AA115" i="17"/>
  <c r="AH115" i="17"/>
  <c r="AH117" i="17" s="1"/>
  <c r="AI74" i="17"/>
  <c r="AI94" i="17"/>
  <c r="AC112" i="17"/>
  <c r="AC111" i="17"/>
  <c r="AC108" i="17"/>
  <c r="AC105" i="17"/>
  <c r="AC102" i="17"/>
  <c r="AC101" i="17"/>
  <c r="AC100" i="17"/>
  <c r="AC99" i="17"/>
  <c r="AC98" i="17"/>
  <c r="AC97" i="17"/>
  <c r="AC96" i="17"/>
  <c r="AC93" i="17"/>
  <c r="AC92" i="17"/>
  <c r="AC91" i="17"/>
  <c r="AC90" i="17"/>
  <c r="AC89" i="17"/>
  <c r="AC88" i="17"/>
  <c r="AC87" i="17"/>
  <c r="AC86" i="17"/>
  <c r="AC85" i="17"/>
  <c r="AC84" i="17"/>
  <c r="AC83" i="17"/>
  <c r="AC82" i="17"/>
  <c r="AC79" i="17"/>
  <c r="AC78" i="17"/>
  <c r="AC77" i="17"/>
  <c r="AC76" i="17"/>
  <c r="AC73" i="17"/>
  <c r="AC72" i="17"/>
  <c r="AC71" i="17"/>
  <c r="AC67" i="17"/>
  <c r="AC70" i="17"/>
  <c r="AC69" i="17"/>
  <c r="AC66" i="17"/>
  <c r="AC65" i="17"/>
  <c r="AC64" i="17"/>
  <c r="AI113" i="17"/>
  <c r="AB80" i="17"/>
  <c r="AB74" i="17"/>
  <c r="AB113" i="17"/>
  <c r="AI103" i="17"/>
  <c r="AI80" i="17"/>
  <c r="AJ108" i="17"/>
  <c r="AJ100" i="17"/>
  <c r="AJ97" i="17"/>
  <c r="AJ90" i="17"/>
  <c r="AJ85" i="17"/>
  <c r="AJ102" i="17"/>
  <c r="AJ112" i="17"/>
  <c r="AJ105" i="17"/>
  <c r="AJ99" i="17"/>
  <c r="AJ92" i="17"/>
  <c r="AJ96" i="17"/>
  <c r="AJ89" i="17"/>
  <c r="AJ101" i="17"/>
  <c r="AJ88" i="17"/>
  <c r="AJ84" i="17"/>
  <c r="AJ72" i="17"/>
  <c r="AJ67" i="17"/>
  <c r="AJ69" i="17"/>
  <c r="AJ64" i="17"/>
  <c r="AJ87" i="17"/>
  <c r="AJ76" i="17"/>
  <c r="AJ111" i="17"/>
  <c r="AJ98" i="17"/>
  <c r="AJ86" i="17"/>
  <c r="AJ83" i="17"/>
  <c r="AJ71" i="17"/>
  <c r="AJ66" i="17"/>
  <c r="AJ93" i="17"/>
  <c r="AJ78" i="17"/>
  <c r="AJ73" i="17"/>
  <c r="AJ79" i="17"/>
  <c r="AJ65" i="17"/>
  <c r="AJ77" i="17"/>
  <c r="AJ82" i="17"/>
  <c r="AJ91" i="17"/>
  <c r="AJ70" i="17"/>
  <c r="J67" i="3"/>
  <c r="K17" i="3"/>
  <c r="K105" i="3" s="1"/>
  <c r="AA79" i="3"/>
  <c r="J19" i="3"/>
  <c r="W105" i="3" l="1"/>
  <c r="L105" i="3"/>
  <c r="E54" i="1" s="1"/>
  <c r="V105" i="3"/>
  <c r="U105" i="3"/>
  <c r="M105" i="3"/>
  <c r="T105" i="3"/>
  <c r="S105" i="3"/>
  <c r="O105" i="3"/>
  <c r="N105" i="3"/>
  <c r="R105" i="3"/>
  <c r="Q105" i="3"/>
  <c r="P105" i="3"/>
  <c r="M54" i="1"/>
  <c r="O54" i="1"/>
  <c r="L107" i="3"/>
  <c r="K13" i="3"/>
  <c r="AE19" i="3"/>
  <c r="K96" i="3"/>
  <c r="AJ109" i="17"/>
  <c r="AC109" i="17"/>
  <c r="AJ106" i="17"/>
  <c r="AC106" i="17"/>
  <c r="AC80" i="17"/>
  <c r="AJ113" i="17"/>
  <c r="AC103" i="17"/>
  <c r="AI115" i="17"/>
  <c r="AD112" i="17"/>
  <c r="AD111" i="17"/>
  <c r="AD108" i="17"/>
  <c r="AD105" i="17"/>
  <c r="AD102" i="17"/>
  <c r="AD101" i="17"/>
  <c r="AD100" i="17"/>
  <c r="AD99" i="17"/>
  <c r="AD98" i="17"/>
  <c r="AD97" i="17"/>
  <c r="AD96" i="17"/>
  <c r="AD93" i="17"/>
  <c r="AD92" i="17"/>
  <c r="AD91" i="17"/>
  <c r="AD90" i="17"/>
  <c r="AD89" i="17"/>
  <c r="AD88" i="17"/>
  <c r="AD87" i="17"/>
  <c r="AD86" i="17"/>
  <c r="AD85" i="17"/>
  <c r="AD84" i="17"/>
  <c r="AD83" i="17"/>
  <c r="AD82" i="17"/>
  <c r="AD79" i="17"/>
  <c r="AD78" i="17"/>
  <c r="AD77" i="17"/>
  <c r="AD76" i="17"/>
  <c r="AD73" i="17"/>
  <c r="AD72" i="17"/>
  <c r="AD71" i="17"/>
  <c r="AD70" i="17"/>
  <c r="AD69" i="17"/>
  <c r="AD66" i="17"/>
  <c r="AD64" i="17"/>
  <c r="AD67" i="17"/>
  <c r="AD65" i="17"/>
  <c r="AC74" i="17"/>
  <c r="AC113" i="17"/>
  <c r="AC94" i="17"/>
  <c r="AK97" i="17"/>
  <c r="AK102" i="17"/>
  <c r="AK87" i="17"/>
  <c r="AK82" i="17"/>
  <c r="AK112" i="17"/>
  <c r="AK105" i="17"/>
  <c r="AK99" i="17"/>
  <c r="AK96" i="17"/>
  <c r="AK89" i="17"/>
  <c r="AK84" i="17"/>
  <c r="AK101" i="17"/>
  <c r="AK111" i="17"/>
  <c r="AK98" i="17"/>
  <c r="AK91" i="17"/>
  <c r="AK86" i="17"/>
  <c r="AK69" i="17"/>
  <c r="AK64" i="17"/>
  <c r="AK76" i="17"/>
  <c r="AK65" i="17"/>
  <c r="AK108" i="17"/>
  <c r="AK92" i="17"/>
  <c r="AK83" i="17"/>
  <c r="AK71" i="17"/>
  <c r="AK66" i="17"/>
  <c r="AK100" i="17"/>
  <c r="AK85" i="17"/>
  <c r="AK77" i="17"/>
  <c r="AK93" i="17"/>
  <c r="AK78" i="17"/>
  <c r="AK73" i="17"/>
  <c r="AK79" i="17"/>
  <c r="AK70" i="17"/>
  <c r="AK67" i="17"/>
  <c r="AK90" i="17"/>
  <c r="AK72" i="17"/>
  <c r="AK88" i="17"/>
  <c r="AJ94" i="17"/>
  <c r="AJ74" i="17"/>
  <c r="AJ103" i="17"/>
  <c r="AJ80" i="17"/>
  <c r="K25" i="3"/>
  <c r="K43" i="3"/>
  <c r="K55" i="3"/>
  <c r="K31" i="3"/>
  <c r="K61" i="3"/>
  <c r="AH37" i="3"/>
  <c r="K97" i="3"/>
  <c r="K19" i="3"/>
  <c r="K49" i="3"/>
  <c r="K67" i="3"/>
  <c r="AC79" i="3"/>
  <c r="Y19" i="3"/>
  <c r="Z19" i="3"/>
  <c r="AB19" i="3"/>
  <c r="AD19" i="3"/>
  <c r="I54" i="1" l="1"/>
  <c r="P107" i="3"/>
  <c r="H54" i="1"/>
  <c r="O107" i="3"/>
  <c r="L54" i="1"/>
  <c r="S107" i="3"/>
  <c r="F54" i="1"/>
  <c r="M107" i="3"/>
  <c r="G54" i="1"/>
  <c r="N107" i="3"/>
  <c r="K54" i="1"/>
  <c r="R107" i="3"/>
  <c r="J54" i="1"/>
  <c r="Q107" i="3"/>
  <c r="W107" i="3"/>
  <c r="P54" i="1"/>
  <c r="U107" i="3"/>
  <c r="N54" i="1"/>
  <c r="V107" i="3"/>
  <c r="T107" i="3"/>
  <c r="K101" i="3"/>
  <c r="AC19" i="3"/>
  <c r="AA19" i="3"/>
  <c r="AH67" i="3"/>
  <c r="AH61" i="3"/>
  <c r="AH55" i="3"/>
  <c r="AH49" i="3"/>
  <c r="AH43" i="3"/>
  <c r="AH13" i="3"/>
  <c r="K102" i="3"/>
  <c r="K100" i="3"/>
  <c r="AH19" i="3"/>
  <c r="AH25" i="3"/>
  <c r="AD109" i="17"/>
  <c r="AK109" i="17"/>
  <c r="AD106" i="17"/>
  <c r="AK106" i="17"/>
  <c r="AC115" i="17"/>
  <c r="AD94" i="17"/>
  <c r="AK80" i="17"/>
  <c r="AE112" i="17"/>
  <c r="AE111" i="17"/>
  <c r="AE108" i="17"/>
  <c r="AE105" i="17"/>
  <c r="AE102" i="17"/>
  <c r="AE101" i="17"/>
  <c r="AE100" i="17"/>
  <c r="AE99" i="17"/>
  <c r="AE98" i="17"/>
  <c r="AE97" i="17"/>
  <c r="AE96" i="17"/>
  <c r="AE79" i="17"/>
  <c r="AE90" i="17"/>
  <c r="AE86" i="17"/>
  <c r="AE82" i="17"/>
  <c r="AE70" i="17"/>
  <c r="AE67" i="17"/>
  <c r="AE78" i="17"/>
  <c r="AE73" i="17"/>
  <c r="AE76" i="17"/>
  <c r="AE71" i="17"/>
  <c r="AE91" i="17"/>
  <c r="AE87" i="17"/>
  <c r="AE83" i="17"/>
  <c r="AE77" i="17"/>
  <c r="AE72" i="17"/>
  <c r="AE66" i="17"/>
  <c r="AE92" i="17"/>
  <c r="AE88" i="17"/>
  <c r="AE84" i="17"/>
  <c r="AE69" i="17"/>
  <c r="AE65" i="17"/>
  <c r="AE64" i="17"/>
  <c r="AE93" i="17"/>
  <c r="AE89" i="17"/>
  <c r="AE85" i="17"/>
  <c r="AJ115" i="17"/>
  <c r="AJ117" i="17" s="1"/>
  <c r="AD74" i="17"/>
  <c r="AD80" i="17"/>
  <c r="AD103" i="17"/>
  <c r="AD113" i="17"/>
  <c r="AL102" i="17"/>
  <c r="AL112" i="17"/>
  <c r="AL105" i="17"/>
  <c r="AL99" i="17"/>
  <c r="AL92" i="17"/>
  <c r="AL96" i="17"/>
  <c r="AL101" i="17"/>
  <c r="AL111" i="17"/>
  <c r="AL98" i="17"/>
  <c r="AL91" i="17"/>
  <c r="AL88" i="17"/>
  <c r="AL83" i="17"/>
  <c r="AL79" i="17"/>
  <c r="AL76" i="17"/>
  <c r="AL89" i="17"/>
  <c r="AL87" i="17"/>
  <c r="AL71" i="17"/>
  <c r="AL66" i="17"/>
  <c r="AL100" i="17"/>
  <c r="AL86" i="17"/>
  <c r="AL93" i="17"/>
  <c r="AL78" i="17"/>
  <c r="AL73" i="17"/>
  <c r="AL82" i="17"/>
  <c r="AL97" i="17"/>
  <c r="AL70" i="17"/>
  <c r="AL65" i="17"/>
  <c r="AL90" i="17"/>
  <c r="AL108" i="17"/>
  <c r="AL85" i="17"/>
  <c r="AL77" i="17"/>
  <c r="AL84" i="17"/>
  <c r="AL69" i="17"/>
  <c r="AL72" i="17"/>
  <c r="AL64" i="17"/>
  <c r="AL67" i="17"/>
  <c r="AK103" i="17"/>
  <c r="AK74" i="17"/>
  <c r="AK113" i="17"/>
  <c r="AK94" i="17"/>
  <c r="K94" i="3"/>
  <c r="AH31" i="3"/>
  <c r="K108" i="3"/>
  <c r="K109" i="3"/>
  <c r="K110" i="3"/>
  <c r="AE79" i="3"/>
  <c r="L108" i="3" l="1"/>
  <c r="E56" i="1" s="1"/>
  <c r="M108" i="3"/>
  <c r="F56" i="1" s="1"/>
  <c r="N108" i="3"/>
  <c r="G56" i="1" s="1"/>
  <c r="O108" i="3"/>
  <c r="H56" i="1" s="1"/>
  <c r="Q108" i="3"/>
  <c r="J56" i="1" s="1"/>
  <c r="P108" i="3"/>
  <c r="I56" i="1" s="1"/>
  <c r="R108" i="3"/>
  <c r="K56" i="1" s="1"/>
  <c r="W108" i="3"/>
  <c r="S108" i="3"/>
  <c r="L56" i="1" s="1"/>
  <c r="T108" i="3"/>
  <c r="U108" i="3"/>
  <c r="N56" i="1" s="1"/>
  <c r="V108" i="3"/>
  <c r="O56" i="1" s="1"/>
  <c r="U54" i="1"/>
  <c r="W109" i="3"/>
  <c r="P57" i="1" s="1"/>
  <c r="V109" i="3"/>
  <c r="O57" i="1" s="1"/>
  <c r="U109" i="3"/>
  <c r="N57" i="1" s="1"/>
  <c r="T109" i="3"/>
  <c r="M57" i="1" s="1"/>
  <c r="S109" i="3"/>
  <c r="L57" i="1" s="1"/>
  <c r="R109" i="3"/>
  <c r="K57" i="1" s="1"/>
  <c r="Q109" i="3"/>
  <c r="J57" i="1" s="1"/>
  <c r="N109" i="3"/>
  <c r="G57" i="1" s="1"/>
  <c r="P109" i="3"/>
  <c r="I57" i="1" s="1"/>
  <c r="O109" i="3"/>
  <c r="H57" i="1" s="1"/>
  <c r="M109" i="3"/>
  <c r="F57" i="1" s="1"/>
  <c r="L109" i="3"/>
  <c r="E57" i="1" s="1"/>
  <c r="T110" i="3"/>
  <c r="M58" i="1" s="1"/>
  <c r="S110" i="3"/>
  <c r="R110" i="3"/>
  <c r="O110" i="3"/>
  <c r="M110" i="3"/>
  <c r="Q110" i="3"/>
  <c r="P110" i="3"/>
  <c r="N110" i="3"/>
  <c r="L110" i="3"/>
  <c r="V110" i="3"/>
  <c r="U110" i="3"/>
  <c r="W110" i="3"/>
  <c r="P58" i="1" s="1"/>
  <c r="O58" i="1"/>
  <c r="N58" i="1"/>
  <c r="P56" i="1"/>
  <c r="M56" i="1"/>
  <c r="K103" i="3"/>
  <c r="AL109" i="17"/>
  <c r="AE109" i="17"/>
  <c r="AE106" i="17"/>
  <c r="AL106" i="17"/>
  <c r="AE113" i="17"/>
  <c r="AL103" i="17"/>
  <c r="AD115" i="17"/>
  <c r="AE80" i="17"/>
  <c r="AF112" i="17"/>
  <c r="AF111" i="17"/>
  <c r="AF108" i="17"/>
  <c r="AF105" i="17"/>
  <c r="AF102" i="17"/>
  <c r="AF101" i="17"/>
  <c r="AF100" i="17"/>
  <c r="AF99" i="17"/>
  <c r="AF98" i="17"/>
  <c r="AF97" i="17"/>
  <c r="AF96" i="17"/>
  <c r="AF90" i="17"/>
  <c r="AF86" i="17"/>
  <c r="AF82" i="17"/>
  <c r="AF70" i="17"/>
  <c r="AF78" i="17"/>
  <c r="AF73" i="17"/>
  <c r="AF85" i="17"/>
  <c r="AF91" i="17"/>
  <c r="AF87" i="17"/>
  <c r="AF83" i="17"/>
  <c r="AF89" i="17"/>
  <c r="AF77" i="17"/>
  <c r="AF72" i="17"/>
  <c r="AF92" i="17"/>
  <c r="AF88" i="17"/>
  <c r="AF84" i="17"/>
  <c r="AF69" i="17"/>
  <c r="AF66" i="17"/>
  <c r="AF65" i="17"/>
  <c r="AF64" i="17"/>
  <c r="AF93" i="17"/>
  <c r="AF76" i="17"/>
  <c r="AF71" i="17"/>
  <c r="AF79" i="17"/>
  <c r="AF67" i="17"/>
  <c r="AK115" i="17"/>
  <c r="AK117" i="17" s="1"/>
  <c r="AE74" i="17"/>
  <c r="AE103" i="17"/>
  <c r="AL80" i="17"/>
  <c r="AE94" i="17"/>
  <c r="AL113" i="17"/>
  <c r="AL74" i="17"/>
  <c r="AL94" i="17"/>
  <c r="U56" i="1" l="1"/>
  <c r="U57" i="1"/>
  <c r="E58" i="1"/>
  <c r="L111" i="3"/>
  <c r="L116" i="3" s="1"/>
  <c r="J58" i="1"/>
  <c r="J62" i="1" s="1"/>
  <c r="Q111" i="3"/>
  <c r="Q116" i="3"/>
  <c r="G58" i="1"/>
  <c r="G62" i="1" s="1"/>
  <c r="N111" i="3"/>
  <c r="N116" i="3"/>
  <c r="F58" i="1"/>
  <c r="F62" i="1" s="1"/>
  <c r="M111" i="3"/>
  <c r="M116" i="3"/>
  <c r="L58" i="1"/>
  <c r="L62" i="1" s="1"/>
  <c r="S111" i="3"/>
  <c r="S116" i="3"/>
  <c r="I58" i="1"/>
  <c r="I62" i="1" s="1"/>
  <c r="P111" i="3"/>
  <c r="P116" i="3" s="1"/>
  <c r="H58" i="1"/>
  <c r="H62" i="1" s="1"/>
  <c r="O111" i="3"/>
  <c r="O116" i="3" s="1"/>
  <c r="K58" i="1"/>
  <c r="K62" i="1" s="1"/>
  <c r="R111" i="3"/>
  <c r="R116" i="3"/>
  <c r="N62" i="1"/>
  <c r="M62" i="1"/>
  <c r="O62" i="1"/>
  <c r="U111" i="3"/>
  <c r="U116" i="3" s="1"/>
  <c r="V111" i="3"/>
  <c r="V116" i="3" s="1"/>
  <c r="T111" i="3"/>
  <c r="T116" i="3" s="1"/>
  <c r="W111" i="3"/>
  <c r="W116" i="3" s="1"/>
  <c r="AF109" i="17"/>
  <c r="AF106" i="17"/>
  <c r="AF113" i="17"/>
  <c r="AL115" i="17"/>
  <c r="AL117" i="17" s="1"/>
  <c r="AF80" i="17"/>
  <c r="AE115" i="17"/>
  <c r="AE117" i="17" s="1"/>
  <c r="AG112" i="17"/>
  <c r="AG111" i="17"/>
  <c r="AG108" i="17"/>
  <c r="AG105" i="17"/>
  <c r="AG102" i="17"/>
  <c r="AG101" i="17"/>
  <c r="AG100" i="17"/>
  <c r="AG99" i="17"/>
  <c r="AG98" i="17"/>
  <c r="AG97" i="17"/>
  <c r="AG96" i="17"/>
  <c r="AG93" i="17"/>
  <c r="AG92" i="17"/>
  <c r="AG91" i="17"/>
  <c r="AG90" i="17"/>
  <c r="AG89" i="17"/>
  <c r="AG88" i="17"/>
  <c r="AG87" i="17"/>
  <c r="AG86" i="17"/>
  <c r="AG85" i="17"/>
  <c r="AG84" i="17"/>
  <c r="AG83" i="17"/>
  <c r="AG82" i="17"/>
  <c r="AG78" i="17"/>
  <c r="AG73" i="17"/>
  <c r="AG79" i="17"/>
  <c r="AG77" i="17"/>
  <c r="AG72" i="17"/>
  <c r="AG69" i="17"/>
  <c r="AG66" i="17"/>
  <c r="AG65" i="17"/>
  <c r="AG64" i="17"/>
  <c r="AG76" i="17"/>
  <c r="AG71" i="17"/>
  <c r="AG67" i="17"/>
  <c r="AG70" i="17"/>
  <c r="AF94" i="17"/>
  <c r="AF103" i="17"/>
  <c r="AF74" i="17"/>
  <c r="U58" i="1" l="1"/>
  <c r="E62" i="1"/>
  <c r="AG109" i="17"/>
  <c r="AG106" i="17"/>
  <c r="AF115" i="17"/>
  <c r="AG94" i="17"/>
  <c r="AG113" i="17"/>
  <c r="AG74" i="17"/>
  <c r="AG103" i="17"/>
  <c r="AG80" i="17"/>
  <c r="AG115" i="17" l="1"/>
  <c r="AG117" i="17" s="1"/>
  <c r="K68" i="3" l="1"/>
  <c r="J61" i="3"/>
  <c r="J55" i="3"/>
  <c r="J49" i="3"/>
  <c r="J43" i="3"/>
  <c r="J37" i="3"/>
  <c r="J31" i="3"/>
  <c r="J25" i="3"/>
  <c r="J68" i="3" l="1"/>
  <c r="M8" i="6"/>
  <c r="K8" i="6"/>
  <c r="I8" i="6"/>
  <c r="G8" i="6"/>
  <c r="P91" i="7" l="1"/>
  <c r="P91" i="8" s="1"/>
  <c r="P91" i="9" s="1"/>
  <c r="P91" i="10" s="1"/>
  <c r="E91" i="7"/>
  <c r="E91" i="8" s="1"/>
  <c r="E91" i="9" s="1"/>
  <c r="E91" i="10" s="1"/>
  <c r="F91" i="7"/>
  <c r="F91" i="8" s="1"/>
  <c r="F91" i="9" s="1"/>
  <c r="F91" i="10" s="1"/>
  <c r="H91" i="7"/>
  <c r="H91" i="8" s="1"/>
  <c r="H91" i="9" s="1"/>
  <c r="H91" i="10" s="1"/>
  <c r="I91" i="7"/>
  <c r="I91" i="8" s="1"/>
  <c r="I91" i="9" s="1"/>
  <c r="I91" i="10" s="1"/>
  <c r="G91" i="7"/>
  <c r="G91" i="8" s="1"/>
  <c r="G91" i="9" s="1"/>
  <c r="G91" i="10" s="1"/>
  <c r="J91" i="7"/>
  <c r="J91" i="8" s="1"/>
  <c r="J91" i="9" s="1"/>
  <c r="J91" i="10" s="1"/>
  <c r="K91" i="7"/>
  <c r="K91" i="8" s="1"/>
  <c r="K91" i="9" s="1"/>
  <c r="K91" i="10" s="1"/>
  <c r="L91" i="7"/>
  <c r="L91" i="8" s="1"/>
  <c r="L91" i="9" s="1"/>
  <c r="L91" i="10" s="1"/>
  <c r="M91" i="7"/>
  <c r="M91" i="8" s="1"/>
  <c r="M91" i="9" s="1"/>
  <c r="M91" i="10" s="1"/>
  <c r="N91" i="7"/>
  <c r="N91" i="8" s="1"/>
  <c r="N91" i="9" s="1"/>
  <c r="N91" i="10" s="1"/>
  <c r="O91" i="7"/>
  <c r="O91" i="8" s="1"/>
  <c r="O91" i="9" s="1"/>
  <c r="O91" i="10" s="1"/>
  <c r="E21" i="7"/>
  <c r="E21" i="8" s="1"/>
  <c r="E21" i="9" s="1"/>
  <c r="E21" i="10" s="1"/>
  <c r="E19" i="7"/>
  <c r="E19" i="8" s="1"/>
  <c r="E19" i="9" s="1"/>
  <c r="E19" i="10" s="1"/>
  <c r="E15" i="7"/>
  <c r="E15" i="8" s="1"/>
  <c r="E15" i="9" s="1"/>
  <c r="E15" i="10" s="1"/>
  <c r="H24" i="7"/>
  <c r="H24" i="8" s="1"/>
  <c r="H24" i="9" s="1"/>
  <c r="H24" i="10" s="1"/>
  <c r="E20" i="7"/>
  <c r="E20" i="8" s="1"/>
  <c r="E20" i="9" s="1"/>
  <c r="E20" i="10" s="1"/>
  <c r="M21" i="7"/>
  <c r="M21" i="8" s="1"/>
  <c r="M21" i="9" s="1"/>
  <c r="M21" i="10" s="1"/>
  <c r="H15" i="7"/>
  <c r="H15" i="8" s="1"/>
  <c r="H15" i="9" s="1"/>
  <c r="H15" i="10" s="1"/>
  <c r="P24" i="7"/>
  <c r="P24" i="8" s="1"/>
  <c r="P24" i="9" s="1"/>
  <c r="P24" i="10" s="1"/>
  <c r="P20" i="7"/>
  <c r="P20" i="8" s="1"/>
  <c r="P20" i="9" s="1"/>
  <c r="P20" i="10" s="1"/>
  <c r="P16" i="7"/>
  <c r="P16" i="8" s="1"/>
  <c r="P16" i="9" s="1"/>
  <c r="P16" i="10" s="1"/>
  <c r="M24" i="7"/>
  <c r="M24" i="8" s="1"/>
  <c r="M24" i="9" s="1"/>
  <c r="M24" i="10" s="1"/>
  <c r="G24" i="7"/>
  <c r="G24" i="8" s="1"/>
  <c r="G24" i="9" s="1"/>
  <c r="G24" i="10" s="1"/>
  <c r="N21" i="7"/>
  <c r="N21" i="8" s="1"/>
  <c r="N21" i="9" s="1"/>
  <c r="N21" i="10" s="1"/>
  <c r="J19" i="7"/>
  <c r="J19" i="8" s="1"/>
  <c r="J19" i="9" s="1"/>
  <c r="J19" i="10" s="1"/>
  <c r="N24" i="7"/>
  <c r="N24" i="8" s="1"/>
  <c r="N24" i="9" s="1"/>
  <c r="N24" i="10" s="1"/>
  <c r="N20" i="7"/>
  <c r="N20" i="8" s="1"/>
  <c r="N20" i="9" s="1"/>
  <c r="N20" i="10" s="1"/>
  <c r="N16" i="7"/>
  <c r="N16" i="8" s="1"/>
  <c r="N16" i="9" s="1"/>
  <c r="N16" i="10" s="1"/>
  <c r="M20" i="7"/>
  <c r="M20" i="8" s="1"/>
  <c r="M20" i="9" s="1"/>
  <c r="M20" i="10" s="1"/>
  <c r="K20" i="7"/>
  <c r="K20" i="8" s="1"/>
  <c r="K20" i="9" s="1"/>
  <c r="K20" i="10" s="1"/>
  <c r="J16" i="7"/>
  <c r="J16" i="8" s="1"/>
  <c r="J16" i="9" s="1"/>
  <c r="J16" i="10" s="1"/>
  <c r="H20" i="7"/>
  <c r="H20" i="8" s="1"/>
  <c r="H20" i="9" s="1"/>
  <c r="H20" i="10" s="1"/>
  <c r="G16" i="7"/>
  <c r="G16" i="8" s="1"/>
  <c r="G16" i="9" s="1"/>
  <c r="G16" i="10" s="1"/>
  <c r="E16" i="7"/>
  <c r="E16" i="8" s="1"/>
  <c r="E16" i="9" s="1"/>
  <c r="E16" i="10" s="1"/>
  <c r="P15" i="7"/>
  <c r="P15" i="8" s="1"/>
  <c r="P15" i="9" s="1"/>
  <c r="P15" i="10" s="1"/>
  <c r="N15" i="7"/>
  <c r="N15" i="8" s="1"/>
  <c r="N15" i="9" s="1"/>
  <c r="N15" i="10" s="1"/>
  <c r="M15" i="7"/>
  <c r="M15" i="8" s="1"/>
  <c r="M15" i="9" s="1"/>
  <c r="M15" i="10" s="1"/>
  <c r="J21" i="7"/>
  <c r="J21" i="8" s="1"/>
  <c r="J21" i="9" s="1"/>
  <c r="J21" i="10" s="1"/>
  <c r="K24" i="7"/>
  <c r="K24" i="8" s="1"/>
  <c r="K24" i="9" s="1"/>
  <c r="K24" i="10" s="1"/>
  <c r="H16" i="7"/>
  <c r="H16" i="8" s="1"/>
  <c r="H16" i="9" s="1"/>
  <c r="H16" i="10" s="1"/>
  <c r="E24" i="7"/>
  <c r="E24" i="8" s="1"/>
  <c r="E24" i="9" s="1"/>
  <c r="E24" i="10" s="1"/>
  <c r="N19" i="7"/>
  <c r="N19" i="8" s="1"/>
  <c r="N19" i="9" s="1"/>
  <c r="N19" i="10" s="1"/>
  <c r="K21" i="7"/>
  <c r="K21" i="8" s="1"/>
  <c r="K21" i="9" s="1"/>
  <c r="K21" i="10" s="1"/>
  <c r="H19" i="7"/>
  <c r="H19" i="8" s="1"/>
  <c r="H19" i="9" s="1"/>
  <c r="H19" i="10" s="1"/>
  <c r="G15" i="7"/>
  <c r="G15" i="8" s="1"/>
  <c r="G15" i="9" s="1"/>
  <c r="G15" i="10" s="1"/>
  <c r="J24" i="7"/>
  <c r="J24" i="8" s="1"/>
  <c r="J24" i="9" s="1"/>
  <c r="J24" i="10" s="1"/>
  <c r="P21" i="7"/>
  <c r="P21" i="8" s="1"/>
  <c r="P21" i="9" s="1"/>
  <c r="P21" i="10" s="1"/>
  <c r="K15" i="7"/>
  <c r="K15" i="8" s="1"/>
  <c r="K15" i="9" s="1"/>
  <c r="K15" i="10" s="1"/>
  <c r="G21" i="7"/>
  <c r="G21" i="8" s="1"/>
  <c r="G21" i="9" s="1"/>
  <c r="G21" i="10" s="1"/>
  <c r="G20" i="7"/>
  <c r="G20" i="8" s="1"/>
  <c r="G20" i="9" s="1"/>
  <c r="G20" i="10" s="1"/>
  <c r="M19" i="7"/>
  <c r="M19" i="8" s="1"/>
  <c r="M19" i="9" s="1"/>
  <c r="M19" i="10" s="1"/>
  <c r="K19" i="7"/>
  <c r="K19" i="8" s="1"/>
  <c r="K19" i="9" s="1"/>
  <c r="K19" i="10" s="1"/>
  <c r="G19" i="7"/>
  <c r="G19" i="8" s="1"/>
  <c r="G19" i="9" s="1"/>
  <c r="G19" i="10" s="1"/>
  <c r="H21" i="7"/>
  <c r="H21" i="8" s="1"/>
  <c r="H21" i="9" s="1"/>
  <c r="H21" i="10" s="1"/>
  <c r="J15" i="7"/>
  <c r="J15" i="8" s="1"/>
  <c r="J15" i="9" s="1"/>
  <c r="J15" i="10" s="1"/>
  <c r="F24" i="7"/>
  <c r="F24" i="8" s="1"/>
  <c r="F24" i="9" s="1"/>
  <c r="F24" i="10" s="1"/>
  <c r="F21" i="7"/>
  <c r="F21" i="8" s="1"/>
  <c r="F21" i="9" s="1"/>
  <c r="F21" i="10" s="1"/>
  <c r="F15" i="7"/>
  <c r="F15" i="8" s="1"/>
  <c r="F15" i="9" s="1"/>
  <c r="F15" i="10" s="1"/>
  <c r="F19" i="7"/>
  <c r="F19" i="8" s="1"/>
  <c r="F19" i="9" s="1"/>
  <c r="F19" i="10" s="1"/>
  <c r="F20" i="7"/>
  <c r="F20" i="8" s="1"/>
  <c r="F20" i="9" s="1"/>
  <c r="F20" i="10" s="1"/>
  <c r="I15" i="7"/>
  <c r="I15" i="8" s="1"/>
  <c r="I15" i="9" s="1"/>
  <c r="I15" i="10" s="1"/>
  <c r="I24" i="7"/>
  <c r="I24" i="8" s="1"/>
  <c r="I24" i="9" s="1"/>
  <c r="I24" i="10" s="1"/>
  <c r="L19" i="7"/>
  <c r="L19" i="8" s="1"/>
  <c r="L19" i="9" s="1"/>
  <c r="L19" i="10" s="1"/>
  <c r="O15" i="7"/>
  <c r="O15" i="8" s="1"/>
  <c r="O15" i="9" s="1"/>
  <c r="O15" i="10" s="1"/>
  <c r="O21" i="7"/>
  <c r="O21" i="8" s="1"/>
  <c r="O21" i="9" s="1"/>
  <c r="O21" i="10" s="1"/>
  <c r="O19" i="7"/>
  <c r="O19" i="8" s="1"/>
  <c r="O19" i="9" s="1"/>
  <c r="O19" i="10" s="1"/>
  <c r="L20" i="7"/>
  <c r="L20" i="8" s="1"/>
  <c r="L20" i="9" s="1"/>
  <c r="L20" i="10" s="1"/>
  <c r="L21" i="7"/>
  <c r="L21" i="8" s="1"/>
  <c r="L21" i="9" s="1"/>
  <c r="L21" i="10" s="1"/>
  <c r="I21" i="7"/>
  <c r="I21" i="8" s="1"/>
  <c r="I21" i="9" s="1"/>
  <c r="I21" i="10" s="1"/>
  <c r="O24" i="7"/>
  <c r="O24" i="8" s="1"/>
  <c r="O24" i="9" s="1"/>
  <c r="O24" i="10" s="1"/>
  <c r="I20" i="7"/>
  <c r="I20" i="8" s="1"/>
  <c r="I20" i="9" s="1"/>
  <c r="I20" i="10" s="1"/>
  <c r="L24" i="7"/>
  <c r="L24" i="8" s="1"/>
  <c r="L24" i="9" s="1"/>
  <c r="L24" i="10" s="1"/>
  <c r="I19" i="7"/>
  <c r="I19" i="8" s="1"/>
  <c r="I19" i="9" s="1"/>
  <c r="I19" i="10" s="1"/>
  <c r="L15" i="7"/>
  <c r="L15" i="8" s="1"/>
  <c r="L15" i="9" s="1"/>
  <c r="L15" i="10" s="1"/>
  <c r="K107" i="3"/>
  <c r="Y31" i="3" l="1"/>
  <c r="Y55" i="3"/>
  <c r="Y67" i="3"/>
  <c r="Y13" i="3"/>
  <c r="Y25" i="3"/>
  <c r="Y37" i="3"/>
  <c r="Y68" i="3" l="1"/>
  <c r="AA13" i="3"/>
  <c r="AA67" i="3"/>
  <c r="AA37" i="3"/>
  <c r="AA55" i="3"/>
  <c r="AA43" i="3"/>
  <c r="AA31" i="3"/>
  <c r="AA61" i="3"/>
  <c r="AA49" i="3"/>
  <c r="AC25" i="3"/>
  <c r="AA68" i="3" l="1"/>
  <c r="AE61" i="3"/>
  <c r="AC61" i="3"/>
  <c r="AE55" i="3"/>
  <c r="AC55" i="3"/>
  <c r="AE31" i="3"/>
  <c r="AC31" i="3"/>
  <c r="AE37" i="3"/>
  <c r="AC37" i="3"/>
  <c r="AC13" i="3"/>
  <c r="AE43" i="3"/>
  <c r="AC43" i="3"/>
  <c r="AE67" i="3"/>
  <c r="AC67" i="3"/>
  <c r="AE49" i="3"/>
  <c r="AC49" i="3"/>
  <c r="AE25" i="3"/>
  <c r="AC68" i="3" l="1"/>
  <c r="AE13" i="3"/>
  <c r="AE68" i="3" l="1"/>
  <c r="H23" i="2"/>
  <c r="J23" i="2" s="1"/>
  <c r="L23" i="2" s="1"/>
  <c r="N23" i="2" s="1"/>
  <c r="S21" i="1" l="1"/>
  <c r="A3" i="11"/>
  <c r="A3" i="10"/>
  <c r="A3" i="9"/>
  <c r="A3" i="8"/>
  <c r="A3" i="7"/>
  <c r="A3" i="6"/>
  <c r="X21" i="1" l="1"/>
  <c r="U21" i="7"/>
  <c r="AD21" i="1"/>
  <c r="AA21" i="1"/>
  <c r="S21" i="7" l="1"/>
  <c r="V21" i="7" s="1"/>
  <c r="H22" i="2"/>
  <c r="J22" i="2" s="1"/>
  <c r="L22" i="2" s="1"/>
  <c r="N22" i="2" s="1"/>
  <c r="U21" i="8" l="1"/>
  <c r="E112" i="17" l="1"/>
  <c r="A1" i="11"/>
  <c r="P25" i="1"/>
  <c r="U25" i="1" l="1"/>
  <c r="E17" i="11" s="1"/>
  <c r="Z303" i="4"/>
  <c r="U112" i="1"/>
  <c r="AN112" i="17"/>
  <c r="E147" i="5"/>
  <c r="F147" i="5"/>
  <c r="G147" i="5"/>
  <c r="H147" i="5"/>
  <c r="I147" i="5"/>
  <c r="J147" i="5"/>
  <c r="K147" i="5"/>
  <c r="L147" i="5"/>
  <c r="M147" i="5"/>
  <c r="N147" i="5"/>
  <c r="O147" i="5"/>
  <c r="P147" i="5"/>
  <c r="E148" i="5"/>
  <c r="F148" i="5"/>
  <c r="G148" i="5"/>
  <c r="H148" i="5"/>
  <c r="I148" i="5"/>
  <c r="J148" i="5"/>
  <c r="K148" i="5"/>
  <c r="L148" i="5"/>
  <c r="M148" i="5"/>
  <c r="N148" i="5"/>
  <c r="O148" i="5"/>
  <c r="P148" i="5"/>
  <c r="E149" i="5"/>
  <c r="F149" i="5"/>
  <c r="G149" i="5"/>
  <c r="H149" i="5"/>
  <c r="I149" i="5"/>
  <c r="J149" i="5"/>
  <c r="K149" i="5"/>
  <c r="L149" i="5"/>
  <c r="M149" i="5"/>
  <c r="N149" i="5"/>
  <c r="O149" i="5"/>
  <c r="P149" i="5"/>
  <c r="E150" i="5"/>
  <c r="F150" i="5"/>
  <c r="G150" i="5"/>
  <c r="H150" i="5"/>
  <c r="I150" i="5"/>
  <c r="J150" i="5"/>
  <c r="K150" i="5"/>
  <c r="L150" i="5"/>
  <c r="M150" i="5"/>
  <c r="N150" i="5"/>
  <c r="O150" i="5"/>
  <c r="P150" i="5"/>
  <c r="E151" i="5"/>
  <c r="F151" i="5"/>
  <c r="G151" i="5"/>
  <c r="H151" i="5"/>
  <c r="I151" i="5"/>
  <c r="J151" i="5"/>
  <c r="K151" i="5"/>
  <c r="L151" i="5"/>
  <c r="M151" i="5"/>
  <c r="N151" i="5"/>
  <c r="O151" i="5"/>
  <c r="P151" i="5"/>
  <c r="E152" i="5"/>
  <c r="F152" i="5"/>
  <c r="G152" i="5"/>
  <c r="H152" i="5"/>
  <c r="I152" i="5"/>
  <c r="J152" i="5"/>
  <c r="K152" i="5"/>
  <c r="L152" i="5"/>
  <c r="M152" i="5"/>
  <c r="N152" i="5"/>
  <c r="O152" i="5"/>
  <c r="P152" i="5"/>
  <c r="E153" i="5"/>
  <c r="F153" i="5"/>
  <c r="G153" i="5"/>
  <c r="H153" i="5"/>
  <c r="I153" i="5"/>
  <c r="J153" i="5"/>
  <c r="K153" i="5"/>
  <c r="L153" i="5"/>
  <c r="M153" i="5"/>
  <c r="N153" i="5"/>
  <c r="O153" i="5"/>
  <c r="P153" i="5"/>
  <c r="E154" i="5"/>
  <c r="F154" i="5"/>
  <c r="G154" i="5"/>
  <c r="H154" i="5"/>
  <c r="I154" i="5"/>
  <c r="J154" i="5"/>
  <c r="K154" i="5"/>
  <c r="L154" i="5"/>
  <c r="M154" i="5"/>
  <c r="N154" i="5"/>
  <c r="O154" i="5"/>
  <c r="P154" i="5"/>
  <c r="E155" i="5"/>
  <c r="F155" i="5"/>
  <c r="G155" i="5"/>
  <c r="H155" i="5"/>
  <c r="I155" i="5"/>
  <c r="J155" i="5"/>
  <c r="K155" i="5"/>
  <c r="L155" i="5"/>
  <c r="M155" i="5"/>
  <c r="N155" i="5"/>
  <c r="O155" i="5"/>
  <c r="P155" i="5"/>
  <c r="E156" i="5"/>
  <c r="F156" i="5"/>
  <c r="G156" i="5"/>
  <c r="H156" i="5"/>
  <c r="I156" i="5"/>
  <c r="J156" i="5"/>
  <c r="K156" i="5"/>
  <c r="L156" i="5"/>
  <c r="M156" i="5"/>
  <c r="N156" i="5"/>
  <c r="O156" i="5"/>
  <c r="P156" i="5"/>
  <c r="E157" i="5"/>
  <c r="F157" i="5"/>
  <c r="G157" i="5"/>
  <c r="H157" i="5"/>
  <c r="I157" i="5"/>
  <c r="J157" i="5"/>
  <c r="K157" i="5"/>
  <c r="L157" i="5"/>
  <c r="M157" i="5"/>
  <c r="N157" i="5"/>
  <c r="O157" i="5"/>
  <c r="P157" i="5"/>
  <c r="F146" i="5"/>
  <c r="G146" i="5"/>
  <c r="H146" i="5"/>
  <c r="I146" i="5"/>
  <c r="J146" i="5"/>
  <c r="K146" i="5"/>
  <c r="L146" i="5"/>
  <c r="M146" i="5"/>
  <c r="N146" i="5"/>
  <c r="O146" i="5"/>
  <c r="P146" i="5"/>
  <c r="E146" i="5"/>
  <c r="G17" i="11" l="1"/>
  <c r="J160" i="5"/>
  <c r="L160" i="5"/>
  <c r="P160" i="5"/>
  <c r="H160" i="5"/>
  <c r="I160" i="5"/>
  <c r="K160" i="5"/>
  <c r="E160" i="5"/>
  <c r="O160" i="5"/>
  <c r="N160" i="5"/>
  <c r="F160" i="5"/>
  <c r="G160" i="5"/>
  <c r="M160" i="5"/>
  <c r="G9" i="16" l="1"/>
  <c r="G41" i="16" s="1"/>
  <c r="Q160" i="5"/>
  <c r="M92" i="1" l="1"/>
  <c r="N92" i="1"/>
  <c r="L92" i="1"/>
  <c r="I92" i="1"/>
  <c r="G92" i="1"/>
  <c r="P92" i="1"/>
  <c r="P92" i="7" s="1"/>
  <c r="P92" i="8" s="1"/>
  <c r="P92" i="9" s="1"/>
  <c r="P92" i="10" s="1"/>
  <c r="K92" i="1"/>
  <c r="J92" i="1"/>
  <c r="F92" i="1"/>
  <c r="O92" i="1"/>
  <c r="H92" i="1"/>
  <c r="H92" i="7" s="1"/>
  <c r="H92" i="8" s="1"/>
  <c r="H92" i="9" s="1"/>
  <c r="H92" i="10" s="1"/>
  <c r="R246" i="4"/>
  <c r="L100" i="1" s="1"/>
  <c r="L100" i="7" s="1"/>
  <c r="L100" i="8" s="1"/>
  <c r="L100" i="9" s="1"/>
  <c r="L100" i="10" s="1"/>
  <c r="O246" i="4"/>
  <c r="I100" i="1" s="1"/>
  <c r="I100" i="7" s="1"/>
  <c r="I100" i="8" s="1"/>
  <c r="I100" i="9" s="1"/>
  <c r="I100" i="10" s="1"/>
  <c r="M246" i="4"/>
  <c r="G100" i="1" s="1"/>
  <c r="G100" i="7" s="1"/>
  <c r="G100" i="8" s="1"/>
  <c r="G100" i="9" s="1"/>
  <c r="G100" i="10" s="1"/>
  <c r="Q246" i="4"/>
  <c r="K100" i="1" s="1"/>
  <c r="K100" i="7" s="1"/>
  <c r="K100" i="8" s="1"/>
  <c r="K100" i="9" s="1"/>
  <c r="K100" i="10" s="1"/>
  <c r="T246" i="4"/>
  <c r="N100" i="1" s="1"/>
  <c r="N100" i="7" s="1"/>
  <c r="N100" i="8" s="1"/>
  <c r="N100" i="9" s="1"/>
  <c r="N100" i="10" s="1"/>
  <c r="P246" i="4"/>
  <c r="J100" i="1" s="1"/>
  <c r="J100" i="7" s="1"/>
  <c r="J100" i="8" s="1"/>
  <c r="J100" i="9" s="1"/>
  <c r="J100" i="10" s="1"/>
  <c r="N246" i="4"/>
  <c r="H100" i="1" s="1"/>
  <c r="H100" i="7" s="1"/>
  <c r="H100" i="8" s="1"/>
  <c r="H100" i="9" s="1"/>
  <c r="H100" i="10" s="1"/>
  <c r="U246" i="4"/>
  <c r="O100" i="1" s="1"/>
  <c r="O100" i="7" s="1"/>
  <c r="O100" i="8" s="1"/>
  <c r="O100" i="9" s="1"/>
  <c r="O100" i="10" s="1"/>
  <c r="L246" i="4"/>
  <c r="F100" i="1" s="1"/>
  <c r="F100" i="7" s="1"/>
  <c r="F100" i="8" s="1"/>
  <c r="F100" i="9" s="1"/>
  <c r="F100" i="10" s="1"/>
  <c r="V246" i="4"/>
  <c r="P100" i="1" s="1"/>
  <c r="P100" i="7" s="1"/>
  <c r="P100" i="8" s="1"/>
  <c r="P100" i="9" s="1"/>
  <c r="P100" i="10" s="1"/>
  <c r="H246" i="4"/>
  <c r="Z246" i="4" s="1"/>
  <c r="S246" i="4"/>
  <c r="M100" i="1" s="1"/>
  <c r="M100" i="7" s="1"/>
  <c r="M100" i="8" s="1"/>
  <c r="M100" i="9" s="1"/>
  <c r="M100" i="10" s="1"/>
  <c r="H9" i="16"/>
  <c r="F36" i="11"/>
  <c r="O94" i="1" l="1"/>
  <c r="O92" i="7"/>
  <c r="O92" i="8" s="1"/>
  <c r="O92" i="9" s="1"/>
  <c r="O92" i="10" s="1"/>
  <c r="F94" i="1"/>
  <c r="F92" i="7"/>
  <c r="F92" i="8" s="1"/>
  <c r="F92" i="9" s="1"/>
  <c r="F92" i="10" s="1"/>
  <c r="J94" i="1"/>
  <c r="J92" i="7"/>
  <c r="J92" i="8" s="1"/>
  <c r="J92" i="9" s="1"/>
  <c r="J92" i="10" s="1"/>
  <c r="K94" i="1"/>
  <c r="K92" i="7"/>
  <c r="K92" i="8" s="1"/>
  <c r="K92" i="9" s="1"/>
  <c r="K92" i="10" s="1"/>
  <c r="G94" i="1"/>
  <c r="G92" i="7"/>
  <c r="G92" i="8" s="1"/>
  <c r="G92" i="9" s="1"/>
  <c r="G92" i="10" s="1"/>
  <c r="L94" i="1"/>
  <c r="L92" i="7"/>
  <c r="L92" i="8" s="1"/>
  <c r="L92" i="9" s="1"/>
  <c r="L92" i="10" s="1"/>
  <c r="N94" i="1"/>
  <c r="N92" i="7"/>
  <c r="N92" i="8" s="1"/>
  <c r="N92" i="9" s="1"/>
  <c r="N92" i="10" s="1"/>
  <c r="I94" i="1"/>
  <c r="I92" i="7"/>
  <c r="I92" i="8" s="1"/>
  <c r="I92" i="9" s="1"/>
  <c r="I92" i="10" s="1"/>
  <c r="M94" i="1"/>
  <c r="M92" i="7"/>
  <c r="M92" i="8" s="1"/>
  <c r="M92" i="9" s="1"/>
  <c r="M92" i="10" s="1"/>
  <c r="L99" i="1"/>
  <c r="K99" i="1"/>
  <c r="F99" i="1"/>
  <c r="H99" i="1"/>
  <c r="H99" i="7" s="1"/>
  <c r="H99" i="8" s="1"/>
  <c r="H99" i="9" s="1"/>
  <c r="H99" i="10" s="1"/>
  <c r="J99" i="1"/>
  <c r="M99" i="1"/>
  <c r="Z237" i="4"/>
  <c r="N99" i="1"/>
  <c r="O99" i="1"/>
  <c r="P99" i="1"/>
  <c r="P99" i="7" s="1"/>
  <c r="P99" i="8" s="1"/>
  <c r="P99" i="9" s="1"/>
  <c r="P99" i="10" s="1"/>
  <c r="G99" i="1"/>
  <c r="I99" i="1"/>
  <c r="H94" i="1"/>
  <c r="W240" i="4"/>
  <c r="W246" i="4" s="1"/>
  <c r="X246" i="4" s="1"/>
  <c r="X237" i="4"/>
  <c r="E92" i="1"/>
  <c r="E92" i="7" s="1"/>
  <c r="E92" i="8" s="1"/>
  <c r="E92" i="9" s="1"/>
  <c r="E92" i="10" s="1"/>
  <c r="E99" i="1"/>
  <c r="E99" i="7" s="1"/>
  <c r="E99" i="8" s="1"/>
  <c r="E99" i="9" s="1"/>
  <c r="E99" i="10" s="1"/>
  <c r="K246" i="4"/>
  <c r="E100" i="1" s="1"/>
  <c r="S136" i="10"/>
  <c r="M147" i="6" s="1"/>
  <c r="S135" i="10"/>
  <c r="M146" i="6" s="1"/>
  <c r="S133" i="10"/>
  <c r="M144" i="6" s="1"/>
  <c r="S132" i="10"/>
  <c r="M143" i="6" s="1"/>
  <c r="S130" i="10"/>
  <c r="M141" i="6" s="1"/>
  <c r="S129" i="10"/>
  <c r="M140" i="6" s="1"/>
  <c r="S127" i="10"/>
  <c r="M138" i="6" s="1"/>
  <c r="S126" i="10"/>
  <c r="M137" i="6" s="1"/>
  <c r="S125" i="10"/>
  <c r="M136" i="6" s="1"/>
  <c r="S124" i="10"/>
  <c r="M135" i="6" s="1"/>
  <c r="F4" i="10"/>
  <c r="G4" i="10" s="1"/>
  <c r="H4" i="10" s="1"/>
  <c r="I4" i="10" s="1"/>
  <c r="J4" i="10" s="1"/>
  <c r="K4" i="10" s="1"/>
  <c r="L4" i="10" s="1"/>
  <c r="M4" i="10" s="1"/>
  <c r="N4" i="10" s="1"/>
  <c r="O4" i="10" s="1"/>
  <c r="P4" i="10" s="1"/>
  <c r="A1" i="10"/>
  <c r="S136" i="9"/>
  <c r="K147" i="6" s="1"/>
  <c r="S135" i="9"/>
  <c r="K146" i="6" s="1"/>
  <c r="S133" i="9"/>
  <c r="K144" i="6" s="1"/>
  <c r="S132" i="9"/>
  <c r="K143" i="6" s="1"/>
  <c r="S130" i="9"/>
  <c r="K141" i="6" s="1"/>
  <c r="S129" i="9"/>
  <c r="K140" i="6" s="1"/>
  <c r="S127" i="9"/>
  <c r="K138" i="6" s="1"/>
  <c r="S126" i="9"/>
  <c r="K137" i="6" s="1"/>
  <c r="S125" i="9"/>
  <c r="K136" i="6" s="1"/>
  <c r="S124" i="9"/>
  <c r="K135" i="6" s="1"/>
  <c r="F4" i="9"/>
  <c r="G4" i="9" s="1"/>
  <c r="H4" i="9" s="1"/>
  <c r="I4" i="9" s="1"/>
  <c r="J4" i="9" s="1"/>
  <c r="K4" i="9" s="1"/>
  <c r="L4" i="9" s="1"/>
  <c r="M4" i="9" s="1"/>
  <c r="N4" i="9" s="1"/>
  <c r="O4" i="9" s="1"/>
  <c r="P4" i="9" s="1"/>
  <c r="A1" i="9"/>
  <c r="M103" i="1" l="1"/>
  <c r="M115" i="1" s="1"/>
  <c r="M99" i="7"/>
  <c r="M99" i="8" s="1"/>
  <c r="M99" i="9" s="1"/>
  <c r="M99" i="10" s="1"/>
  <c r="G103" i="1"/>
  <c r="G115" i="1" s="1"/>
  <c r="G117" i="1" s="1"/>
  <c r="G99" i="7"/>
  <c r="G99" i="8" s="1"/>
  <c r="G99" i="9" s="1"/>
  <c r="G99" i="10" s="1"/>
  <c r="J103" i="1"/>
  <c r="J115" i="1" s="1"/>
  <c r="J99" i="7"/>
  <c r="J99" i="8" s="1"/>
  <c r="J99" i="9" s="1"/>
  <c r="J99" i="10" s="1"/>
  <c r="F103" i="1"/>
  <c r="F115" i="1" s="1"/>
  <c r="F117" i="1" s="1"/>
  <c r="F99" i="7"/>
  <c r="F99" i="8" s="1"/>
  <c r="F99" i="9" s="1"/>
  <c r="F99" i="10" s="1"/>
  <c r="U100" i="1"/>
  <c r="E100" i="7"/>
  <c r="E100" i="8" s="1"/>
  <c r="E100" i="9" s="1"/>
  <c r="E100" i="10" s="1"/>
  <c r="K103" i="1"/>
  <c r="K115" i="1" s="1"/>
  <c r="K99" i="7"/>
  <c r="K99" i="8" s="1"/>
  <c r="K99" i="9" s="1"/>
  <c r="K99" i="10" s="1"/>
  <c r="L103" i="1"/>
  <c r="L115" i="1" s="1"/>
  <c r="L117" i="1" s="1"/>
  <c r="L99" i="7"/>
  <c r="L99" i="8" s="1"/>
  <c r="L99" i="9" s="1"/>
  <c r="L99" i="10" s="1"/>
  <c r="O103" i="1"/>
  <c r="O115" i="1" s="1"/>
  <c r="O99" i="7"/>
  <c r="O99" i="8" s="1"/>
  <c r="O99" i="9" s="1"/>
  <c r="O99" i="10" s="1"/>
  <c r="N103" i="1"/>
  <c r="N115" i="1" s="1"/>
  <c r="N117" i="1" s="1"/>
  <c r="N99" i="7"/>
  <c r="N99" i="8" s="1"/>
  <c r="N99" i="9" s="1"/>
  <c r="N99" i="10" s="1"/>
  <c r="I103" i="1"/>
  <c r="I115" i="1" s="1"/>
  <c r="I99" i="7"/>
  <c r="I99" i="8" s="1"/>
  <c r="I99" i="9" s="1"/>
  <c r="I99" i="10" s="1"/>
  <c r="H115" i="1"/>
  <c r="H117" i="1" s="1"/>
  <c r="H103" i="1"/>
  <c r="E103" i="1"/>
  <c r="U99" i="1"/>
  <c r="E94" i="1"/>
  <c r="U92" i="1"/>
  <c r="S99" i="1"/>
  <c r="S136" i="8"/>
  <c r="I147" i="6" s="1"/>
  <c r="S135" i="8"/>
  <c r="I146" i="6" s="1"/>
  <c r="S133" i="8"/>
  <c r="I144" i="6" s="1"/>
  <c r="S132" i="8"/>
  <c r="I143" i="6" s="1"/>
  <c r="S130" i="8"/>
  <c r="I141" i="6" s="1"/>
  <c r="S129" i="8"/>
  <c r="I140" i="6" s="1"/>
  <c r="S127" i="8"/>
  <c r="I138" i="6" s="1"/>
  <c r="S126" i="8"/>
  <c r="I137" i="6" s="1"/>
  <c r="S125" i="8"/>
  <c r="I136" i="6" s="1"/>
  <c r="S124" i="8"/>
  <c r="I135" i="6" s="1"/>
  <c r="F4" i="8"/>
  <c r="G4" i="8" s="1"/>
  <c r="H4" i="8" s="1"/>
  <c r="I4" i="8" s="1"/>
  <c r="J4" i="8" s="1"/>
  <c r="K4" i="8" s="1"/>
  <c r="L4" i="8" s="1"/>
  <c r="M4" i="8" s="1"/>
  <c r="N4" i="8" s="1"/>
  <c r="O4" i="8" s="1"/>
  <c r="P4" i="8" s="1"/>
  <c r="A1" i="8"/>
  <c r="E115" i="1" l="1"/>
  <c r="E117" i="1" s="1"/>
  <c r="S136" i="7"/>
  <c r="G147" i="6" s="1"/>
  <c r="S135" i="7"/>
  <c r="G146" i="6" s="1"/>
  <c r="S133" i="7"/>
  <c r="G144" i="6" s="1"/>
  <c r="S132" i="7"/>
  <c r="G143" i="6" s="1"/>
  <c r="S130" i="7"/>
  <c r="G141" i="6" s="1"/>
  <c r="S129" i="7"/>
  <c r="G140" i="6" s="1"/>
  <c r="S127" i="7"/>
  <c r="G138" i="6" s="1"/>
  <c r="S126" i="7"/>
  <c r="G137" i="6" s="1"/>
  <c r="S125" i="7"/>
  <c r="G136" i="6" s="1"/>
  <c r="S124" i="7"/>
  <c r="G135" i="6" s="1"/>
  <c r="F4" i="7"/>
  <c r="G4" i="7" s="1"/>
  <c r="H4" i="7" s="1"/>
  <c r="I4" i="7" s="1"/>
  <c r="J4" i="7" s="1"/>
  <c r="K4" i="7" s="1"/>
  <c r="L4" i="7" s="1"/>
  <c r="M4" i="7" s="1"/>
  <c r="N4" i="7" s="1"/>
  <c r="O4" i="7" s="1"/>
  <c r="P4" i="7" s="1"/>
  <c r="A1" i="7"/>
  <c r="M9" i="6"/>
  <c r="K9" i="6"/>
  <c r="I9" i="6"/>
  <c r="G9" i="6"/>
  <c r="G7" i="6"/>
  <c r="E7" i="6"/>
  <c r="S136" i="1"/>
  <c r="S135" i="1"/>
  <c r="S133" i="1"/>
  <c r="S132" i="1"/>
  <c r="S130" i="1"/>
  <c r="S129" i="1"/>
  <c r="S127" i="1"/>
  <c r="S126" i="1"/>
  <c r="S125" i="1"/>
  <c r="S124" i="1"/>
  <c r="F51" i="8" l="1"/>
  <c r="F51" i="9" s="1"/>
  <c r="F51" i="10" s="1"/>
  <c r="O57" i="8"/>
  <c r="O57" i="9" s="1"/>
  <c r="O57" i="10" s="1"/>
  <c r="J108" i="7"/>
  <c r="F108" i="7"/>
  <c r="K108" i="7"/>
  <c r="L108" i="7"/>
  <c r="H108" i="7"/>
  <c r="J79" i="7"/>
  <c r="M108" i="7"/>
  <c r="G108" i="7"/>
  <c r="K79" i="7"/>
  <c r="N108" i="7"/>
  <c r="L79" i="7"/>
  <c r="O108" i="7"/>
  <c r="M79" i="7"/>
  <c r="P108" i="7"/>
  <c r="N79" i="7"/>
  <c r="O79" i="7"/>
  <c r="F79" i="7"/>
  <c r="G79" i="7"/>
  <c r="I108" i="7"/>
  <c r="H79" i="7"/>
  <c r="I79" i="7"/>
  <c r="E35" i="7"/>
  <c r="E35" i="8" s="1"/>
  <c r="E35" i="9" s="1"/>
  <c r="E35" i="10" s="1"/>
  <c r="F35" i="7"/>
  <c r="F35" i="8" s="1"/>
  <c r="F35" i="9" s="1"/>
  <c r="F35" i="10" s="1"/>
  <c r="L35" i="7"/>
  <c r="L35" i="8" s="1"/>
  <c r="L35" i="9" s="1"/>
  <c r="L35" i="10" s="1"/>
  <c r="O35" i="7"/>
  <c r="O35" i="8" s="1"/>
  <c r="O35" i="9" s="1"/>
  <c r="O35" i="10" s="1"/>
  <c r="G35" i="7"/>
  <c r="G35" i="8" s="1"/>
  <c r="G35" i="9" s="1"/>
  <c r="G35" i="10" s="1"/>
  <c r="H35" i="7"/>
  <c r="H35" i="8" s="1"/>
  <c r="H35" i="9" s="1"/>
  <c r="H35" i="10" s="1"/>
  <c r="N35" i="7"/>
  <c r="N35" i="8" s="1"/>
  <c r="N35" i="9" s="1"/>
  <c r="N35" i="10" s="1"/>
  <c r="P35" i="7"/>
  <c r="P35" i="8" s="1"/>
  <c r="P35" i="9" s="1"/>
  <c r="P35" i="10" s="1"/>
  <c r="J35" i="7"/>
  <c r="J35" i="8" s="1"/>
  <c r="J35" i="9" s="1"/>
  <c r="J35" i="10" s="1"/>
  <c r="I35" i="7"/>
  <c r="I35" i="8" s="1"/>
  <c r="I35" i="9" s="1"/>
  <c r="I35" i="10" s="1"/>
  <c r="K35" i="7"/>
  <c r="K35" i="8" s="1"/>
  <c r="K35" i="9" s="1"/>
  <c r="K35" i="10" s="1"/>
  <c r="M35" i="7"/>
  <c r="M35" i="8" s="1"/>
  <c r="M35" i="9" s="1"/>
  <c r="M35" i="10" s="1"/>
  <c r="I68" i="7"/>
  <c r="I68" i="8" s="1"/>
  <c r="I68" i="9" s="1"/>
  <c r="I68" i="10" s="1"/>
  <c r="N68" i="7"/>
  <c r="N68" i="8" s="1"/>
  <c r="N68" i="9" s="1"/>
  <c r="N68" i="10" s="1"/>
  <c r="H68" i="7"/>
  <c r="H68" i="8" s="1"/>
  <c r="H68" i="9" s="1"/>
  <c r="H68" i="10" s="1"/>
  <c r="E68" i="7"/>
  <c r="E68" i="8" s="1"/>
  <c r="E68" i="9" s="1"/>
  <c r="E68" i="10" s="1"/>
  <c r="G68" i="7"/>
  <c r="G68" i="8" s="1"/>
  <c r="G68" i="9" s="1"/>
  <c r="G68" i="10" s="1"/>
  <c r="J68" i="7"/>
  <c r="J68" i="8" s="1"/>
  <c r="J68" i="9" s="1"/>
  <c r="J68" i="10" s="1"/>
  <c r="P68" i="7"/>
  <c r="P68" i="8" s="1"/>
  <c r="P68" i="9" s="1"/>
  <c r="P68" i="10" s="1"/>
  <c r="L68" i="7"/>
  <c r="L68" i="8" s="1"/>
  <c r="L68" i="9" s="1"/>
  <c r="L68" i="10" s="1"/>
  <c r="M68" i="7"/>
  <c r="M68" i="8" s="1"/>
  <c r="M68" i="9" s="1"/>
  <c r="M68" i="10" s="1"/>
  <c r="K68" i="7"/>
  <c r="K68" i="8" s="1"/>
  <c r="K68" i="9" s="1"/>
  <c r="K68" i="10" s="1"/>
  <c r="F68" i="7"/>
  <c r="F68" i="8" s="1"/>
  <c r="F68" i="9" s="1"/>
  <c r="F68" i="10" s="1"/>
  <c r="O68" i="7"/>
  <c r="O68" i="8" s="1"/>
  <c r="O68" i="9" s="1"/>
  <c r="O68" i="10" s="1"/>
  <c r="M49" i="7"/>
  <c r="M49" i="8" s="1"/>
  <c r="M49" i="9" s="1"/>
  <c r="M49" i="10" s="1"/>
  <c r="L49" i="7"/>
  <c r="L49" i="8" s="1"/>
  <c r="L49" i="9" s="1"/>
  <c r="L49" i="10" s="1"/>
  <c r="J49" i="7"/>
  <c r="J49" i="8" s="1"/>
  <c r="J49" i="9" s="1"/>
  <c r="J49" i="10" s="1"/>
  <c r="I49" i="7"/>
  <c r="I49" i="8" s="1"/>
  <c r="I49" i="9" s="1"/>
  <c r="I49" i="10" s="1"/>
  <c r="H49" i="7"/>
  <c r="H49" i="8" s="1"/>
  <c r="H49" i="9" s="1"/>
  <c r="H49" i="10" s="1"/>
  <c r="G49" i="7"/>
  <c r="G49" i="8" s="1"/>
  <c r="G49" i="9" s="1"/>
  <c r="G49" i="10" s="1"/>
  <c r="E49" i="7"/>
  <c r="E49" i="8" s="1"/>
  <c r="E49" i="9" s="1"/>
  <c r="E49" i="10" s="1"/>
  <c r="P49" i="7"/>
  <c r="P49" i="8" s="1"/>
  <c r="P49" i="9" s="1"/>
  <c r="P49" i="10" s="1"/>
  <c r="F49" i="7"/>
  <c r="F49" i="8" s="1"/>
  <c r="F49" i="9" s="1"/>
  <c r="F49" i="10" s="1"/>
  <c r="O49" i="7"/>
  <c r="O49" i="8" s="1"/>
  <c r="O49" i="9" s="1"/>
  <c r="O49" i="10" s="1"/>
  <c r="N49" i="7"/>
  <c r="N49" i="8" s="1"/>
  <c r="N49" i="9" s="1"/>
  <c r="N49" i="10" s="1"/>
  <c r="K49" i="7"/>
  <c r="K49" i="8" s="1"/>
  <c r="K49" i="9" s="1"/>
  <c r="K49" i="10" s="1"/>
  <c r="K53" i="7"/>
  <c r="K53" i="8" s="1"/>
  <c r="K53" i="9" s="1"/>
  <c r="K53" i="10" s="1"/>
  <c r="F31" i="7"/>
  <c r="F31" i="8" s="1"/>
  <c r="F31" i="9" s="1"/>
  <c r="F31" i="10" s="1"/>
  <c r="P36" i="7"/>
  <c r="P36" i="8" s="1"/>
  <c r="P36" i="9" s="1"/>
  <c r="P36" i="10" s="1"/>
  <c r="G31" i="7"/>
  <c r="G31" i="8" s="1"/>
  <c r="G31" i="9" s="1"/>
  <c r="G31" i="10" s="1"/>
  <c r="M34" i="7"/>
  <c r="M34" i="8" s="1"/>
  <c r="M34" i="9" s="1"/>
  <c r="M34" i="10" s="1"/>
  <c r="J37" i="7"/>
  <c r="J37" i="8" s="1"/>
  <c r="J37" i="9" s="1"/>
  <c r="J37" i="10" s="1"/>
  <c r="F36" i="7"/>
  <c r="F36" i="8" s="1"/>
  <c r="F36" i="9" s="1"/>
  <c r="F36" i="10" s="1"/>
  <c r="K31" i="7"/>
  <c r="K31" i="8" s="1"/>
  <c r="K31" i="9" s="1"/>
  <c r="K31" i="10" s="1"/>
  <c r="M31" i="7"/>
  <c r="M31" i="8" s="1"/>
  <c r="M31" i="9" s="1"/>
  <c r="M31" i="10" s="1"/>
  <c r="L39" i="7"/>
  <c r="L39" i="8" s="1"/>
  <c r="L39" i="9" s="1"/>
  <c r="L39" i="10" s="1"/>
  <c r="N47" i="7"/>
  <c r="N47" i="8" s="1"/>
  <c r="N47" i="9" s="1"/>
  <c r="N47" i="10" s="1"/>
  <c r="J53" i="7"/>
  <c r="J53" i="8" s="1"/>
  <c r="J53" i="9" s="1"/>
  <c r="J53" i="10" s="1"/>
  <c r="K55" i="7"/>
  <c r="K55" i="8" s="1"/>
  <c r="K55" i="9" s="1"/>
  <c r="K55" i="10" s="1"/>
  <c r="L38" i="7"/>
  <c r="L38" i="8" s="1"/>
  <c r="L38" i="9" s="1"/>
  <c r="L38" i="10" s="1"/>
  <c r="M38" i="7"/>
  <c r="M38" i="8" s="1"/>
  <c r="M38" i="9" s="1"/>
  <c r="M38" i="10" s="1"/>
  <c r="J31" i="7"/>
  <c r="J31" i="8" s="1"/>
  <c r="J31" i="9" s="1"/>
  <c r="J31" i="10" s="1"/>
  <c r="G40" i="7"/>
  <c r="G40" i="8" s="1"/>
  <c r="G40" i="9" s="1"/>
  <c r="G40" i="10" s="1"/>
  <c r="J34" i="7"/>
  <c r="J34" i="8" s="1"/>
  <c r="J34" i="9" s="1"/>
  <c r="J34" i="10" s="1"/>
  <c r="M40" i="7"/>
  <c r="M40" i="8" s="1"/>
  <c r="M40" i="9" s="1"/>
  <c r="M40" i="10" s="1"/>
  <c r="L47" i="7"/>
  <c r="L47" i="8" s="1"/>
  <c r="L47" i="9" s="1"/>
  <c r="L47" i="10" s="1"/>
  <c r="I53" i="7"/>
  <c r="I53" i="8" s="1"/>
  <c r="I53" i="9" s="1"/>
  <c r="I53" i="10" s="1"/>
  <c r="N55" i="7"/>
  <c r="N55" i="8" s="1"/>
  <c r="N55" i="9" s="1"/>
  <c r="N55" i="10" s="1"/>
  <c r="I55" i="7"/>
  <c r="I55" i="8" s="1"/>
  <c r="I55" i="9" s="1"/>
  <c r="I55" i="10" s="1"/>
  <c r="F47" i="7"/>
  <c r="F47" i="8" s="1"/>
  <c r="F47" i="9" s="1"/>
  <c r="F47" i="10" s="1"/>
  <c r="H55" i="7"/>
  <c r="H55" i="8" s="1"/>
  <c r="H55" i="9" s="1"/>
  <c r="H55" i="10" s="1"/>
  <c r="F39" i="7"/>
  <c r="F39" i="8" s="1"/>
  <c r="F39" i="9" s="1"/>
  <c r="F39" i="10" s="1"/>
  <c r="G38" i="7"/>
  <c r="G38" i="8" s="1"/>
  <c r="G38" i="9" s="1"/>
  <c r="G38" i="10" s="1"/>
  <c r="L54" i="8"/>
  <c r="L54" i="9" s="1"/>
  <c r="L54" i="10" s="1"/>
  <c r="K54" i="8"/>
  <c r="K54" i="9" s="1"/>
  <c r="K54" i="10" s="1"/>
  <c r="G32" i="8"/>
  <c r="G32" i="9" s="1"/>
  <c r="G32" i="10" s="1"/>
  <c r="E31" i="7"/>
  <c r="E31" i="8" s="1"/>
  <c r="E31" i="9" s="1"/>
  <c r="E31" i="10" s="1"/>
  <c r="N33" i="7"/>
  <c r="N33" i="8" s="1"/>
  <c r="N33" i="9" s="1"/>
  <c r="N33" i="10" s="1"/>
  <c r="O32" i="8"/>
  <c r="O32" i="9" s="1"/>
  <c r="O32" i="10" s="1"/>
  <c r="E34" i="7"/>
  <c r="E34" i="8" s="1"/>
  <c r="E34" i="9" s="1"/>
  <c r="E34" i="10" s="1"/>
  <c r="F38" i="7"/>
  <c r="F38" i="8" s="1"/>
  <c r="F38" i="9" s="1"/>
  <c r="F38" i="10" s="1"/>
  <c r="K47" i="7"/>
  <c r="K47" i="8" s="1"/>
  <c r="K47" i="9" s="1"/>
  <c r="K47" i="10" s="1"/>
  <c r="H53" i="7"/>
  <c r="H53" i="8" s="1"/>
  <c r="H53" i="9" s="1"/>
  <c r="H53" i="10" s="1"/>
  <c r="O54" i="8"/>
  <c r="O54" i="9" s="1"/>
  <c r="O54" i="10" s="1"/>
  <c r="J55" i="7"/>
  <c r="J55" i="8" s="1"/>
  <c r="J55" i="9" s="1"/>
  <c r="J55" i="10" s="1"/>
  <c r="L37" i="7"/>
  <c r="L37" i="8" s="1"/>
  <c r="L37" i="9" s="1"/>
  <c r="L37" i="10" s="1"/>
  <c r="K32" i="8"/>
  <c r="K32" i="9" s="1"/>
  <c r="K32" i="10" s="1"/>
  <c r="P38" i="7"/>
  <c r="P38" i="8" s="1"/>
  <c r="P38" i="9" s="1"/>
  <c r="P38" i="10" s="1"/>
  <c r="E36" i="7"/>
  <c r="E36" i="8" s="1"/>
  <c r="E36" i="9" s="1"/>
  <c r="E36" i="10" s="1"/>
  <c r="F37" i="7"/>
  <c r="F37" i="8" s="1"/>
  <c r="F37" i="9" s="1"/>
  <c r="F37" i="10" s="1"/>
  <c r="M32" i="8"/>
  <c r="M32" i="9" s="1"/>
  <c r="M32" i="10" s="1"/>
  <c r="J47" i="7"/>
  <c r="J47" i="8" s="1"/>
  <c r="J47" i="9" s="1"/>
  <c r="J47" i="10" s="1"/>
  <c r="E53" i="7"/>
  <c r="E53" i="8" s="1"/>
  <c r="E53" i="9" s="1"/>
  <c r="E53" i="10" s="1"/>
  <c r="N54" i="8"/>
  <c r="N54" i="9" s="1"/>
  <c r="N54" i="10" s="1"/>
  <c r="F53" i="7"/>
  <c r="F53" i="8" s="1"/>
  <c r="F53" i="9" s="1"/>
  <c r="F53" i="10" s="1"/>
  <c r="N37" i="7"/>
  <c r="N37" i="8" s="1"/>
  <c r="N37" i="9" s="1"/>
  <c r="N37" i="10" s="1"/>
  <c r="P47" i="7"/>
  <c r="P47" i="8" s="1"/>
  <c r="P47" i="9" s="1"/>
  <c r="P47" i="10" s="1"/>
  <c r="G55" i="7"/>
  <c r="G55" i="8" s="1"/>
  <c r="G55" i="9" s="1"/>
  <c r="G55" i="10" s="1"/>
  <c r="J40" i="7"/>
  <c r="J40" i="8" s="1"/>
  <c r="J40" i="9" s="1"/>
  <c r="J40" i="10" s="1"/>
  <c r="M47" i="7"/>
  <c r="M47" i="8" s="1"/>
  <c r="M47" i="9" s="1"/>
  <c r="M47" i="10" s="1"/>
  <c r="E39" i="7"/>
  <c r="E39" i="8" s="1"/>
  <c r="E39" i="9" s="1"/>
  <c r="E39" i="10" s="1"/>
  <c r="N34" i="7"/>
  <c r="N34" i="8" s="1"/>
  <c r="N34" i="9" s="1"/>
  <c r="N34" i="10" s="1"/>
  <c r="O31" i="7"/>
  <c r="O31" i="8" s="1"/>
  <c r="O31" i="9" s="1"/>
  <c r="O31" i="10" s="1"/>
  <c r="G39" i="7"/>
  <c r="G39" i="8" s="1"/>
  <c r="G39" i="9" s="1"/>
  <c r="G39" i="10" s="1"/>
  <c r="M39" i="7"/>
  <c r="M39" i="8" s="1"/>
  <c r="M39" i="9" s="1"/>
  <c r="M39" i="10" s="1"/>
  <c r="F32" i="8"/>
  <c r="F32" i="9" s="1"/>
  <c r="F32" i="10" s="1"/>
  <c r="H47" i="7"/>
  <c r="H47" i="8" s="1"/>
  <c r="H47" i="9" s="1"/>
  <c r="H47" i="10" s="1"/>
  <c r="G53" i="7"/>
  <c r="G53" i="8" s="1"/>
  <c r="G53" i="9" s="1"/>
  <c r="G53" i="10" s="1"/>
  <c r="M54" i="8"/>
  <c r="M54" i="9" s="1"/>
  <c r="M54" i="10" s="1"/>
  <c r="P55" i="7"/>
  <c r="P55" i="8" s="1"/>
  <c r="P55" i="9" s="1"/>
  <c r="P55" i="10" s="1"/>
  <c r="H32" i="8"/>
  <c r="H32" i="9" s="1"/>
  <c r="H32" i="10" s="1"/>
  <c r="I36" i="7"/>
  <c r="I36" i="8" s="1"/>
  <c r="I36" i="9" s="1"/>
  <c r="I36" i="10" s="1"/>
  <c r="H36" i="7"/>
  <c r="H36" i="8" s="1"/>
  <c r="H36" i="9" s="1"/>
  <c r="H36" i="10" s="1"/>
  <c r="F34" i="7"/>
  <c r="F34" i="8" s="1"/>
  <c r="F34" i="9" s="1"/>
  <c r="F34" i="10" s="1"/>
  <c r="L34" i="7"/>
  <c r="L34" i="8" s="1"/>
  <c r="L34" i="9" s="1"/>
  <c r="L34" i="10" s="1"/>
  <c r="E54" i="8"/>
  <c r="E54" i="9" s="1"/>
  <c r="E54" i="10" s="1"/>
  <c r="G36" i="7"/>
  <c r="G36" i="8" s="1"/>
  <c r="G36" i="9" s="1"/>
  <c r="G36" i="10" s="1"/>
  <c r="G37" i="7"/>
  <c r="G37" i="8" s="1"/>
  <c r="G37" i="9" s="1"/>
  <c r="G37" i="10" s="1"/>
  <c r="F55" i="7"/>
  <c r="F55" i="8" s="1"/>
  <c r="F55" i="9" s="1"/>
  <c r="F55" i="10" s="1"/>
  <c r="K40" i="7"/>
  <c r="K40" i="8" s="1"/>
  <c r="K40" i="9" s="1"/>
  <c r="K40" i="10" s="1"/>
  <c r="P39" i="7"/>
  <c r="P39" i="8" s="1"/>
  <c r="P39" i="9" s="1"/>
  <c r="P39" i="10" s="1"/>
  <c r="N38" i="7"/>
  <c r="N38" i="8" s="1"/>
  <c r="N38" i="9" s="1"/>
  <c r="N38" i="10" s="1"/>
  <c r="H31" i="7"/>
  <c r="H31" i="8" s="1"/>
  <c r="H31" i="9" s="1"/>
  <c r="H31" i="10" s="1"/>
  <c r="E32" i="8"/>
  <c r="E32" i="9" s="1"/>
  <c r="E32" i="10" s="1"/>
  <c r="H40" i="7"/>
  <c r="H40" i="8" s="1"/>
  <c r="H40" i="9" s="1"/>
  <c r="H40" i="10" s="1"/>
  <c r="L32" i="8"/>
  <c r="L32" i="9" s="1"/>
  <c r="L32" i="10" s="1"/>
  <c r="L31" i="7"/>
  <c r="L31" i="8" s="1"/>
  <c r="L31" i="9" s="1"/>
  <c r="L31" i="10" s="1"/>
  <c r="H33" i="7"/>
  <c r="H33" i="8" s="1"/>
  <c r="H33" i="9" s="1"/>
  <c r="H33" i="10" s="1"/>
  <c r="N31" i="7"/>
  <c r="N31" i="8" s="1"/>
  <c r="N31" i="9" s="1"/>
  <c r="N31" i="10" s="1"/>
  <c r="I32" i="8"/>
  <c r="I32" i="9" s="1"/>
  <c r="I32" i="10" s="1"/>
  <c r="I47" i="7"/>
  <c r="I47" i="8" s="1"/>
  <c r="I47" i="9" s="1"/>
  <c r="I47" i="10" s="1"/>
  <c r="J54" i="8"/>
  <c r="J54" i="9" s="1"/>
  <c r="J54" i="10" s="1"/>
  <c r="E55" i="7"/>
  <c r="E55" i="8" s="1"/>
  <c r="E55" i="9" s="1"/>
  <c r="E55" i="10" s="1"/>
  <c r="O33" i="7"/>
  <c r="O33" i="8" s="1"/>
  <c r="O33" i="9" s="1"/>
  <c r="O33" i="10" s="1"/>
  <c r="H34" i="7"/>
  <c r="H34" i="8" s="1"/>
  <c r="H34" i="9" s="1"/>
  <c r="H34" i="10" s="1"/>
  <c r="O34" i="7"/>
  <c r="O34" i="8" s="1"/>
  <c r="O34" i="9" s="1"/>
  <c r="O34" i="10" s="1"/>
  <c r="I34" i="7"/>
  <c r="I34" i="8" s="1"/>
  <c r="I34" i="9" s="1"/>
  <c r="I34" i="10" s="1"/>
  <c r="J36" i="7"/>
  <c r="J36" i="8" s="1"/>
  <c r="J36" i="9" s="1"/>
  <c r="J36" i="10" s="1"/>
  <c r="I33" i="7"/>
  <c r="I33" i="8" s="1"/>
  <c r="I33" i="9" s="1"/>
  <c r="I33" i="10" s="1"/>
  <c r="K37" i="7"/>
  <c r="K37" i="8" s="1"/>
  <c r="K37" i="9" s="1"/>
  <c r="K37" i="10" s="1"/>
  <c r="G47" i="7"/>
  <c r="G47" i="8" s="1"/>
  <c r="G47" i="9" s="1"/>
  <c r="G47" i="10" s="1"/>
  <c r="I54" i="8"/>
  <c r="I54" i="9" s="1"/>
  <c r="I54" i="10" s="1"/>
  <c r="O55" i="7"/>
  <c r="O55" i="8" s="1"/>
  <c r="O55" i="9" s="1"/>
  <c r="O55" i="10" s="1"/>
  <c r="E33" i="7"/>
  <c r="E33" i="8" s="1"/>
  <c r="E33" i="9" s="1"/>
  <c r="E33" i="10" s="1"/>
  <c r="M36" i="7"/>
  <c r="M36" i="8" s="1"/>
  <c r="M36" i="9" s="1"/>
  <c r="M36" i="10" s="1"/>
  <c r="K39" i="7"/>
  <c r="K39" i="8" s="1"/>
  <c r="K39" i="9" s="1"/>
  <c r="K39" i="10" s="1"/>
  <c r="E47" i="7"/>
  <c r="E47" i="8" s="1"/>
  <c r="E47" i="9" s="1"/>
  <c r="E47" i="10" s="1"/>
  <c r="M55" i="7"/>
  <c r="M55" i="8" s="1"/>
  <c r="M55" i="9" s="1"/>
  <c r="M55" i="10" s="1"/>
  <c r="N40" i="7"/>
  <c r="N40" i="8" s="1"/>
  <c r="N40" i="9" s="1"/>
  <c r="N40" i="10" s="1"/>
  <c r="F40" i="7"/>
  <c r="F40" i="8" s="1"/>
  <c r="F40" i="9" s="1"/>
  <c r="F40" i="10" s="1"/>
  <c r="O37" i="7"/>
  <c r="O37" i="8" s="1"/>
  <c r="O37" i="9" s="1"/>
  <c r="O37" i="10" s="1"/>
  <c r="K33" i="7"/>
  <c r="K33" i="8" s="1"/>
  <c r="K33" i="9" s="1"/>
  <c r="K33" i="10" s="1"/>
  <c r="K36" i="7"/>
  <c r="K36" i="8" s="1"/>
  <c r="K36" i="9" s="1"/>
  <c r="K36" i="10" s="1"/>
  <c r="I31" i="7"/>
  <c r="I31" i="8" s="1"/>
  <c r="I31" i="9" s="1"/>
  <c r="I31" i="10" s="1"/>
  <c r="H37" i="7"/>
  <c r="H37" i="8" s="1"/>
  <c r="H37" i="9" s="1"/>
  <c r="H37" i="10" s="1"/>
  <c r="I39" i="7"/>
  <c r="I39" i="8" s="1"/>
  <c r="I39" i="9" s="1"/>
  <c r="I39" i="10" s="1"/>
  <c r="N36" i="7"/>
  <c r="N36" i="8" s="1"/>
  <c r="N36" i="9" s="1"/>
  <c r="N36" i="10" s="1"/>
  <c r="J33" i="7"/>
  <c r="J33" i="8" s="1"/>
  <c r="J33" i="9" s="1"/>
  <c r="J33" i="10" s="1"/>
  <c r="L40" i="7"/>
  <c r="L40" i="8" s="1"/>
  <c r="L40" i="9" s="1"/>
  <c r="L40" i="10" s="1"/>
  <c r="P53" i="7"/>
  <c r="P53" i="8" s="1"/>
  <c r="P53" i="9" s="1"/>
  <c r="P53" i="10" s="1"/>
  <c r="H54" i="8"/>
  <c r="H54" i="9" s="1"/>
  <c r="H54" i="10" s="1"/>
  <c r="L33" i="7"/>
  <c r="L33" i="8" s="1"/>
  <c r="L33" i="9" s="1"/>
  <c r="L33" i="10" s="1"/>
  <c r="M53" i="7"/>
  <c r="M53" i="8" s="1"/>
  <c r="M53" i="9" s="1"/>
  <c r="M53" i="10" s="1"/>
  <c r="O39" i="7"/>
  <c r="O39" i="8" s="1"/>
  <c r="O39" i="9" s="1"/>
  <c r="O39" i="10" s="1"/>
  <c r="L53" i="7"/>
  <c r="L53" i="8" s="1"/>
  <c r="L53" i="9" s="1"/>
  <c r="L53" i="10" s="1"/>
  <c r="L55" i="7"/>
  <c r="L55" i="8" s="1"/>
  <c r="L55" i="9" s="1"/>
  <c r="L55" i="10" s="1"/>
  <c r="K38" i="7"/>
  <c r="K38" i="8" s="1"/>
  <c r="K38" i="9" s="1"/>
  <c r="K38" i="10" s="1"/>
  <c r="I37" i="7"/>
  <c r="I37" i="8" s="1"/>
  <c r="I37" i="9" s="1"/>
  <c r="I37" i="10" s="1"/>
  <c r="P37" i="7"/>
  <c r="P37" i="8" s="1"/>
  <c r="P37" i="9" s="1"/>
  <c r="P37" i="10" s="1"/>
  <c r="N32" i="8"/>
  <c r="N32" i="9" s="1"/>
  <c r="N32" i="10" s="1"/>
  <c r="H39" i="7"/>
  <c r="H39" i="8" s="1"/>
  <c r="H39" i="9" s="1"/>
  <c r="H39" i="10" s="1"/>
  <c r="P40" i="7"/>
  <c r="P40" i="8" s="1"/>
  <c r="P40" i="9" s="1"/>
  <c r="P40" i="10" s="1"/>
  <c r="H38" i="7"/>
  <c r="H38" i="8" s="1"/>
  <c r="H38" i="9" s="1"/>
  <c r="H38" i="10" s="1"/>
  <c r="K34" i="7"/>
  <c r="K34" i="8" s="1"/>
  <c r="K34" i="9" s="1"/>
  <c r="K34" i="10" s="1"/>
  <c r="M33" i="7"/>
  <c r="M33" i="8" s="1"/>
  <c r="M33" i="9" s="1"/>
  <c r="M33" i="10" s="1"/>
  <c r="O53" i="7"/>
  <c r="O53" i="8" s="1"/>
  <c r="O53" i="9" s="1"/>
  <c r="O53" i="10" s="1"/>
  <c r="G54" i="8"/>
  <c r="G54" i="9" s="1"/>
  <c r="G54" i="10" s="1"/>
  <c r="J32" i="8"/>
  <c r="J32" i="9" s="1"/>
  <c r="J32" i="10" s="1"/>
  <c r="L36" i="7"/>
  <c r="L36" i="8" s="1"/>
  <c r="L36" i="9" s="1"/>
  <c r="L36" i="10" s="1"/>
  <c r="G33" i="7"/>
  <c r="G33" i="8" s="1"/>
  <c r="G33" i="9" s="1"/>
  <c r="G33" i="10" s="1"/>
  <c r="P54" i="8"/>
  <c r="P54" i="9" s="1"/>
  <c r="P54" i="10" s="1"/>
  <c r="P33" i="7"/>
  <c r="P33" i="8" s="1"/>
  <c r="P33" i="9" s="1"/>
  <c r="P33" i="10" s="1"/>
  <c r="E37" i="7"/>
  <c r="E37" i="8" s="1"/>
  <c r="E37" i="9" s="1"/>
  <c r="E37" i="10" s="1"/>
  <c r="G34" i="7"/>
  <c r="G34" i="8" s="1"/>
  <c r="G34" i="9" s="1"/>
  <c r="G34" i="10" s="1"/>
  <c r="O40" i="7"/>
  <c r="O40" i="8" s="1"/>
  <c r="O40" i="9" s="1"/>
  <c r="O40" i="10" s="1"/>
  <c r="O47" i="7"/>
  <c r="O47" i="8" s="1"/>
  <c r="O47" i="9" s="1"/>
  <c r="O47" i="10" s="1"/>
  <c r="P31" i="7"/>
  <c r="P31" i="8" s="1"/>
  <c r="P31" i="9" s="1"/>
  <c r="P31" i="10" s="1"/>
  <c r="N39" i="7"/>
  <c r="N39" i="8" s="1"/>
  <c r="N39" i="9" s="1"/>
  <c r="N39" i="10" s="1"/>
  <c r="O38" i="7"/>
  <c r="O38" i="8" s="1"/>
  <c r="O38" i="9" s="1"/>
  <c r="O38" i="10" s="1"/>
  <c r="P34" i="7"/>
  <c r="P34" i="8" s="1"/>
  <c r="P34" i="9" s="1"/>
  <c r="P34" i="10" s="1"/>
  <c r="J39" i="7"/>
  <c r="J39" i="8" s="1"/>
  <c r="J39" i="9" s="1"/>
  <c r="J39" i="10" s="1"/>
  <c r="O36" i="7"/>
  <c r="O36" i="8" s="1"/>
  <c r="O36" i="9" s="1"/>
  <c r="O36" i="10" s="1"/>
  <c r="P32" i="8"/>
  <c r="P32" i="9" s="1"/>
  <c r="P32" i="10" s="1"/>
  <c r="E38" i="7"/>
  <c r="E38" i="8" s="1"/>
  <c r="E38" i="9" s="1"/>
  <c r="E38" i="10" s="1"/>
  <c r="N53" i="7"/>
  <c r="N53" i="8" s="1"/>
  <c r="N53" i="9" s="1"/>
  <c r="N53" i="10" s="1"/>
  <c r="F54" i="8"/>
  <c r="F54" i="9" s="1"/>
  <c r="F54" i="10" s="1"/>
  <c r="I40" i="7"/>
  <c r="I40" i="8" s="1"/>
  <c r="I40" i="9" s="1"/>
  <c r="I40" i="10" s="1"/>
  <c r="F33" i="7"/>
  <c r="F33" i="8" s="1"/>
  <c r="F33" i="9" s="1"/>
  <c r="F33" i="10" s="1"/>
  <c r="E40" i="7"/>
  <c r="E40" i="8" s="1"/>
  <c r="E40" i="9" s="1"/>
  <c r="E40" i="10" s="1"/>
  <c r="I38" i="7"/>
  <c r="I38" i="8" s="1"/>
  <c r="I38" i="9" s="1"/>
  <c r="I38" i="10" s="1"/>
  <c r="M37" i="7"/>
  <c r="M37" i="8" s="1"/>
  <c r="M37" i="9" s="1"/>
  <c r="M37" i="10" s="1"/>
  <c r="J38" i="7"/>
  <c r="J38" i="8" s="1"/>
  <c r="J38" i="9" s="1"/>
  <c r="J38" i="10" s="1"/>
  <c r="G58" i="7"/>
  <c r="G58" i="8" s="1"/>
  <c r="G58" i="9" s="1"/>
  <c r="G58" i="10" s="1"/>
  <c r="O50" i="7"/>
  <c r="O50" i="8" s="1"/>
  <c r="O50" i="9" s="1"/>
  <c r="O50" i="10" s="1"/>
  <c r="F57" i="8"/>
  <c r="F57" i="9" s="1"/>
  <c r="F57" i="10" s="1"/>
  <c r="P56" i="7"/>
  <c r="P56" i="8" s="1"/>
  <c r="P56" i="9" s="1"/>
  <c r="P56" i="10" s="1"/>
  <c r="N51" i="8"/>
  <c r="N51" i="9" s="1"/>
  <c r="N51" i="10" s="1"/>
  <c r="M58" i="7"/>
  <c r="M58" i="8" s="1"/>
  <c r="M58" i="9" s="1"/>
  <c r="M58" i="10" s="1"/>
  <c r="G50" i="7"/>
  <c r="G50" i="8" s="1"/>
  <c r="G50" i="9" s="1"/>
  <c r="G50" i="10" s="1"/>
  <c r="O56" i="7"/>
  <c r="O56" i="8" s="1"/>
  <c r="O56" i="9" s="1"/>
  <c r="O56" i="10" s="1"/>
  <c r="M56" i="7"/>
  <c r="M56" i="8" s="1"/>
  <c r="M56" i="9" s="1"/>
  <c r="M56" i="10" s="1"/>
  <c r="N58" i="7"/>
  <c r="N58" i="8" s="1"/>
  <c r="N58" i="9" s="1"/>
  <c r="N58" i="10" s="1"/>
  <c r="P58" i="7"/>
  <c r="P58" i="8" s="1"/>
  <c r="P58" i="9" s="1"/>
  <c r="P58" i="10" s="1"/>
  <c r="M57" i="8"/>
  <c r="M57" i="9" s="1"/>
  <c r="M57" i="10" s="1"/>
  <c r="H57" i="8"/>
  <c r="H57" i="9" s="1"/>
  <c r="H57" i="10" s="1"/>
  <c r="N50" i="7"/>
  <c r="N50" i="8" s="1"/>
  <c r="N50" i="9" s="1"/>
  <c r="N50" i="10" s="1"/>
  <c r="L57" i="8"/>
  <c r="L57" i="9" s="1"/>
  <c r="L57" i="10" s="1"/>
  <c r="O51" i="8"/>
  <c r="O51" i="9" s="1"/>
  <c r="O51" i="10" s="1"/>
  <c r="I51" i="8"/>
  <c r="I51" i="9" s="1"/>
  <c r="I51" i="10" s="1"/>
  <c r="N56" i="7"/>
  <c r="N56" i="8" s="1"/>
  <c r="N56" i="9" s="1"/>
  <c r="N56" i="10" s="1"/>
  <c r="E57" i="8"/>
  <c r="E57" i="9" s="1"/>
  <c r="E57" i="10" s="1"/>
  <c r="L56" i="7"/>
  <c r="L56" i="8" s="1"/>
  <c r="L56" i="9" s="1"/>
  <c r="L56" i="10" s="1"/>
  <c r="J51" i="8"/>
  <c r="J51" i="9" s="1"/>
  <c r="J51" i="10" s="1"/>
  <c r="J56" i="7"/>
  <c r="J56" i="8" s="1"/>
  <c r="J56" i="9" s="1"/>
  <c r="J56" i="10" s="1"/>
  <c r="I56" i="7"/>
  <c r="I56" i="8" s="1"/>
  <c r="I56" i="9" s="1"/>
  <c r="I56" i="10" s="1"/>
  <c r="G57" i="8"/>
  <c r="G57" i="9" s="1"/>
  <c r="G57" i="10" s="1"/>
  <c r="F50" i="7"/>
  <c r="F50" i="8" s="1"/>
  <c r="F50" i="9" s="1"/>
  <c r="F50" i="10" s="1"/>
  <c r="L58" i="7"/>
  <c r="L58" i="8" s="1"/>
  <c r="L58" i="9" s="1"/>
  <c r="L58" i="10" s="1"/>
  <c r="E51" i="8"/>
  <c r="E51" i="9" s="1"/>
  <c r="E51" i="10" s="1"/>
  <c r="E50" i="7"/>
  <c r="E50" i="8" s="1"/>
  <c r="E50" i="9" s="1"/>
  <c r="E50" i="10" s="1"/>
  <c r="P50" i="7"/>
  <c r="P50" i="8" s="1"/>
  <c r="P50" i="9" s="1"/>
  <c r="P50" i="10" s="1"/>
  <c r="H51" i="8"/>
  <c r="H51" i="9" s="1"/>
  <c r="H51" i="10" s="1"/>
  <c r="K51" i="8"/>
  <c r="K51" i="9" s="1"/>
  <c r="K51" i="10" s="1"/>
  <c r="P57" i="8"/>
  <c r="P57" i="9" s="1"/>
  <c r="P57" i="10" s="1"/>
  <c r="H58" i="7"/>
  <c r="H58" i="8" s="1"/>
  <c r="H58" i="9" s="1"/>
  <c r="H58" i="10" s="1"/>
  <c r="K58" i="7"/>
  <c r="K58" i="8" s="1"/>
  <c r="K58" i="9" s="1"/>
  <c r="K58" i="10" s="1"/>
  <c r="O58" i="7"/>
  <c r="O58" i="8" s="1"/>
  <c r="O58" i="9" s="1"/>
  <c r="O58" i="10" s="1"/>
  <c r="H50" i="7"/>
  <c r="H50" i="8" s="1"/>
  <c r="H50" i="9" s="1"/>
  <c r="H50" i="10" s="1"/>
  <c r="J50" i="7"/>
  <c r="J50" i="8" s="1"/>
  <c r="J50" i="9" s="1"/>
  <c r="J50" i="10" s="1"/>
  <c r="L50" i="7"/>
  <c r="L50" i="8" s="1"/>
  <c r="L50" i="9" s="1"/>
  <c r="L50" i="10" s="1"/>
  <c r="J58" i="7"/>
  <c r="J58" i="8" s="1"/>
  <c r="J58" i="9" s="1"/>
  <c r="J58" i="10" s="1"/>
  <c r="P51" i="8"/>
  <c r="P51" i="9" s="1"/>
  <c r="P51" i="10" s="1"/>
  <c r="E58" i="7"/>
  <c r="E58" i="8" s="1"/>
  <c r="E58" i="9" s="1"/>
  <c r="E58" i="10" s="1"/>
  <c r="J57" i="8"/>
  <c r="J57" i="9" s="1"/>
  <c r="J57" i="10" s="1"/>
  <c r="K56" i="7"/>
  <c r="K56" i="8" s="1"/>
  <c r="K56" i="9" s="1"/>
  <c r="K56" i="10" s="1"/>
  <c r="M50" i="7"/>
  <c r="M50" i="8" s="1"/>
  <c r="M50" i="9" s="1"/>
  <c r="M50" i="10" s="1"/>
  <c r="I57" i="8"/>
  <c r="I57" i="9" s="1"/>
  <c r="I57" i="10" s="1"/>
  <c r="L51" i="8"/>
  <c r="L51" i="9" s="1"/>
  <c r="L51" i="10" s="1"/>
  <c r="K57" i="8"/>
  <c r="K57" i="9" s="1"/>
  <c r="K57" i="10" s="1"/>
  <c r="I50" i="7"/>
  <c r="I50" i="8" s="1"/>
  <c r="I50" i="9" s="1"/>
  <c r="I50" i="10" s="1"/>
  <c r="F56" i="7"/>
  <c r="F56" i="8" s="1"/>
  <c r="F56" i="9" s="1"/>
  <c r="F56" i="10" s="1"/>
  <c r="N57" i="8"/>
  <c r="N57" i="9" s="1"/>
  <c r="N57" i="10" s="1"/>
  <c r="I58" i="7"/>
  <c r="I58" i="8" s="1"/>
  <c r="I58" i="9" s="1"/>
  <c r="I58" i="10" s="1"/>
  <c r="G56" i="7"/>
  <c r="G56" i="8" s="1"/>
  <c r="G56" i="9" s="1"/>
  <c r="G56" i="10" s="1"/>
  <c r="E56" i="7"/>
  <c r="E56" i="8" s="1"/>
  <c r="E56" i="9" s="1"/>
  <c r="E56" i="10" s="1"/>
  <c r="F58" i="7"/>
  <c r="F58" i="8" s="1"/>
  <c r="F58" i="9" s="1"/>
  <c r="F58" i="10" s="1"/>
  <c r="M51" i="8"/>
  <c r="M51" i="9" s="1"/>
  <c r="M51" i="10" s="1"/>
  <c r="H56" i="7"/>
  <c r="H56" i="8" s="1"/>
  <c r="H56" i="9" s="1"/>
  <c r="H56" i="10" s="1"/>
  <c r="K50" i="7"/>
  <c r="K50" i="8" s="1"/>
  <c r="K50" i="9" s="1"/>
  <c r="K50" i="10" s="1"/>
  <c r="G51" i="8"/>
  <c r="G51" i="9" s="1"/>
  <c r="G51" i="10" s="1"/>
  <c r="M112" i="7"/>
  <c r="M112" i="8" s="1"/>
  <c r="M112" i="9" s="1"/>
  <c r="M112" i="10" s="1"/>
  <c r="P112" i="7"/>
  <c r="P112" i="8" s="1"/>
  <c r="P112" i="9" s="1"/>
  <c r="P112" i="10" s="1"/>
  <c r="F112" i="7"/>
  <c r="F112" i="8" s="1"/>
  <c r="F112" i="9" s="1"/>
  <c r="F112" i="10" s="1"/>
  <c r="O112" i="7"/>
  <c r="O112" i="8" s="1"/>
  <c r="O112" i="9" s="1"/>
  <c r="O112" i="10" s="1"/>
  <c r="L112" i="7"/>
  <c r="L112" i="8" s="1"/>
  <c r="L112" i="9" s="1"/>
  <c r="L112" i="10" s="1"/>
  <c r="K112" i="7"/>
  <c r="K112" i="8" s="1"/>
  <c r="K112" i="9" s="1"/>
  <c r="K112" i="10" s="1"/>
  <c r="E112" i="7"/>
  <c r="E112" i="8" s="1"/>
  <c r="E112" i="9" s="1"/>
  <c r="E112" i="10" s="1"/>
  <c r="J112" i="7"/>
  <c r="J112" i="8" s="1"/>
  <c r="J112" i="9" s="1"/>
  <c r="J112" i="10" s="1"/>
  <c r="H112" i="7"/>
  <c r="H112" i="8" s="1"/>
  <c r="H112" i="9" s="1"/>
  <c r="H112" i="10" s="1"/>
  <c r="I112" i="7"/>
  <c r="I112" i="8" s="1"/>
  <c r="I112" i="9" s="1"/>
  <c r="I112" i="10" s="1"/>
  <c r="G112" i="7"/>
  <c r="G112" i="8" s="1"/>
  <c r="G112" i="9" s="1"/>
  <c r="G112" i="10" s="1"/>
  <c r="N112" i="7"/>
  <c r="N112" i="8" s="1"/>
  <c r="N112" i="9" s="1"/>
  <c r="N112" i="10" s="1"/>
  <c r="E150" i="6"/>
  <c r="E147" i="6"/>
  <c r="E146" i="6"/>
  <c r="E144" i="6"/>
  <c r="E143" i="6"/>
  <c r="E141" i="6"/>
  <c r="E140" i="6"/>
  <c r="E138" i="6"/>
  <c r="E137" i="6"/>
  <c r="E136" i="6"/>
  <c r="E135" i="6"/>
  <c r="A1" i="6"/>
  <c r="E139" i="5"/>
  <c r="Q113" i="5"/>
  <c r="Q109" i="5"/>
  <c r="Q106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F4" i="5"/>
  <c r="G4" i="5" s="1"/>
  <c r="H4" i="5" s="1"/>
  <c r="I4" i="5" s="1"/>
  <c r="J4" i="5" s="1"/>
  <c r="K4" i="5" s="1"/>
  <c r="L4" i="5" s="1"/>
  <c r="M4" i="5" s="1"/>
  <c r="N4" i="5" s="1"/>
  <c r="O4" i="5" s="1"/>
  <c r="P4" i="5" s="1"/>
  <c r="A1" i="5"/>
  <c r="Q94" i="5" l="1"/>
  <c r="P22" i="5"/>
  <c r="H22" i="5"/>
  <c r="J22" i="5"/>
  <c r="L22" i="5"/>
  <c r="N22" i="5"/>
  <c r="K22" i="5"/>
  <c r="Q22" i="5"/>
  <c r="I22" i="5"/>
  <c r="O22" i="5"/>
  <c r="G22" i="5"/>
  <c r="F22" i="5"/>
  <c r="M22" i="5"/>
  <c r="E22" i="5"/>
  <c r="N17" i="5"/>
  <c r="M17" i="5"/>
  <c r="E17" i="5"/>
  <c r="Q17" i="5"/>
  <c r="H17" i="5"/>
  <c r="G17" i="5"/>
  <c r="K17" i="5"/>
  <c r="S24" i="5"/>
  <c r="S25" i="5" s="1"/>
  <c r="Q41" i="5"/>
  <c r="Q62" i="5"/>
  <c r="Q80" i="5"/>
  <c r="S19" i="5"/>
  <c r="Q103" i="5"/>
  <c r="S15" i="5"/>
  <c r="Q74" i="5"/>
  <c r="G284" i="4"/>
  <c r="X108" i="17"/>
  <c r="G102" i="18" s="1"/>
  <c r="F102" i="18" s="1"/>
  <c r="U98" i="17"/>
  <c r="G95" i="18" s="1"/>
  <c r="F95" i="18" s="1"/>
  <c r="G209" i="4"/>
  <c r="O96" i="17"/>
  <c r="G81" i="18" s="1"/>
  <c r="F81" i="18" s="1"/>
  <c r="G190" i="4"/>
  <c r="G165" i="4"/>
  <c r="O88" i="17"/>
  <c r="G79" i="18" s="1"/>
  <c r="F79" i="18" s="1"/>
  <c r="F84" i="17"/>
  <c r="G35" i="18" s="1"/>
  <c r="F35" i="18" s="1"/>
  <c r="G105" i="4"/>
  <c r="T79" i="17"/>
  <c r="G91" i="18" s="1"/>
  <c r="F91" i="18" s="1"/>
  <c r="G97" i="4"/>
  <c r="G90" i="4"/>
  <c r="G82" i="4"/>
  <c r="V76" i="17"/>
  <c r="G74" i="4"/>
  <c r="G65" i="4"/>
  <c r="G59" i="4"/>
  <c r="G53" i="4"/>
  <c r="U70" i="17"/>
  <c r="G93" i="18" s="1"/>
  <c r="F93" i="18" s="1"/>
  <c r="G45" i="4"/>
  <c r="G32" i="4"/>
  <c r="N67" i="17"/>
  <c r="G72" i="18" s="1"/>
  <c r="F72" i="18" s="1"/>
  <c r="G25" i="4"/>
  <c r="G19" i="4"/>
  <c r="O64" i="17"/>
  <c r="G77" i="18" s="1"/>
  <c r="F77" i="18" s="1"/>
  <c r="M78" i="7" l="1"/>
  <c r="M78" i="8" s="1"/>
  <c r="M78" i="9" s="1"/>
  <c r="M78" i="10" s="1"/>
  <c r="O78" i="7"/>
  <c r="O78" i="8" s="1"/>
  <c r="O78" i="9" s="1"/>
  <c r="O78" i="10" s="1"/>
  <c r="L78" i="7"/>
  <c r="L78" i="8" s="1"/>
  <c r="L78" i="9" s="1"/>
  <c r="L78" i="10" s="1"/>
  <c r="N78" i="7"/>
  <c r="N78" i="8" s="1"/>
  <c r="N78" i="9" s="1"/>
  <c r="N78" i="10" s="1"/>
  <c r="K78" i="7"/>
  <c r="K78" i="8" s="1"/>
  <c r="K78" i="9" s="1"/>
  <c r="K78" i="10" s="1"/>
  <c r="J78" i="7"/>
  <c r="J78" i="8" s="1"/>
  <c r="J78" i="9" s="1"/>
  <c r="J78" i="10" s="1"/>
  <c r="I78" i="7"/>
  <c r="I78" i="8" s="1"/>
  <c r="I78" i="9" s="1"/>
  <c r="I78" i="10" s="1"/>
  <c r="H78" i="7"/>
  <c r="H78" i="8" s="1"/>
  <c r="H78" i="9" s="1"/>
  <c r="H78" i="10" s="1"/>
  <c r="G78" i="7"/>
  <c r="G78" i="8" s="1"/>
  <c r="G78" i="9" s="1"/>
  <c r="G78" i="10" s="1"/>
  <c r="E78" i="7"/>
  <c r="E78" i="8" s="1"/>
  <c r="E78" i="9" s="1"/>
  <c r="E78" i="10" s="1"/>
  <c r="F78" i="7"/>
  <c r="F78" i="8" s="1"/>
  <c r="F78" i="9" s="1"/>
  <c r="F78" i="10" s="1"/>
  <c r="AB103" i="17"/>
  <c r="X109" i="17"/>
  <c r="X115" i="17" s="1"/>
  <c r="X117" i="17" s="1"/>
  <c r="U103" i="17"/>
  <c r="O103" i="17"/>
  <c r="T80" i="17"/>
  <c r="T115" i="17" s="1"/>
  <c r="T117" i="17" s="1"/>
  <c r="U74" i="17"/>
  <c r="O74" i="17"/>
  <c r="E93" i="17"/>
  <c r="E92" i="17"/>
  <c r="E105" i="17"/>
  <c r="E85" i="17"/>
  <c r="AN85" i="17" s="1"/>
  <c r="E98" i="17"/>
  <c r="E69" i="17"/>
  <c r="AN69" i="17" s="1"/>
  <c r="E84" i="17"/>
  <c r="E67" i="17"/>
  <c r="E83" i="17"/>
  <c r="E89" i="17"/>
  <c r="E88" i="17"/>
  <c r="E100" i="17"/>
  <c r="E111" i="17"/>
  <c r="AN68" i="17"/>
  <c r="H32" i="4"/>
  <c r="X32" i="4" s="1"/>
  <c r="S22" i="5"/>
  <c r="Q115" i="5"/>
  <c r="A1" i="4"/>
  <c r="A3" i="4"/>
  <c r="P78" i="7" l="1"/>
  <c r="P78" i="8" s="1"/>
  <c r="P78" i="9" s="1"/>
  <c r="P78" i="10" s="1"/>
  <c r="J89" i="7"/>
  <c r="J89" i="8" s="1"/>
  <c r="J89" i="9" s="1"/>
  <c r="J89" i="10" s="1"/>
  <c r="I89" i="7"/>
  <c r="I89" i="8" s="1"/>
  <c r="I89" i="9" s="1"/>
  <c r="I89" i="10" s="1"/>
  <c r="H89" i="7"/>
  <c r="H89" i="8" s="1"/>
  <c r="H89" i="9" s="1"/>
  <c r="H89" i="10" s="1"/>
  <c r="G89" i="7"/>
  <c r="G89" i="8" s="1"/>
  <c r="G89" i="9" s="1"/>
  <c r="G89" i="10" s="1"/>
  <c r="L89" i="7"/>
  <c r="L89" i="8" s="1"/>
  <c r="L89" i="9" s="1"/>
  <c r="L89" i="10" s="1"/>
  <c r="F89" i="7"/>
  <c r="F89" i="8" s="1"/>
  <c r="F89" i="9" s="1"/>
  <c r="F89" i="10" s="1"/>
  <c r="O89" i="7"/>
  <c r="O89" i="8" s="1"/>
  <c r="O89" i="9" s="1"/>
  <c r="O89" i="10" s="1"/>
  <c r="K89" i="7"/>
  <c r="K89" i="8" s="1"/>
  <c r="K89" i="9" s="1"/>
  <c r="K89" i="10" s="1"/>
  <c r="N89" i="7"/>
  <c r="N89" i="8" s="1"/>
  <c r="N89" i="9" s="1"/>
  <c r="N89" i="10" s="1"/>
  <c r="M89" i="7"/>
  <c r="M89" i="8" s="1"/>
  <c r="M89" i="9" s="1"/>
  <c r="M89" i="10" s="1"/>
  <c r="E89" i="7"/>
  <c r="E89" i="8" s="1"/>
  <c r="E89" i="9" s="1"/>
  <c r="E89" i="10" s="1"/>
  <c r="Z122" i="4"/>
  <c r="O83" i="7"/>
  <c r="O83" i="8" s="1"/>
  <c r="O83" i="9" s="1"/>
  <c r="O83" i="10" s="1"/>
  <c r="N83" i="7"/>
  <c r="N83" i="8" s="1"/>
  <c r="N83" i="9" s="1"/>
  <c r="N83" i="10" s="1"/>
  <c r="M83" i="7"/>
  <c r="M83" i="8" s="1"/>
  <c r="M83" i="9" s="1"/>
  <c r="M83" i="10" s="1"/>
  <c r="E83" i="7"/>
  <c r="E83" i="8" s="1"/>
  <c r="E83" i="9" s="1"/>
  <c r="E83" i="10" s="1"/>
  <c r="F83" i="7"/>
  <c r="F83" i="8" s="1"/>
  <c r="F83" i="9" s="1"/>
  <c r="F83" i="10" s="1"/>
  <c r="L83" i="7"/>
  <c r="L83" i="8" s="1"/>
  <c r="L83" i="9" s="1"/>
  <c r="L83" i="10" s="1"/>
  <c r="K83" i="7"/>
  <c r="K83" i="8" s="1"/>
  <c r="K83" i="9" s="1"/>
  <c r="K83" i="10" s="1"/>
  <c r="J83" i="7"/>
  <c r="J83" i="8" s="1"/>
  <c r="J83" i="9" s="1"/>
  <c r="J83" i="10" s="1"/>
  <c r="I83" i="7"/>
  <c r="I83" i="8" s="1"/>
  <c r="I83" i="9" s="1"/>
  <c r="I83" i="10" s="1"/>
  <c r="H83" i="7"/>
  <c r="H83" i="8" s="1"/>
  <c r="H83" i="9" s="1"/>
  <c r="H83" i="10" s="1"/>
  <c r="G83" i="7"/>
  <c r="G83" i="8" s="1"/>
  <c r="G83" i="9" s="1"/>
  <c r="G83" i="10" s="1"/>
  <c r="Z131" i="4"/>
  <c r="G84" i="7"/>
  <c r="G84" i="8" s="1"/>
  <c r="G84" i="9" s="1"/>
  <c r="G84" i="10" s="1"/>
  <c r="O84" i="7"/>
  <c r="O84" i="8" s="1"/>
  <c r="O84" i="9" s="1"/>
  <c r="O84" i="10" s="1"/>
  <c r="E84" i="7"/>
  <c r="E84" i="8" s="1"/>
  <c r="E84" i="9" s="1"/>
  <c r="E84" i="10" s="1"/>
  <c r="N84" i="7"/>
  <c r="N84" i="8" s="1"/>
  <c r="N84" i="9" s="1"/>
  <c r="N84" i="10" s="1"/>
  <c r="M84" i="7"/>
  <c r="M84" i="8" s="1"/>
  <c r="M84" i="9" s="1"/>
  <c r="M84" i="10" s="1"/>
  <c r="L84" i="7"/>
  <c r="L84" i="8" s="1"/>
  <c r="L84" i="9" s="1"/>
  <c r="L84" i="10" s="1"/>
  <c r="K84" i="7"/>
  <c r="K84" i="8" s="1"/>
  <c r="K84" i="9" s="1"/>
  <c r="K84" i="10" s="1"/>
  <c r="F84" i="7"/>
  <c r="F84" i="8" s="1"/>
  <c r="F84" i="9" s="1"/>
  <c r="F84" i="10" s="1"/>
  <c r="J84" i="7"/>
  <c r="J84" i="8" s="1"/>
  <c r="J84" i="9" s="1"/>
  <c r="J84" i="10" s="1"/>
  <c r="I84" i="7"/>
  <c r="I84" i="8" s="1"/>
  <c r="I84" i="9" s="1"/>
  <c r="I84" i="10" s="1"/>
  <c r="H84" i="7"/>
  <c r="H84" i="8" s="1"/>
  <c r="H84" i="9" s="1"/>
  <c r="H84" i="10" s="1"/>
  <c r="G69" i="7"/>
  <c r="G69" i="8" s="1"/>
  <c r="G69" i="9" s="1"/>
  <c r="G69" i="10" s="1"/>
  <c r="E69" i="7"/>
  <c r="E69" i="8" s="1"/>
  <c r="E69" i="9" s="1"/>
  <c r="E69" i="10" s="1"/>
  <c r="H69" i="7"/>
  <c r="H69" i="8" s="1"/>
  <c r="H69" i="9" s="1"/>
  <c r="H69" i="10" s="1"/>
  <c r="F69" i="7"/>
  <c r="F69" i="8" s="1"/>
  <c r="F69" i="9" s="1"/>
  <c r="F69" i="10" s="1"/>
  <c r="I69" i="7"/>
  <c r="I69" i="8" s="1"/>
  <c r="I69" i="9" s="1"/>
  <c r="I69" i="10" s="1"/>
  <c r="O69" i="7"/>
  <c r="O69" i="8" s="1"/>
  <c r="O69" i="9" s="1"/>
  <c r="O69" i="10" s="1"/>
  <c r="N69" i="7"/>
  <c r="N69" i="8" s="1"/>
  <c r="N69" i="9" s="1"/>
  <c r="N69" i="10" s="1"/>
  <c r="M69" i="7"/>
  <c r="M69" i="8" s="1"/>
  <c r="M69" i="9" s="1"/>
  <c r="M69" i="10" s="1"/>
  <c r="L69" i="7"/>
  <c r="L69" i="8" s="1"/>
  <c r="L69" i="9" s="1"/>
  <c r="L69" i="10" s="1"/>
  <c r="K69" i="7"/>
  <c r="K69" i="8" s="1"/>
  <c r="K69" i="9" s="1"/>
  <c r="K69" i="10" s="1"/>
  <c r="J69" i="7"/>
  <c r="J69" i="8" s="1"/>
  <c r="J69" i="9" s="1"/>
  <c r="J69" i="10" s="1"/>
  <c r="Z294" i="4"/>
  <c r="F111" i="7"/>
  <c r="F111" i="8" s="1"/>
  <c r="F111" i="9" s="1"/>
  <c r="F111" i="10" s="1"/>
  <c r="O111" i="7"/>
  <c r="O111" i="8" s="1"/>
  <c r="O111" i="9" s="1"/>
  <c r="O111" i="10" s="1"/>
  <c r="N111" i="7"/>
  <c r="N111" i="8" s="1"/>
  <c r="N111" i="9" s="1"/>
  <c r="N111" i="10" s="1"/>
  <c r="M111" i="7"/>
  <c r="M111" i="8" s="1"/>
  <c r="M111" i="9" s="1"/>
  <c r="M111" i="10" s="1"/>
  <c r="L111" i="7"/>
  <c r="L111" i="8" s="1"/>
  <c r="L111" i="9" s="1"/>
  <c r="L111" i="10" s="1"/>
  <c r="K111" i="7"/>
  <c r="K111" i="8" s="1"/>
  <c r="K111" i="9" s="1"/>
  <c r="K111" i="10" s="1"/>
  <c r="G111" i="7"/>
  <c r="G111" i="8" s="1"/>
  <c r="G111" i="9" s="1"/>
  <c r="G111" i="10" s="1"/>
  <c r="J111" i="7"/>
  <c r="J111" i="8" s="1"/>
  <c r="J111" i="9" s="1"/>
  <c r="J111" i="10" s="1"/>
  <c r="H111" i="7"/>
  <c r="H111" i="8" s="1"/>
  <c r="H111" i="9" s="1"/>
  <c r="H111" i="10" s="1"/>
  <c r="I111" i="7"/>
  <c r="I111" i="8" s="1"/>
  <c r="I111" i="9" s="1"/>
  <c r="I111" i="10" s="1"/>
  <c r="Z140" i="4"/>
  <c r="F85" i="7"/>
  <c r="F85" i="8" s="1"/>
  <c r="F85" i="9" s="1"/>
  <c r="F85" i="10" s="1"/>
  <c r="E85" i="7"/>
  <c r="E85" i="8" s="1"/>
  <c r="E85" i="9" s="1"/>
  <c r="E85" i="10" s="1"/>
  <c r="G85" i="7"/>
  <c r="G85" i="8" s="1"/>
  <c r="G85" i="9" s="1"/>
  <c r="G85" i="10" s="1"/>
  <c r="O85" i="7"/>
  <c r="O85" i="8" s="1"/>
  <c r="O85" i="9" s="1"/>
  <c r="O85" i="10" s="1"/>
  <c r="N85" i="7"/>
  <c r="N85" i="8" s="1"/>
  <c r="N85" i="9" s="1"/>
  <c r="N85" i="10" s="1"/>
  <c r="M85" i="7"/>
  <c r="M85" i="8" s="1"/>
  <c r="M85" i="9" s="1"/>
  <c r="M85" i="10" s="1"/>
  <c r="L85" i="7"/>
  <c r="L85" i="8" s="1"/>
  <c r="L85" i="9" s="1"/>
  <c r="L85" i="10" s="1"/>
  <c r="K85" i="7"/>
  <c r="K85" i="8" s="1"/>
  <c r="K85" i="9" s="1"/>
  <c r="K85" i="10" s="1"/>
  <c r="J85" i="7"/>
  <c r="J85" i="8" s="1"/>
  <c r="J85" i="9" s="1"/>
  <c r="J85" i="10" s="1"/>
  <c r="H85" i="7"/>
  <c r="H85" i="8" s="1"/>
  <c r="H85" i="9" s="1"/>
  <c r="H85" i="10" s="1"/>
  <c r="I85" i="7"/>
  <c r="I85" i="8" s="1"/>
  <c r="I85" i="9" s="1"/>
  <c r="I85" i="10" s="1"/>
  <c r="Z159" i="4"/>
  <c r="I88" i="7"/>
  <c r="I88" i="8" s="1"/>
  <c r="I88" i="9" s="1"/>
  <c r="I88" i="10" s="1"/>
  <c r="J88" i="7"/>
  <c r="J88" i="8" s="1"/>
  <c r="J88" i="9" s="1"/>
  <c r="J88" i="10" s="1"/>
  <c r="H88" i="7"/>
  <c r="H88" i="8" s="1"/>
  <c r="H88" i="9" s="1"/>
  <c r="H88" i="10" s="1"/>
  <c r="E88" i="7"/>
  <c r="E88" i="8" s="1"/>
  <c r="E88" i="9" s="1"/>
  <c r="E88" i="10" s="1"/>
  <c r="G88" i="7"/>
  <c r="G88" i="8" s="1"/>
  <c r="G88" i="9" s="1"/>
  <c r="G88" i="10" s="1"/>
  <c r="F88" i="7"/>
  <c r="F88" i="8" s="1"/>
  <c r="F88" i="9" s="1"/>
  <c r="F88" i="10" s="1"/>
  <c r="K88" i="7"/>
  <c r="K88" i="8" s="1"/>
  <c r="K88" i="9" s="1"/>
  <c r="K88" i="10" s="1"/>
  <c r="O88" i="7"/>
  <c r="O88" i="8" s="1"/>
  <c r="O88" i="9" s="1"/>
  <c r="O88" i="10" s="1"/>
  <c r="N88" i="7"/>
  <c r="N88" i="8" s="1"/>
  <c r="N88" i="9" s="1"/>
  <c r="N88" i="10" s="1"/>
  <c r="M88" i="7"/>
  <c r="M88" i="8" s="1"/>
  <c r="M88" i="9" s="1"/>
  <c r="M88" i="10" s="1"/>
  <c r="L88" i="7"/>
  <c r="L88" i="8" s="1"/>
  <c r="L88" i="9" s="1"/>
  <c r="L88" i="10" s="1"/>
  <c r="Z274" i="4"/>
  <c r="G105" i="7"/>
  <c r="G105" i="8" s="1"/>
  <c r="G105" i="9" s="1"/>
  <c r="G105" i="10" s="1"/>
  <c r="E105" i="7"/>
  <c r="E105" i="8" s="1"/>
  <c r="E105" i="9" s="1"/>
  <c r="E105" i="10" s="1"/>
  <c r="U105" i="1"/>
  <c r="O105" i="7"/>
  <c r="O105" i="8" s="1"/>
  <c r="O105" i="9" s="1"/>
  <c r="O105" i="10" s="1"/>
  <c r="N105" i="7"/>
  <c r="N105" i="8" s="1"/>
  <c r="N105" i="9" s="1"/>
  <c r="N105" i="10" s="1"/>
  <c r="I105" i="7"/>
  <c r="I105" i="8" s="1"/>
  <c r="I105" i="9" s="1"/>
  <c r="I105" i="10" s="1"/>
  <c r="H105" i="7"/>
  <c r="H105" i="8" s="1"/>
  <c r="H105" i="9" s="1"/>
  <c r="H105" i="10" s="1"/>
  <c r="M105" i="7"/>
  <c r="M105" i="8" s="1"/>
  <c r="M105" i="9" s="1"/>
  <c r="M105" i="10" s="1"/>
  <c r="L105" i="7"/>
  <c r="L105" i="8" s="1"/>
  <c r="L105" i="9" s="1"/>
  <c r="L105" i="10" s="1"/>
  <c r="K105" i="7"/>
  <c r="K105" i="8" s="1"/>
  <c r="K105" i="9" s="1"/>
  <c r="K105" i="10" s="1"/>
  <c r="J105" i="7"/>
  <c r="J105" i="8" s="1"/>
  <c r="J105" i="9" s="1"/>
  <c r="J105" i="10" s="1"/>
  <c r="Z224" i="4"/>
  <c r="O98" i="7"/>
  <c r="O98" i="8" s="1"/>
  <c r="O98" i="9" s="1"/>
  <c r="O98" i="10" s="1"/>
  <c r="N98" i="7"/>
  <c r="N98" i="8" s="1"/>
  <c r="N98" i="9" s="1"/>
  <c r="N98" i="10" s="1"/>
  <c r="M98" i="7"/>
  <c r="M98" i="8" s="1"/>
  <c r="M98" i="9" s="1"/>
  <c r="M98" i="10" s="1"/>
  <c r="E98" i="7"/>
  <c r="E98" i="8" s="1"/>
  <c r="E98" i="9" s="1"/>
  <c r="E98" i="10" s="1"/>
  <c r="L98" i="7"/>
  <c r="L98" i="8" s="1"/>
  <c r="L98" i="9" s="1"/>
  <c r="L98" i="10" s="1"/>
  <c r="K98" i="7"/>
  <c r="K98" i="8" s="1"/>
  <c r="K98" i="9" s="1"/>
  <c r="K98" i="10" s="1"/>
  <c r="J98" i="7"/>
  <c r="J98" i="8" s="1"/>
  <c r="J98" i="9" s="1"/>
  <c r="J98" i="10" s="1"/>
  <c r="I98" i="7"/>
  <c r="I98" i="8" s="1"/>
  <c r="I98" i="9" s="1"/>
  <c r="I98" i="10" s="1"/>
  <c r="H98" i="7"/>
  <c r="H98" i="8" s="1"/>
  <c r="H98" i="9" s="1"/>
  <c r="H98" i="10" s="1"/>
  <c r="G98" i="7"/>
  <c r="G98" i="8" s="1"/>
  <c r="G98" i="9" s="1"/>
  <c r="G98" i="10" s="1"/>
  <c r="F98" i="7"/>
  <c r="F98" i="8" s="1"/>
  <c r="F98" i="9" s="1"/>
  <c r="F98" i="10" s="1"/>
  <c r="Z198" i="4"/>
  <c r="M93" i="7"/>
  <c r="M93" i="8" s="1"/>
  <c r="M93" i="9" s="1"/>
  <c r="M93" i="10" s="1"/>
  <c r="L93" i="7"/>
  <c r="L93" i="8" s="1"/>
  <c r="L93" i="9" s="1"/>
  <c r="L93" i="10" s="1"/>
  <c r="N93" i="7"/>
  <c r="N93" i="8" s="1"/>
  <c r="N93" i="9" s="1"/>
  <c r="N93" i="10" s="1"/>
  <c r="K93" i="7"/>
  <c r="K93" i="8" s="1"/>
  <c r="K93" i="9" s="1"/>
  <c r="K93" i="10" s="1"/>
  <c r="J93" i="7"/>
  <c r="J93" i="8" s="1"/>
  <c r="J93" i="9" s="1"/>
  <c r="J93" i="10" s="1"/>
  <c r="I93" i="7"/>
  <c r="I93" i="8" s="1"/>
  <c r="I93" i="9" s="1"/>
  <c r="I93" i="10" s="1"/>
  <c r="H93" i="7"/>
  <c r="H93" i="8" s="1"/>
  <c r="H93" i="9" s="1"/>
  <c r="H93" i="10" s="1"/>
  <c r="G93" i="7"/>
  <c r="G93" i="8" s="1"/>
  <c r="G93" i="9" s="1"/>
  <c r="G93" i="10" s="1"/>
  <c r="E93" i="7"/>
  <c r="E93" i="8" s="1"/>
  <c r="E93" i="9" s="1"/>
  <c r="E93" i="10" s="1"/>
  <c r="O93" i="7"/>
  <c r="O93" i="8" s="1"/>
  <c r="O93" i="9" s="1"/>
  <c r="O93" i="10" s="1"/>
  <c r="F93" i="7"/>
  <c r="F93" i="8" s="1"/>
  <c r="F93" i="9" s="1"/>
  <c r="F93" i="10" s="1"/>
  <c r="Z32" i="4"/>
  <c r="G67" i="7"/>
  <c r="G67" i="8" s="1"/>
  <c r="G67" i="9" s="1"/>
  <c r="G67" i="10" s="1"/>
  <c r="O67" i="7"/>
  <c r="O67" i="8" s="1"/>
  <c r="O67" i="9" s="1"/>
  <c r="O67" i="10" s="1"/>
  <c r="E67" i="7"/>
  <c r="E67" i="8" s="1"/>
  <c r="E67" i="9" s="1"/>
  <c r="E67" i="10" s="1"/>
  <c r="N67" i="7"/>
  <c r="N67" i="8" s="1"/>
  <c r="N67" i="9" s="1"/>
  <c r="N67" i="10" s="1"/>
  <c r="M67" i="7"/>
  <c r="M67" i="8" s="1"/>
  <c r="M67" i="9" s="1"/>
  <c r="M67" i="10" s="1"/>
  <c r="L67" i="7"/>
  <c r="L67" i="8" s="1"/>
  <c r="L67" i="9" s="1"/>
  <c r="L67" i="10" s="1"/>
  <c r="K67" i="7"/>
  <c r="K67" i="8" s="1"/>
  <c r="K67" i="9" s="1"/>
  <c r="K67" i="10" s="1"/>
  <c r="F67" i="7"/>
  <c r="F67" i="8" s="1"/>
  <c r="F67" i="9" s="1"/>
  <c r="F67" i="10" s="1"/>
  <c r="J67" i="7"/>
  <c r="J67" i="8" s="1"/>
  <c r="J67" i="9" s="1"/>
  <c r="J67" i="10" s="1"/>
  <c r="I67" i="7"/>
  <c r="I67" i="8" s="1"/>
  <c r="I67" i="9" s="1"/>
  <c r="I67" i="10" s="1"/>
  <c r="H67" i="7"/>
  <c r="H67" i="8" s="1"/>
  <c r="H67" i="9" s="1"/>
  <c r="H67" i="10" s="1"/>
  <c r="E106" i="17"/>
  <c r="AN98" i="17"/>
  <c r="AN93" i="17"/>
  <c r="AN89" i="17"/>
  <c r="AN88" i="17"/>
  <c r="AN84" i="17"/>
  <c r="AN83" i="17"/>
  <c r="AN67" i="17"/>
  <c r="AN105" i="17"/>
  <c r="AN106" i="17" s="1"/>
  <c r="E113" i="17"/>
  <c r="AN111" i="17"/>
  <c r="AN113" i="17" s="1"/>
  <c r="Z45" i="4"/>
  <c r="Z165" i="4"/>
  <c r="U111" i="1" l="1"/>
  <c r="F105" i="7"/>
  <c r="F105" i="8" s="1"/>
  <c r="F105" i="9" s="1"/>
  <c r="F105" i="10" s="1"/>
  <c r="P84" i="7"/>
  <c r="P84" i="8" s="1"/>
  <c r="P84" i="9" s="1"/>
  <c r="P84" i="10" s="1"/>
  <c r="P98" i="7"/>
  <c r="P98" i="8" s="1"/>
  <c r="P98" i="9" s="1"/>
  <c r="P98" i="10" s="1"/>
  <c r="P89" i="7"/>
  <c r="P89" i="8" s="1"/>
  <c r="P89" i="9" s="1"/>
  <c r="P89" i="10" s="1"/>
  <c r="P111" i="7"/>
  <c r="P111" i="8" s="1"/>
  <c r="P111" i="9" s="1"/>
  <c r="P111" i="10" s="1"/>
  <c r="P88" i="7"/>
  <c r="P88" i="8" s="1"/>
  <c r="P88" i="9" s="1"/>
  <c r="P88" i="10" s="1"/>
  <c r="P69" i="7"/>
  <c r="P69" i="8" s="1"/>
  <c r="P69" i="9" s="1"/>
  <c r="P69" i="10" s="1"/>
  <c r="P67" i="7"/>
  <c r="P67" i="8" s="1"/>
  <c r="P67" i="9" s="1"/>
  <c r="P67" i="10" s="1"/>
  <c r="P85" i="7"/>
  <c r="P85" i="8" s="1"/>
  <c r="P85" i="9" s="1"/>
  <c r="P85" i="10" s="1"/>
  <c r="P105" i="7"/>
  <c r="P105" i="8" s="1"/>
  <c r="P105" i="9" s="1"/>
  <c r="P105" i="10" s="1"/>
  <c r="P83" i="7"/>
  <c r="P83" i="8" s="1"/>
  <c r="P83" i="9" s="1"/>
  <c r="P83" i="10" s="1"/>
  <c r="P93" i="7"/>
  <c r="P93" i="8" s="1"/>
  <c r="P93" i="9" s="1"/>
  <c r="P93" i="10" s="1"/>
  <c r="E111" i="7"/>
  <c r="E111" i="8" s="1"/>
  <c r="E111" i="9" s="1"/>
  <c r="E111" i="10" s="1"/>
  <c r="P106" i="1"/>
  <c r="S93" i="1"/>
  <c r="S24" i="1"/>
  <c r="E15" i="17"/>
  <c r="G11" i="18" s="1"/>
  <c r="F11" i="18" s="1"/>
  <c r="E24" i="17" l="1"/>
  <c r="G9" i="18" s="1"/>
  <c r="F9" i="18" s="1"/>
  <c r="X24" i="1"/>
  <c r="X25" i="1" s="1"/>
  <c r="X93" i="1"/>
  <c r="E113" i="7"/>
  <c r="AD24" i="1"/>
  <c r="AD25" i="1" s="1"/>
  <c r="S25" i="1"/>
  <c r="J17" i="11" s="1"/>
  <c r="K17" i="11" s="1"/>
  <c r="AD15" i="1"/>
  <c r="K41" i="5"/>
  <c r="L41" i="5"/>
  <c r="E41" i="5"/>
  <c r="M41" i="5"/>
  <c r="F41" i="5"/>
  <c r="N41" i="5"/>
  <c r="G41" i="5"/>
  <c r="O41" i="5"/>
  <c r="H41" i="5"/>
  <c r="P41" i="5"/>
  <c r="I41" i="5"/>
  <c r="J41" i="5"/>
  <c r="S31" i="5"/>
  <c r="U15" i="7"/>
  <c r="E21" i="6"/>
  <c r="U24" i="7"/>
  <c r="U25" i="7" s="1"/>
  <c r="E30" i="6"/>
  <c r="S37" i="1"/>
  <c r="X40" i="1"/>
  <c r="S38" i="1"/>
  <c r="S39" i="1"/>
  <c r="S36" i="1"/>
  <c r="S35" i="1"/>
  <c r="S34" i="1"/>
  <c r="S33" i="1"/>
  <c r="S32" i="1"/>
  <c r="S31" i="1"/>
  <c r="X34" i="1" l="1"/>
  <c r="N34" i="17"/>
  <c r="G51" i="18" s="1"/>
  <c r="F51" i="18" s="1"/>
  <c r="X36" i="1"/>
  <c r="N36" i="17"/>
  <c r="G53" i="18" s="1"/>
  <c r="F53" i="18" s="1"/>
  <c r="X35" i="1"/>
  <c r="F35" i="17"/>
  <c r="G23" i="18" s="1"/>
  <c r="F23" i="18" s="1"/>
  <c r="X38" i="1"/>
  <c r="F38" i="17"/>
  <c r="X37" i="1"/>
  <c r="N37" i="17"/>
  <c r="G54" i="18" s="1"/>
  <c r="F54" i="18" s="1"/>
  <c r="X31" i="1"/>
  <c r="F31" i="17"/>
  <c r="G22" i="18" s="1"/>
  <c r="F22" i="18" s="1"/>
  <c r="X32" i="1"/>
  <c r="N32" i="17"/>
  <c r="G49" i="18" s="1"/>
  <c r="F49" i="18" s="1"/>
  <c r="X39" i="1"/>
  <c r="N39" i="17"/>
  <c r="G55" i="18" s="1"/>
  <c r="F55" i="18" s="1"/>
  <c r="X33" i="1"/>
  <c r="N33" i="17"/>
  <c r="G50" i="18" s="1"/>
  <c r="F50" i="18" s="1"/>
  <c r="G14" i="16"/>
  <c r="H14" i="16" s="1"/>
  <c r="AN35" i="17"/>
  <c r="AP35" i="17" s="1"/>
  <c r="AA24" i="1"/>
  <c r="AA25" i="1" s="1"/>
  <c r="E25" i="17"/>
  <c r="AN24" i="17"/>
  <c r="AD34" i="1"/>
  <c r="AD35" i="1"/>
  <c r="AD31" i="1"/>
  <c r="AD32" i="1"/>
  <c r="AD40" i="1"/>
  <c r="AD39" i="1"/>
  <c r="AD33" i="1"/>
  <c r="AD37" i="1"/>
  <c r="AD36" i="1"/>
  <c r="F17" i="17"/>
  <c r="AD38" i="1"/>
  <c r="E17" i="17"/>
  <c r="AN15" i="17"/>
  <c r="Z22" i="17"/>
  <c r="Z27" i="17" s="1"/>
  <c r="I22" i="17"/>
  <c r="I27" i="17" s="1"/>
  <c r="I117" i="17" s="1"/>
  <c r="S41" i="5"/>
  <c r="E31" i="6"/>
  <c r="AA15" i="1"/>
  <c r="AA35" i="1"/>
  <c r="U35" i="7"/>
  <c r="U34" i="7"/>
  <c r="U36" i="7"/>
  <c r="AA31" i="1"/>
  <c r="U31" i="7"/>
  <c r="E37" i="6"/>
  <c r="AA38" i="1"/>
  <c r="U38" i="7"/>
  <c r="U32" i="7"/>
  <c r="U40" i="7"/>
  <c r="U39" i="7"/>
  <c r="U33" i="7"/>
  <c r="U37" i="7"/>
  <c r="X41" i="1" l="1"/>
  <c r="G24" i="18"/>
  <c r="F24" i="18" s="1"/>
  <c r="G25" i="18"/>
  <c r="F25" i="18" s="1"/>
  <c r="L25" i="7"/>
  <c r="H25" i="7"/>
  <c r="P25" i="7"/>
  <c r="F25" i="7"/>
  <c r="I25" i="7"/>
  <c r="J25" i="7"/>
  <c r="M25" i="7"/>
  <c r="N25" i="7"/>
  <c r="O25" i="7"/>
  <c r="K25" i="7"/>
  <c r="G25" i="7"/>
  <c r="AN38" i="17"/>
  <c r="AP38" i="17" s="1"/>
  <c r="F41" i="17"/>
  <c r="F27" i="17"/>
  <c r="I22" i="7"/>
  <c r="AA37" i="1"/>
  <c r="AA34" i="1"/>
  <c r="AA36" i="1"/>
  <c r="AA39" i="1"/>
  <c r="AA33" i="1"/>
  <c r="K22" i="7"/>
  <c r="AA40" i="1"/>
  <c r="AA32" i="1"/>
  <c r="L22" i="7"/>
  <c r="M22" i="7"/>
  <c r="N22" i="7"/>
  <c r="H22" i="7"/>
  <c r="G22" i="7"/>
  <c r="AD41" i="1"/>
  <c r="F22" i="7"/>
  <c r="AN25" i="17"/>
  <c r="AP25" i="17" s="1"/>
  <c r="AP24" i="17"/>
  <c r="AN31" i="17"/>
  <c r="O22" i="17"/>
  <c r="O27" i="17" s="1"/>
  <c r="AB22" i="17"/>
  <c r="AB27" i="17" s="1"/>
  <c r="AP15" i="17"/>
  <c r="K22" i="17"/>
  <c r="K27" i="17" s="1"/>
  <c r="K117" i="17" s="1"/>
  <c r="AF22" i="17"/>
  <c r="AF27" i="17" s="1"/>
  <c r="AF117" i="17" s="1"/>
  <c r="E22" i="7"/>
  <c r="E25" i="7"/>
  <c r="S24" i="7"/>
  <c r="E47" i="6"/>
  <c r="E158" i="6" s="1"/>
  <c r="U41" i="7"/>
  <c r="S41" i="1"/>
  <c r="J22" i="11" s="1"/>
  <c r="P41" i="1"/>
  <c r="K22" i="11" l="1"/>
  <c r="U41" i="1"/>
  <c r="E22" i="11" s="1"/>
  <c r="G22" i="11" s="1"/>
  <c r="G19" i="16"/>
  <c r="H19" i="16" s="1"/>
  <c r="AN36" i="17"/>
  <c r="AP36" i="17" s="1"/>
  <c r="AN40" i="17"/>
  <c r="AP40" i="17" s="1"/>
  <c r="AN37" i="17"/>
  <c r="AP37" i="17" s="1"/>
  <c r="AN39" i="17"/>
  <c r="AP39" i="17" s="1"/>
  <c r="AA41" i="1"/>
  <c r="O41" i="17"/>
  <c r="AN33" i="17"/>
  <c r="AP33" i="17" s="1"/>
  <c r="N41" i="17"/>
  <c r="AN34" i="17"/>
  <c r="AP34" i="17" s="1"/>
  <c r="M41" i="17"/>
  <c r="AN32" i="17"/>
  <c r="AP32" i="17" s="1"/>
  <c r="L22" i="17"/>
  <c r="L27" i="17" s="1"/>
  <c r="L117" i="17" s="1"/>
  <c r="AP31" i="17"/>
  <c r="AC22" i="17"/>
  <c r="AC27" i="17" s="1"/>
  <c r="AC117" i="17" s="1"/>
  <c r="U24" i="8"/>
  <c r="S25" i="7"/>
  <c r="V24" i="7"/>
  <c r="V25" i="7" s="1"/>
  <c r="C67" i="3"/>
  <c r="C61" i="3"/>
  <c r="C55" i="3"/>
  <c r="C49" i="3"/>
  <c r="C43" i="3"/>
  <c r="C31" i="3"/>
  <c r="C25" i="3"/>
  <c r="Y72" i="3"/>
  <c r="AA72" i="3" s="1"/>
  <c r="AC72" i="3" s="1"/>
  <c r="AE72" i="3" s="1"/>
  <c r="K73" i="3"/>
  <c r="K74" i="3"/>
  <c r="Y74" i="3" s="1"/>
  <c r="AA74" i="3" s="1"/>
  <c r="AC74" i="3" s="1"/>
  <c r="AE74" i="3" s="1"/>
  <c r="Y77" i="3"/>
  <c r="Y94" i="3" s="1"/>
  <c r="Y78" i="3"/>
  <c r="Y80" i="3"/>
  <c r="Y81" i="3"/>
  <c r="Y105" i="3" s="1"/>
  <c r="K85" i="3"/>
  <c r="Y85" i="3" s="1"/>
  <c r="AA85" i="3" s="1"/>
  <c r="AC85" i="3" s="1"/>
  <c r="AE85" i="3" s="1"/>
  <c r="K86" i="3"/>
  <c r="Y86" i="3" s="1"/>
  <c r="AA86" i="3" s="1"/>
  <c r="AC86" i="3" s="1"/>
  <c r="AE86" i="3" s="1"/>
  <c r="K84" i="3"/>
  <c r="Y82" i="3"/>
  <c r="Y84" i="3" l="1"/>
  <c r="AA84" i="3" s="1"/>
  <c r="AC84" i="3" s="1"/>
  <c r="AE84" i="3" s="1"/>
  <c r="K87" i="3"/>
  <c r="Y73" i="3"/>
  <c r="Y75" i="3" s="1"/>
  <c r="Y91" i="3" s="1"/>
  <c r="K75" i="3"/>
  <c r="AN41" i="17"/>
  <c r="AP41" i="17" s="1"/>
  <c r="Y97" i="3"/>
  <c r="Y98" i="3"/>
  <c r="Y96" i="3"/>
  <c r="K95" i="3"/>
  <c r="AA78" i="3"/>
  <c r="AA82" i="3"/>
  <c r="Y106" i="3"/>
  <c r="AA80" i="3"/>
  <c r="AA77" i="3"/>
  <c r="Y104" i="3"/>
  <c r="AA81" i="3"/>
  <c r="U25" i="8"/>
  <c r="E128" i="7"/>
  <c r="Z37" i="3"/>
  <c r="Z25" i="3"/>
  <c r="Y87" i="3" l="1"/>
  <c r="Y114" i="3" s="1"/>
  <c r="N48" i="8"/>
  <c r="N48" i="9" s="1"/>
  <c r="N48" i="10" s="1"/>
  <c r="M48" i="8"/>
  <c r="M48" i="9" s="1"/>
  <c r="M48" i="10" s="1"/>
  <c r="L48" i="8"/>
  <c r="L48" i="9" s="1"/>
  <c r="L48" i="10" s="1"/>
  <c r="K48" i="8"/>
  <c r="K48" i="9" s="1"/>
  <c r="K48" i="10" s="1"/>
  <c r="J48" i="8"/>
  <c r="J48" i="9" s="1"/>
  <c r="J48" i="10" s="1"/>
  <c r="I48" i="8"/>
  <c r="I48" i="9" s="1"/>
  <c r="I48" i="10" s="1"/>
  <c r="E48" i="8"/>
  <c r="E48" i="9" s="1"/>
  <c r="E48" i="10" s="1"/>
  <c r="H48" i="8"/>
  <c r="H48" i="9" s="1"/>
  <c r="H48" i="10" s="1"/>
  <c r="G48" i="8"/>
  <c r="G48" i="9" s="1"/>
  <c r="G48" i="10" s="1"/>
  <c r="F48" i="8"/>
  <c r="F48" i="9" s="1"/>
  <c r="F48" i="10" s="1"/>
  <c r="P48" i="8"/>
  <c r="P48" i="9" s="1"/>
  <c r="P48" i="10" s="1"/>
  <c r="O48" i="8"/>
  <c r="O48" i="9" s="1"/>
  <c r="O48" i="10" s="1"/>
  <c r="AA73" i="3"/>
  <c r="AC73" i="3" s="1"/>
  <c r="AE73" i="3" s="1"/>
  <c r="AE75" i="3" s="1"/>
  <c r="K113" i="3"/>
  <c r="AA98" i="3"/>
  <c r="AA97" i="3"/>
  <c r="AA96" i="3"/>
  <c r="K91" i="3"/>
  <c r="AC78" i="3"/>
  <c r="Y107" i="3"/>
  <c r="K111" i="3"/>
  <c r="K99" i="3"/>
  <c r="AA94" i="3"/>
  <c r="AC82" i="3"/>
  <c r="AA106" i="3"/>
  <c r="AC77" i="3"/>
  <c r="AC80" i="3"/>
  <c r="AA104" i="3"/>
  <c r="AA105" i="3"/>
  <c r="AC81" i="3"/>
  <c r="K92" i="3"/>
  <c r="K114" i="3"/>
  <c r="S128" i="1"/>
  <c r="E139" i="6" s="1"/>
  <c r="Y110" i="3"/>
  <c r="Y102" i="3"/>
  <c r="Y92" i="3"/>
  <c r="AA101" i="3"/>
  <c r="AA109" i="3"/>
  <c r="Y101" i="3"/>
  <c r="Y109" i="3"/>
  <c r="AB37" i="3"/>
  <c r="AD37" i="3"/>
  <c r="AD25" i="3"/>
  <c r="AB25" i="3"/>
  <c r="AA87" i="3"/>
  <c r="Y113" i="3" l="1"/>
  <c r="O61" i="7"/>
  <c r="O61" i="8" s="1"/>
  <c r="O61" i="9" s="1"/>
  <c r="O61" i="10" s="1"/>
  <c r="E61" i="7"/>
  <c r="E61" i="8" s="1"/>
  <c r="E61" i="9" s="1"/>
  <c r="E61" i="10" s="1"/>
  <c r="N61" i="7"/>
  <c r="N61" i="8" s="1"/>
  <c r="N61" i="9" s="1"/>
  <c r="N61" i="10" s="1"/>
  <c r="M61" i="7"/>
  <c r="M61" i="8" s="1"/>
  <c r="M61" i="9" s="1"/>
  <c r="M61" i="10" s="1"/>
  <c r="L61" i="7"/>
  <c r="L61" i="8" s="1"/>
  <c r="L61" i="9" s="1"/>
  <c r="L61" i="10" s="1"/>
  <c r="K61" i="7"/>
  <c r="K61" i="8" s="1"/>
  <c r="K61" i="9" s="1"/>
  <c r="K61" i="10" s="1"/>
  <c r="J61" i="7"/>
  <c r="J61" i="8" s="1"/>
  <c r="J61" i="9" s="1"/>
  <c r="J61" i="10" s="1"/>
  <c r="I61" i="7"/>
  <c r="I61" i="8" s="1"/>
  <c r="I61" i="9" s="1"/>
  <c r="I61" i="10" s="1"/>
  <c r="H61" i="7"/>
  <c r="H61" i="8" s="1"/>
  <c r="H61" i="9" s="1"/>
  <c r="H61" i="10" s="1"/>
  <c r="G61" i="7"/>
  <c r="G61" i="8" s="1"/>
  <c r="G61" i="9" s="1"/>
  <c r="G61" i="10" s="1"/>
  <c r="F61" i="7"/>
  <c r="F61" i="8" s="1"/>
  <c r="F61" i="9" s="1"/>
  <c r="F61" i="10" s="1"/>
  <c r="O45" i="7"/>
  <c r="O45" i="8" s="1"/>
  <c r="O45" i="9" s="1"/>
  <c r="O45" i="10" s="1"/>
  <c r="N45" i="7"/>
  <c r="N45" i="8" s="1"/>
  <c r="N45" i="9" s="1"/>
  <c r="N45" i="10" s="1"/>
  <c r="M45" i="7"/>
  <c r="M45" i="8" s="1"/>
  <c r="M45" i="9" s="1"/>
  <c r="M45" i="10" s="1"/>
  <c r="L45" i="7"/>
  <c r="L45" i="8" s="1"/>
  <c r="L45" i="9" s="1"/>
  <c r="L45" i="10" s="1"/>
  <c r="K45" i="7"/>
  <c r="K45" i="8" s="1"/>
  <c r="K45" i="9" s="1"/>
  <c r="K45" i="10" s="1"/>
  <c r="J45" i="7"/>
  <c r="J45" i="8" s="1"/>
  <c r="J45" i="9" s="1"/>
  <c r="J45" i="10" s="1"/>
  <c r="H45" i="7"/>
  <c r="H45" i="8" s="1"/>
  <c r="H45" i="9" s="1"/>
  <c r="H45" i="10" s="1"/>
  <c r="G45" i="7"/>
  <c r="G45" i="8" s="1"/>
  <c r="G45" i="9" s="1"/>
  <c r="G45" i="10" s="1"/>
  <c r="F45" i="7"/>
  <c r="F45" i="8" s="1"/>
  <c r="F45" i="9" s="1"/>
  <c r="F45" i="10" s="1"/>
  <c r="K60" i="8"/>
  <c r="K60" i="9" s="1"/>
  <c r="K60" i="10" s="1"/>
  <c r="J60" i="8"/>
  <c r="J60" i="9" s="1"/>
  <c r="J60" i="10" s="1"/>
  <c r="I60" i="8"/>
  <c r="I60" i="9" s="1"/>
  <c r="I60" i="10" s="1"/>
  <c r="E60" i="8"/>
  <c r="E60" i="9" s="1"/>
  <c r="E60" i="10" s="1"/>
  <c r="H60" i="8"/>
  <c r="H60" i="9" s="1"/>
  <c r="H60" i="10" s="1"/>
  <c r="G60" i="8"/>
  <c r="G60" i="9" s="1"/>
  <c r="G60" i="10" s="1"/>
  <c r="L60" i="8"/>
  <c r="L60" i="9" s="1"/>
  <c r="L60" i="10" s="1"/>
  <c r="F60" i="8"/>
  <c r="F60" i="9" s="1"/>
  <c r="F60" i="10" s="1"/>
  <c r="M60" i="8"/>
  <c r="M60" i="9" s="1"/>
  <c r="M60" i="10" s="1"/>
  <c r="O60" i="8"/>
  <c r="O60" i="9" s="1"/>
  <c r="O60" i="10" s="1"/>
  <c r="N60" i="8"/>
  <c r="N60" i="9" s="1"/>
  <c r="N60" i="10" s="1"/>
  <c r="K44" i="8"/>
  <c r="K44" i="9" s="1"/>
  <c r="K44" i="10" s="1"/>
  <c r="J44" i="8"/>
  <c r="J44" i="9" s="1"/>
  <c r="J44" i="10" s="1"/>
  <c r="I44" i="8"/>
  <c r="I44" i="9" s="1"/>
  <c r="I44" i="10" s="1"/>
  <c r="H44" i="8"/>
  <c r="H44" i="9" s="1"/>
  <c r="H44" i="10" s="1"/>
  <c r="G44" i="8"/>
  <c r="G44" i="9" s="1"/>
  <c r="G44" i="10" s="1"/>
  <c r="F44" i="8"/>
  <c r="F44" i="9" s="1"/>
  <c r="F44" i="10" s="1"/>
  <c r="N44" i="8"/>
  <c r="N44" i="9" s="1"/>
  <c r="N44" i="10" s="1"/>
  <c r="M44" i="8"/>
  <c r="M44" i="9" s="1"/>
  <c r="M44" i="10" s="1"/>
  <c r="L44" i="8"/>
  <c r="L44" i="9" s="1"/>
  <c r="L44" i="10" s="1"/>
  <c r="O44" i="8"/>
  <c r="O44" i="9" s="1"/>
  <c r="O44" i="10" s="1"/>
  <c r="E45" i="7"/>
  <c r="E45" i="8" s="1"/>
  <c r="E45" i="9" s="1"/>
  <c r="E45" i="10" s="1"/>
  <c r="E44" i="8"/>
  <c r="E44" i="9" s="1"/>
  <c r="E44" i="10" s="1"/>
  <c r="AC75" i="3"/>
  <c r="AC92" i="3" s="1"/>
  <c r="AA75" i="3"/>
  <c r="AA91" i="3" s="1"/>
  <c r="S57" i="1"/>
  <c r="N57" i="17" s="1"/>
  <c r="G66" i="18" s="1"/>
  <c r="F66" i="18" s="1"/>
  <c r="AC97" i="3"/>
  <c r="AC98" i="3"/>
  <c r="AC96" i="3"/>
  <c r="AE78" i="3"/>
  <c r="Y95" i="3"/>
  <c r="AA95" i="3"/>
  <c r="AA107" i="3"/>
  <c r="AC94" i="3"/>
  <c r="AE80" i="3"/>
  <c r="AA114" i="3"/>
  <c r="AE82" i="3"/>
  <c r="AC106" i="3"/>
  <c r="AE77" i="3"/>
  <c r="AC104" i="3"/>
  <c r="AC105" i="3"/>
  <c r="AE81" i="3"/>
  <c r="AA110" i="3"/>
  <c r="AA102" i="3"/>
  <c r="AA113" i="3"/>
  <c r="S56" i="1"/>
  <c r="S47" i="1"/>
  <c r="S50" i="1"/>
  <c r="S49" i="1"/>
  <c r="N49" i="17" s="1"/>
  <c r="G61" i="18" s="1"/>
  <c r="F61" i="18" s="1"/>
  <c r="S55" i="1"/>
  <c r="N55" i="17" s="1"/>
  <c r="G65" i="18" s="1"/>
  <c r="F65" i="18" s="1"/>
  <c r="S58" i="1"/>
  <c r="N58" i="17" s="1"/>
  <c r="G67" i="18" s="1"/>
  <c r="F67" i="18" s="1"/>
  <c r="AE92" i="3"/>
  <c r="AC110" i="3"/>
  <c r="AC102" i="3"/>
  <c r="S51" i="1"/>
  <c r="N51" i="17" s="1"/>
  <c r="G62" i="18" s="1"/>
  <c r="F62" i="18" s="1"/>
  <c r="S54" i="1"/>
  <c r="N54" i="17" s="1"/>
  <c r="G64" i="18" s="1"/>
  <c r="F64" i="18" s="1"/>
  <c r="S48" i="1"/>
  <c r="N48" i="17" s="1"/>
  <c r="G60" i="18" s="1"/>
  <c r="F60" i="18" s="1"/>
  <c r="AC101" i="3"/>
  <c r="AC109" i="3"/>
  <c r="AE91" i="3"/>
  <c r="AE87" i="3"/>
  <c r="AC87" i="3"/>
  <c r="X47" i="1" l="1"/>
  <c r="AG96" i="3" s="1"/>
  <c r="AH96" i="3" s="1"/>
  <c r="F47" i="17"/>
  <c r="G27" i="18" s="1"/>
  <c r="F27" i="18" s="1"/>
  <c r="X50" i="1"/>
  <c r="AG100" i="3" s="1"/>
  <c r="AH100" i="3" s="1"/>
  <c r="F50" i="17"/>
  <c r="G28" i="18" s="1"/>
  <c r="F28" i="18" s="1"/>
  <c r="X56" i="1"/>
  <c r="AG108" i="3" s="1"/>
  <c r="AH108" i="3" s="1"/>
  <c r="F56" i="17"/>
  <c r="G30" i="18" s="1"/>
  <c r="F30" i="18" s="1"/>
  <c r="X49" i="1"/>
  <c r="AG98" i="3" s="1"/>
  <c r="AH98" i="3" s="1"/>
  <c r="X58" i="1"/>
  <c r="AG110" i="3" s="1"/>
  <c r="AH110" i="3" s="1"/>
  <c r="X55" i="1"/>
  <c r="AG106" i="3" s="1"/>
  <c r="AH106" i="3" s="1"/>
  <c r="X48" i="1"/>
  <c r="AG97" i="3" s="1"/>
  <c r="AH97" i="3" s="1"/>
  <c r="X54" i="1"/>
  <c r="AG105" i="3" s="1"/>
  <c r="AH105" i="3" s="1"/>
  <c r="X57" i="1"/>
  <c r="AG109" i="3" s="1"/>
  <c r="AH109" i="3" s="1"/>
  <c r="X51" i="1"/>
  <c r="AG101" i="3" s="1"/>
  <c r="AH101" i="3" s="1"/>
  <c r="P45" i="7"/>
  <c r="P45" i="8" s="1"/>
  <c r="P45" i="9" s="1"/>
  <c r="P45" i="10" s="1"/>
  <c r="P44" i="8"/>
  <c r="P44" i="9" s="1"/>
  <c r="P44" i="10" s="1"/>
  <c r="P61" i="7"/>
  <c r="P61" i="8" s="1"/>
  <c r="P61" i="9" s="1"/>
  <c r="P61" i="10" s="1"/>
  <c r="P60" i="8"/>
  <c r="P60" i="9" s="1"/>
  <c r="P60" i="10" s="1"/>
  <c r="I45" i="7"/>
  <c r="I45" i="8" s="1"/>
  <c r="I45" i="9" s="1"/>
  <c r="I45" i="10" s="1"/>
  <c r="H52" i="7"/>
  <c r="H52" i="8" s="1"/>
  <c r="H52" i="9" s="1"/>
  <c r="H52" i="10" s="1"/>
  <c r="I52" i="7"/>
  <c r="I52" i="8" s="1"/>
  <c r="I52" i="9" s="1"/>
  <c r="I52" i="10" s="1"/>
  <c r="J52" i="7"/>
  <c r="J52" i="8" s="1"/>
  <c r="J52" i="9" s="1"/>
  <c r="J52" i="10" s="1"/>
  <c r="G52" i="7"/>
  <c r="G52" i="8" s="1"/>
  <c r="G52" i="9" s="1"/>
  <c r="G52" i="10" s="1"/>
  <c r="K52" i="7"/>
  <c r="K52" i="8" s="1"/>
  <c r="K52" i="9" s="1"/>
  <c r="K52" i="10" s="1"/>
  <c r="L52" i="7"/>
  <c r="L52" i="8" s="1"/>
  <c r="L52" i="9" s="1"/>
  <c r="L52" i="10" s="1"/>
  <c r="M52" i="7"/>
  <c r="M52" i="8" s="1"/>
  <c r="M52" i="9" s="1"/>
  <c r="M52" i="10" s="1"/>
  <c r="N52" i="7"/>
  <c r="N52" i="8" s="1"/>
  <c r="N52" i="9" s="1"/>
  <c r="N52" i="10" s="1"/>
  <c r="O52" i="7"/>
  <c r="O52" i="8" s="1"/>
  <c r="O52" i="9" s="1"/>
  <c r="O52" i="10" s="1"/>
  <c r="P52" i="7"/>
  <c r="P52" i="8" s="1"/>
  <c r="P52" i="9" s="1"/>
  <c r="P52" i="10" s="1"/>
  <c r="E52" i="7"/>
  <c r="E52" i="8" s="1"/>
  <c r="E52" i="9" s="1"/>
  <c r="E52" i="10" s="1"/>
  <c r="S52" i="1"/>
  <c r="N52" i="17" s="1"/>
  <c r="G63" i="18" s="1"/>
  <c r="F63" i="18" s="1"/>
  <c r="F52" i="7"/>
  <c r="F52" i="8" s="1"/>
  <c r="F52" i="9" s="1"/>
  <c r="F52" i="10" s="1"/>
  <c r="AA92" i="3"/>
  <c r="AC91" i="3"/>
  <c r="AD51" i="1"/>
  <c r="AD58" i="1"/>
  <c r="AD55" i="1"/>
  <c r="AD47" i="1"/>
  <c r="AD49" i="1"/>
  <c r="AD48" i="1"/>
  <c r="AD54" i="1"/>
  <c r="AD57" i="1"/>
  <c r="AD50" i="1"/>
  <c r="AD56" i="1"/>
  <c r="AE97" i="3"/>
  <c r="AE98" i="3"/>
  <c r="AE96" i="3"/>
  <c r="AC95" i="3"/>
  <c r="S44" i="1"/>
  <c r="N44" i="17" s="1"/>
  <c r="G57" i="18" s="1"/>
  <c r="F57" i="18" s="1"/>
  <c r="AC107" i="3"/>
  <c r="AE94" i="3"/>
  <c r="S60" i="1"/>
  <c r="N60" i="17" s="1"/>
  <c r="G68" i="18" s="1"/>
  <c r="F68" i="18" s="1"/>
  <c r="AE114" i="3"/>
  <c r="AC114" i="3"/>
  <c r="AE106" i="3"/>
  <c r="AE104" i="3"/>
  <c r="AE105" i="3"/>
  <c r="AE109" i="3"/>
  <c r="AE101" i="3"/>
  <c r="S61" i="1"/>
  <c r="N61" i="17" s="1"/>
  <c r="G69" i="18" s="1"/>
  <c r="F69" i="18" s="1"/>
  <c r="AE102" i="3"/>
  <c r="AC113" i="3"/>
  <c r="AE110" i="3"/>
  <c r="AE113" i="3"/>
  <c r="S57" i="8"/>
  <c r="I63" i="6" s="1"/>
  <c r="S45" i="1"/>
  <c r="N45" i="17" s="1"/>
  <c r="G58" i="18" s="1"/>
  <c r="F58" i="18" s="1"/>
  <c r="S58" i="7"/>
  <c r="S57" i="7"/>
  <c r="G63" i="6" s="1"/>
  <c r="AA50" i="1"/>
  <c r="U50" i="7"/>
  <c r="AA47" i="1"/>
  <c r="U47" i="7"/>
  <c r="AA56" i="1"/>
  <c r="U56" i="7"/>
  <c r="U57" i="7"/>
  <c r="U55" i="7"/>
  <c r="U51" i="7"/>
  <c r="U58" i="7"/>
  <c r="U54" i="7"/>
  <c r="U48" i="7"/>
  <c r="U49" i="7"/>
  <c r="C13" i="3"/>
  <c r="X9" i="3"/>
  <c r="S61" i="7" l="1"/>
  <c r="S60" i="7"/>
  <c r="X61" i="1"/>
  <c r="AG114" i="3" s="1"/>
  <c r="AH114" i="3" s="1"/>
  <c r="X60" i="1"/>
  <c r="AG113" i="3" s="1"/>
  <c r="AH113" i="3" s="1"/>
  <c r="X52" i="1"/>
  <c r="AG102" i="3" s="1"/>
  <c r="AH102" i="3" s="1"/>
  <c r="X45" i="1"/>
  <c r="AG92" i="3" s="1"/>
  <c r="AH92" i="3" s="1"/>
  <c r="X44" i="1"/>
  <c r="AG91" i="3" s="1"/>
  <c r="AH91" i="3" s="1"/>
  <c r="AD52" i="1"/>
  <c r="U52" i="7"/>
  <c r="AA52" i="1"/>
  <c r="AN56" i="17"/>
  <c r="AP56" i="17" s="1"/>
  <c r="AN50" i="17"/>
  <c r="AP50" i="17" s="1"/>
  <c r="S45" i="7"/>
  <c r="U45" i="8" s="1"/>
  <c r="AN47" i="17"/>
  <c r="AP47" i="17" s="1"/>
  <c r="Z9" i="3"/>
  <c r="AB9" i="3" s="1"/>
  <c r="AD9" i="3" s="1"/>
  <c r="S44" i="7"/>
  <c r="G50" i="6" s="1"/>
  <c r="AA57" i="1"/>
  <c r="AA55" i="1"/>
  <c r="AA51" i="1"/>
  <c r="AA58" i="1"/>
  <c r="AA54" i="1"/>
  <c r="AA48" i="1"/>
  <c r="AA49" i="1"/>
  <c r="AD60" i="1"/>
  <c r="AD61" i="1"/>
  <c r="AD45" i="1"/>
  <c r="U44" i="7"/>
  <c r="AD44" i="1"/>
  <c r="U60" i="7"/>
  <c r="AE107" i="3"/>
  <c r="AE95" i="3"/>
  <c r="S61" i="8"/>
  <c r="U61" i="7"/>
  <c r="V61" i="7" s="1"/>
  <c r="U61" i="8"/>
  <c r="U57" i="9"/>
  <c r="U58" i="8"/>
  <c r="U57" i="8"/>
  <c r="V57" i="8" s="1"/>
  <c r="V57" i="7"/>
  <c r="U45" i="7"/>
  <c r="V58" i="7"/>
  <c r="S44" i="8"/>
  <c r="I50" i="6" s="1"/>
  <c r="S60" i="8"/>
  <c r="I66" i="6" s="1"/>
  <c r="S57" i="9"/>
  <c r="K63" i="6" s="1"/>
  <c r="S58" i="9"/>
  <c r="S58" i="8"/>
  <c r="S45" i="10"/>
  <c r="S45" i="9"/>
  <c r="S44" i="10"/>
  <c r="M50" i="6" s="1"/>
  <c r="U60" i="8" l="1"/>
  <c r="G66" i="6"/>
  <c r="V60" i="7"/>
  <c r="V45" i="7"/>
  <c r="AN52" i="17"/>
  <c r="AP52" i="17" s="1"/>
  <c r="U44" i="8"/>
  <c r="V44" i="8" s="1"/>
  <c r="U61" i="9"/>
  <c r="V44" i="7"/>
  <c r="S45" i="8"/>
  <c r="S44" i="9"/>
  <c r="K50" i="6" s="1"/>
  <c r="AN48" i="17"/>
  <c r="AP48" i="17" s="1"/>
  <c r="AN55" i="17"/>
  <c r="AP55" i="17" s="1"/>
  <c r="AN54" i="17"/>
  <c r="AP54" i="17" s="1"/>
  <c r="AN57" i="17"/>
  <c r="AP57" i="17" s="1"/>
  <c r="AN49" i="17"/>
  <c r="AP49" i="17" s="1"/>
  <c r="AN58" i="17"/>
  <c r="AP58" i="17" s="1"/>
  <c r="AN51" i="17"/>
  <c r="AP51" i="17" s="1"/>
  <c r="AA45" i="1"/>
  <c r="AA60" i="1"/>
  <c r="AA61" i="1"/>
  <c r="AA44" i="1"/>
  <c r="S61" i="9"/>
  <c r="V61" i="8"/>
  <c r="S61" i="10"/>
  <c r="S57" i="10"/>
  <c r="M63" i="6" s="1"/>
  <c r="S53" i="1"/>
  <c r="S60" i="10"/>
  <c r="M66" i="6" s="1"/>
  <c r="S60" i="9"/>
  <c r="K66" i="6" s="1"/>
  <c r="S58" i="10"/>
  <c r="V60" i="8"/>
  <c r="U57" i="10"/>
  <c r="U45" i="10"/>
  <c r="V45" i="10" s="1"/>
  <c r="U58" i="10"/>
  <c r="U44" i="9"/>
  <c r="U58" i="9"/>
  <c r="V58" i="9" s="1"/>
  <c r="U60" i="9"/>
  <c r="V57" i="9"/>
  <c r="V58" i="8"/>
  <c r="Y108" i="3"/>
  <c r="Y100" i="3"/>
  <c r="Y103" i="3" s="1"/>
  <c r="Y99" i="3"/>
  <c r="Y112" i="3"/>
  <c r="Y115" i="3" s="1"/>
  <c r="Y90" i="3"/>
  <c r="Z13" i="3"/>
  <c r="X53" i="1" l="1"/>
  <c r="AG104" i="3" s="1"/>
  <c r="AH104" i="3" s="1"/>
  <c r="F53" i="17"/>
  <c r="G29" i="18" s="1"/>
  <c r="F29" i="18" s="1"/>
  <c r="U44" i="10"/>
  <c r="V44" i="10" s="1"/>
  <c r="U45" i="9"/>
  <c r="V45" i="9" s="1"/>
  <c r="U61" i="10"/>
  <c r="V61" i="10" s="1"/>
  <c r="V45" i="8"/>
  <c r="V44" i="9"/>
  <c r="AN61" i="17"/>
  <c r="AP61" i="17" s="1"/>
  <c r="AN60" i="17"/>
  <c r="AP60" i="17" s="1"/>
  <c r="O62" i="17"/>
  <c r="AN45" i="17"/>
  <c r="AP45" i="17" s="1"/>
  <c r="M62" i="17"/>
  <c r="M115" i="17" s="1"/>
  <c r="M117" i="17" s="1"/>
  <c r="AN44" i="17"/>
  <c r="AP44" i="17" s="1"/>
  <c r="AD53" i="1"/>
  <c r="Y93" i="3"/>
  <c r="V61" i="9"/>
  <c r="Y111" i="3"/>
  <c r="V57" i="10"/>
  <c r="AA53" i="1"/>
  <c r="U53" i="7"/>
  <c r="U60" i="10"/>
  <c r="V60" i="10" s="1"/>
  <c r="V60" i="9"/>
  <c r="V58" i="10"/>
  <c r="AA112" i="3"/>
  <c r="AA115" i="3" s="1"/>
  <c r="AA90" i="3"/>
  <c r="AA108" i="3"/>
  <c r="AA100" i="3"/>
  <c r="AA103" i="3" s="1"/>
  <c r="AA99" i="3"/>
  <c r="AD13" i="3"/>
  <c r="AB13" i="3"/>
  <c r="AN53" i="17" l="1"/>
  <c r="AP53" i="17" s="1"/>
  <c r="Y116" i="3"/>
  <c r="AA93" i="3"/>
  <c r="AA111" i="3"/>
  <c r="S56" i="7"/>
  <c r="AC108" i="3"/>
  <c r="AC100" i="3"/>
  <c r="AC103" i="3" s="1"/>
  <c r="AC99" i="3"/>
  <c r="AE112" i="3"/>
  <c r="AE90" i="3"/>
  <c r="AC112" i="3"/>
  <c r="AC115" i="3" s="1"/>
  <c r="AC90" i="3"/>
  <c r="A3" i="3"/>
  <c r="A3" i="2"/>
  <c r="A1" i="3"/>
  <c r="A1" i="2"/>
  <c r="E62" i="17" l="1"/>
  <c r="AE115" i="3"/>
  <c r="AA116" i="3"/>
  <c r="AC93" i="3"/>
  <c r="AE93" i="3"/>
  <c r="AC111" i="3"/>
  <c r="AE108" i="3"/>
  <c r="AE100" i="3"/>
  <c r="AE103" i="3" s="1"/>
  <c r="AE99" i="3"/>
  <c r="U56" i="8"/>
  <c r="V56" i="7"/>
  <c r="S56" i="8"/>
  <c r="H41" i="2"/>
  <c r="J41" i="2" s="1"/>
  <c r="L41" i="2" s="1"/>
  <c r="N41" i="2" s="1"/>
  <c r="H42" i="2"/>
  <c r="J42" i="2" s="1"/>
  <c r="H43" i="2"/>
  <c r="J43" i="2" s="1"/>
  <c r="L43" i="2" s="1"/>
  <c r="N43" i="2" s="1"/>
  <c r="H44" i="2"/>
  <c r="J44" i="2" s="1"/>
  <c r="L44" i="2" s="1"/>
  <c r="N44" i="2" s="1"/>
  <c r="H40" i="2"/>
  <c r="J40" i="2" s="1"/>
  <c r="L40" i="2" s="1"/>
  <c r="F45" i="2"/>
  <c r="A1" i="1"/>
  <c r="H24" i="2"/>
  <c r="J24" i="2"/>
  <c r="L24" i="2"/>
  <c r="N24" i="2"/>
  <c r="N5" i="7" l="1"/>
  <c r="I5" i="10"/>
  <c r="E5" i="9"/>
  <c r="M5" i="7"/>
  <c r="H5" i="10"/>
  <c r="P5" i="8"/>
  <c r="L5" i="7"/>
  <c r="G5" i="10"/>
  <c r="O5" i="8"/>
  <c r="K5" i="7"/>
  <c r="J5" i="9"/>
  <c r="P5" i="7"/>
  <c r="F5" i="9"/>
  <c r="F5" i="10"/>
  <c r="N5" i="8"/>
  <c r="J5" i="7"/>
  <c r="E5" i="10"/>
  <c r="M5" i="8"/>
  <c r="I5" i="7"/>
  <c r="P5" i="9"/>
  <c r="L5" i="8"/>
  <c r="H5" i="7"/>
  <c r="E5" i="8"/>
  <c r="H5" i="9"/>
  <c r="G5" i="9"/>
  <c r="L5" i="10"/>
  <c r="O5" i="9"/>
  <c r="K5" i="8"/>
  <c r="G5" i="7"/>
  <c r="N5" i="9"/>
  <c r="J5" i="8"/>
  <c r="F5" i="7"/>
  <c r="K5" i="9"/>
  <c r="I5" i="9"/>
  <c r="K5" i="10"/>
  <c r="O5" i="7"/>
  <c r="M5" i="9"/>
  <c r="I5" i="8"/>
  <c r="E5" i="7"/>
  <c r="P5" i="10"/>
  <c r="L5" i="9"/>
  <c r="H5" i="8"/>
  <c r="O5" i="10"/>
  <c r="G5" i="8"/>
  <c r="N5" i="10"/>
  <c r="F5" i="8"/>
  <c r="M5" i="10"/>
  <c r="J5" i="10"/>
  <c r="I10" i="7"/>
  <c r="I10" i="8" s="1"/>
  <c r="I10" i="9" s="1"/>
  <c r="I10" i="10" s="1"/>
  <c r="F8" i="7"/>
  <c r="F8" i="8" s="1"/>
  <c r="F8" i="9" s="1"/>
  <c r="F8" i="10" s="1"/>
  <c r="O9" i="7"/>
  <c r="O9" i="8" s="1"/>
  <c r="O9" i="9" s="1"/>
  <c r="O9" i="10" s="1"/>
  <c r="H9" i="7"/>
  <c r="H9" i="8" s="1"/>
  <c r="H9" i="9" s="1"/>
  <c r="H9" i="10" s="1"/>
  <c r="N9" i="7"/>
  <c r="N9" i="8" s="1"/>
  <c r="N9" i="9" s="1"/>
  <c r="N9" i="10" s="1"/>
  <c r="G9" i="7"/>
  <c r="G9" i="8" s="1"/>
  <c r="G9" i="9" s="1"/>
  <c r="G9" i="10" s="1"/>
  <c r="K10" i="7"/>
  <c r="K10" i="8" s="1"/>
  <c r="K10" i="9" s="1"/>
  <c r="K10" i="10" s="1"/>
  <c r="J10" i="7"/>
  <c r="J10" i="8" s="1"/>
  <c r="J10" i="9" s="1"/>
  <c r="J10" i="10" s="1"/>
  <c r="P11" i="1"/>
  <c r="L42" i="2"/>
  <c r="N42" i="2" s="1"/>
  <c r="AC116" i="3"/>
  <c r="AE111" i="3"/>
  <c r="AE116" i="3" s="1"/>
  <c r="I7" i="6"/>
  <c r="O86" i="17"/>
  <c r="G78" i="18" s="1"/>
  <c r="F78" i="18" s="1"/>
  <c r="S72" i="17"/>
  <c r="G87" i="18" s="1"/>
  <c r="F87" i="18" s="1"/>
  <c r="F66" i="17"/>
  <c r="G33" i="18" s="1"/>
  <c r="F33" i="18" s="1"/>
  <c r="W82" i="17"/>
  <c r="G100" i="18" s="1"/>
  <c r="F100" i="18" s="1"/>
  <c r="J65" i="17"/>
  <c r="V77" i="17"/>
  <c r="G97" i="18" s="1"/>
  <c r="F97" i="18" s="1"/>
  <c r="E70" i="17"/>
  <c r="P108" i="17"/>
  <c r="G85" i="18" s="1"/>
  <c r="F85" i="18" s="1"/>
  <c r="M6" i="6"/>
  <c r="I6" i="6"/>
  <c r="K6" i="6"/>
  <c r="U56" i="9"/>
  <c r="E6" i="6"/>
  <c r="S56" i="9"/>
  <c r="V56" i="8"/>
  <c r="G6" i="6"/>
  <c r="H45" i="2"/>
  <c r="N40" i="2"/>
  <c r="J45" i="2"/>
  <c r="M8" i="7" l="1"/>
  <c r="M8" i="8" s="1"/>
  <c r="M8" i="9" s="1"/>
  <c r="M8" i="10" s="1"/>
  <c r="L45" i="2"/>
  <c r="L9" i="7"/>
  <c r="L9" i="8" s="1"/>
  <c r="L9" i="9" s="1"/>
  <c r="L9" i="10" s="1"/>
  <c r="P11" i="7"/>
  <c r="P11" i="8" s="1"/>
  <c r="P11" i="9" s="1"/>
  <c r="P11" i="10" s="1"/>
  <c r="N64" i="17"/>
  <c r="E8" i="7"/>
  <c r="E8" i="8" s="1"/>
  <c r="E8" i="9" s="1"/>
  <c r="E8" i="10" s="1"/>
  <c r="Q5" i="1"/>
  <c r="F16" i="7"/>
  <c r="F16" i="8" s="1"/>
  <c r="F16" i="9" s="1"/>
  <c r="F16" i="10" s="1"/>
  <c r="L16" i="7"/>
  <c r="L16" i="8" s="1"/>
  <c r="L16" i="9" s="1"/>
  <c r="L16" i="10" s="1"/>
  <c r="E9" i="7"/>
  <c r="E9" i="8" s="1"/>
  <c r="E9" i="9" s="1"/>
  <c r="E9" i="10" s="1"/>
  <c r="AB91" i="17"/>
  <c r="AB94" i="17" s="1"/>
  <c r="AB115" i="17" s="1"/>
  <c r="AB117" i="17" s="1"/>
  <c r="E91" i="17"/>
  <c r="Z91" i="17"/>
  <c r="Z94" i="17" s="1"/>
  <c r="E10" i="7"/>
  <c r="E10" i="8" s="1"/>
  <c r="E10" i="9" s="1"/>
  <c r="E10" i="10" s="1"/>
  <c r="E11" i="7"/>
  <c r="E11" i="8" s="1"/>
  <c r="E11" i="9" s="1"/>
  <c r="E11" i="10" s="1"/>
  <c r="E12" i="7"/>
  <c r="E12" i="8" s="1"/>
  <c r="E12" i="9" s="1"/>
  <c r="E12" i="10" s="1"/>
  <c r="P70" i="17"/>
  <c r="P109" i="17"/>
  <c r="Z96" i="17"/>
  <c r="G41" i="18" s="1"/>
  <c r="F41" i="18" s="1"/>
  <c r="N96" i="17"/>
  <c r="G75" i="18" s="1"/>
  <c r="F75" i="18" s="1"/>
  <c r="E96" i="17"/>
  <c r="F96" i="17"/>
  <c r="G40" i="18" s="1"/>
  <c r="F40" i="18" s="1"/>
  <c r="W94" i="17"/>
  <c r="W115" i="17" s="1"/>
  <c r="W117" i="17" s="1"/>
  <c r="O94" i="17"/>
  <c r="O115" i="17" s="1"/>
  <c r="O117" i="17" s="1"/>
  <c r="E78" i="17"/>
  <c r="V78" i="17"/>
  <c r="G98" i="18" s="1"/>
  <c r="F98" i="18" s="1"/>
  <c r="E76" i="17"/>
  <c r="U76" i="17"/>
  <c r="G94" i="18" s="1"/>
  <c r="F94" i="18" s="1"/>
  <c r="E79" i="17"/>
  <c r="F79" i="17"/>
  <c r="G34" i="18" s="1"/>
  <c r="F34" i="18" s="1"/>
  <c r="S74" i="17"/>
  <c r="S115" i="17" s="1"/>
  <c r="S117" i="17" s="1"/>
  <c r="J74" i="17"/>
  <c r="J115" i="17" s="1"/>
  <c r="J117" i="17" s="1"/>
  <c r="N45" i="2"/>
  <c r="E65" i="17"/>
  <c r="E77" i="17"/>
  <c r="E99" i="17"/>
  <c r="E102" i="17"/>
  <c r="E90" i="17"/>
  <c r="E66" i="17"/>
  <c r="E86" i="17"/>
  <c r="E101" i="17"/>
  <c r="E71" i="17"/>
  <c r="E87" i="17"/>
  <c r="E97" i="17"/>
  <c r="E82" i="17"/>
  <c r="E72" i="17"/>
  <c r="E108" i="17"/>
  <c r="N12" i="7"/>
  <c r="N12" i="8" s="1"/>
  <c r="N12" i="9" s="1"/>
  <c r="N12" i="10" s="1"/>
  <c r="H25" i="4"/>
  <c r="X25" i="4" s="1"/>
  <c r="H59" i="4"/>
  <c r="X59" i="4" s="1"/>
  <c r="H19" i="4"/>
  <c r="H105" i="4"/>
  <c r="X105" i="4" s="1"/>
  <c r="X90" i="4"/>
  <c r="H82" i="4"/>
  <c r="X82" i="4" s="1"/>
  <c r="H209" i="4"/>
  <c r="X209" i="4" s="1"/>
  <c r="H65" i="4"/>
  <c r="X65" i="4" s="1"/>
  <c r="G12" i="7"/>
  <c r="G12" i="8" s="1"/>
  <c r="G12" i="9" s="1"/>
  <c r="G12" i="10" s="1"/>
  <c r="G8" i="7"/>
  <c r="G8" i="8" s="1"/>
  <c r="G8" i="9" s="1"/>
  <c r="G8" i="10" s="1"/>
  <c r="G10" i="7"/>
  <c r="G10" i="8" s="1"/>
  <c r="G10" i="9" s="1"/>
  <c r="G10" i="10" s="1"/>
  <c r="K8" i="7"/>
  <c r="K8" i="8" s="1"/>
  <c r="K8" i="9" s="1"/>
  <c r="K8" i="10" s="1"/>
  <c r="G11" i="7"/>
  <c r="G11" i="8" s="1"/>
  <c r="G11" i="9" s="1"/>
  <c r="G11" i="10" s="1"/>
  <c r="P10" i="1"/>
  <c r="I9" i="7"/>
  <c r="I9" i="8" s="1"/>
  <c r="I9" i="9" s="1"/>
  <c r="I9" i="10" s="1"/>
  <c r="N11" i="7"/>
  <c r="N11" i="8" s="1"/>
  <c r="N11" i="9" s="1"/>
  <c r="N11" i="10" s="1"/>
  <c r="P9" i="1"/>
  <c r="O11" i="7"/>
  <c r="O11" i="8" s="1"/>
  <c r="O11" i="9" s="1"/>
  <c r="O11" i="10" s="1"/>
  <c r="F12" i="7"/>
  <c r="F12" i="8" s="1"/>
  <c r="F12" i="9" s="1"/>
  <c r="F12" i="10" s="1"/>
  <c r="F10" i="7"/>
  <c r="F10" i="8" s="1"/>
  <c r="F10" i="9" s="1"/>
  <c r="F10" i="10" s="1"/>
  <c r="F11" i="7"/>
  <c r="F11" i="8" s="1"/>
  <c r="F11" i="9" s="1"/>
  <c r="F11" i="10" s="1"/>
  <c r="P12" i="1"/>
  <c r="F9" i="7"/>
  <c r="F9" i="8" s="1"/>
  <c r="F9" i="9" s="1"/>
  <c r="F9" i="10" s="1"/>
  <c r="O12" i="7"/>
  <c r="O12" i="8" s="1"/>
  <c r="O12" i="9" s="1"/>
  <c r="O12" i="10" s="1"/>
  <c r="I12" i="7"/>
  <c r="I12" i="8" s="1"/>
  <c r="I12" i="9" s="1"/>
  <c r="I12" i="10" s="1"/>
  <c r="I8" i="7"/>
  <c r="I8" i="8" s="1"/>
  <c r="I8" i="9" s="1"/>
  <c r="I8" i="10" s="1"/>
  <c r="I11" i="7"/>
  <c r="I11" i="8" s="1"/>
  <c r="I11" i="9" s="1"/>
  <c r="I11" i="10" s="1"/>
  <c r="K9" i="7"/>
  <c r="K9" i="8" s="1"/>
  <c r="K9" i="9" s="1"/>
  <c r="K9" i="10" s="1"/>
  <c r="N10" i="7"/>
  <c r="N10" i="8" s="1"/>
  <c r="N10" i="9" s="1"/>
  <c r="N10" i="10" s="1"/>
  <c r="K12" i="7"/>
  <c r="K12" i="8" s="1"/>
  <c r="K12" i="9" s="1"/>
  <c r="K12" i="10" s="1"/>
  <c r="H12" i="7"/>
  <c r="H12" i="8" s="1"/>
  <c r="H12" i="9" s="1"/>
  <c r="H12" i="10" s="1"/>
  <c r="K11" i="7"/>
  <c r="K11" i="8" s="1"/>
  <c r="K11" i="9" s="1"/>
  <c r="K11" i="10" s="1"/>
  <c r="H10" i="7"/>
  <c r="H10" i="8" s="1"/>
  <c r="H10" i="9" s="1"/>
  <c r="H10" i="10" s="1"/>
  <c r="Q5" i="7"/>
  <c r="K7" i="6"/>
  <c r="M12" i="7"/>
  <c r="M12" i="8" s="1"/>
  <c r="M12" i="9" s="1"/>
  <c r="M12" i="10" s="1"/>
  <c r="J8" i="7"/>
  <c r="J8" i="8" s="1"/>
  <c r="J8" i="9" s="1"/>
  <c r="J8" i="10" s="1"/>
  <c r="M11" i="7"/>
  <c r="M11" i="8" s="1"/>
  <c r="M11" i="9" s="1"/>
  <c r="M11" i="10" s="1"/>
  <c r="J12" i="7"/>
  <c r="J12" i="8" s="1"/>
  <c r="J12" i="9" s="1"/>
  <c r="J12" i="10" s="1"/>
  <c r="J9" i="7"/>
  <c r="J9" i="8" s="1"/>
  <c r="J9" i="9" s="1"/>
  <c r="J9" i="10" s="1"/>
  <c r="J11" i="7"/>
  <c r="J11" i="8" s="1"/>
  <c r="J11" i="9" s="1"/>
  <c r="J11" i="10" s="1"/>
  <c r="M10" i="7"/>
  <c r="M10" i="8" s="1"/>
  <c r="M10" i="9" s="1"/>
  <c r="M10" i="10" s="1"/>
  <c r="Q5" i="8"/>
  <c r="O10" i="7"/>
  <c r="O10" i="8" s="1"/>
  <c r="O10" i="9" s="1"/>
  <c r="O10" i="10" s="1"/>
  <c r="H8" i="7"/>
  <c r="H8" i="8" s="1"/>
  <c r="H8" i="9" s="1"/>
  <c r="H8" i="10" s="1"/>
  <c r="M9" i="7"/>
  <c r="M9" i="8" s="1"/>
  <c r="M9" i="9" s="1"/>
  <c r="M9" i="10" s="1"/>
  <c r="H11" i="7"/>
  <c r="H11" i="8" s="1"/>
  <c r="H11" i="9" s="1"/>
  <c r="H11" i="10" s="1"/>
  <c r="V56" i="9"/>
  <c r="U56" i="10"/>
  <c r="S56" i="10"/>
  <c r="F4" i="1"/>
  <c r="G4" i="1" s="1"/>
  <c r="H4" i="1" s="1"/>
  <c r="I4" i="1" s="1"/>
  <c r="J4" i="1" s="1"/>
  <c r="K4" i="1" s="1"/>
  <c r="L4" i="1" s="1"/>
  <c r="M4" i="1" s="1"/>
  <c r="N4" i="1" s="1"/>
  <c r="O4" i="1" s="1"/>
  <c r="P4" i="1" s="1"/>
  <c r="N74" i="17" l="1"/>
  <c r="G71" i="18"/>
  <c r="F71" i="18" s="1"/>
  <c r="AN65" i="17"/>
  <c r="G47" i="18"/>
  <c r="F47" i="18" s="1"/>
  <c r="P74" i="17"/>
  <c r="G84" i="18"/>
  <c r="F84" i="18" s="1"/>
  <c r="X19" i="4"/>
  <c r="P13" i="1"/>
  <c r="O8" i="7"/>
  <c r="O8" i="8" s="1"/>
  <c r="O8" i="9" s="1"/>
  <c r="O8" i="10" s="1"/>
  <c r="N8" i="7"/>
  <c r="N8" i="8" s="1"/>
  <c r="N8" i="9" s="1"/>
  <c r="N8" i="10" s="1"/>
  <c r="L8" i="7"/>
  <c r="L8" i="8" s="1"/>
  <c r="L8" i="9" s="1"/>
  <c r="L8" i="10" s="1"/>
  <c r="S8" i="1"/>
  <c r="L12" i="7"/>
  <c r="L12" i="8" s="1"/>
  <c r="L12" i="9" s="1"/>
  <c r="L12" i="10" s="1"/>
  <c r="S12" i="1"/>
  <c r="X12" i="1" s="1"/>
  <c r="L10" i="7"/>
  <c r="L10" i="8" s="1"/>
  <c r="L10" i="9" s="1"/>
  <c r="L10" i="10" s="1"/>
  <c r="S10" i="1"/>
  <c r="X10" i="1" s="1"/>
  <c r="L11" i="7"/>
  <c r="L11" i="8" s="1"/>
  <c r="L11" i="9" s="1"/>
  <c r="L11" i="10" s="1"/>
  <c r="S11" i="1"/>
  <c r="X11" i="1" s="1"/>
  <c r="S9" i="1"/>
  <c r="X9" i="1" s="1"/>
  <c r="P8" i="7"/>
  <c r="P8" i="8" s="1"/>
  <c r="P8" i="9" s="1"/>
  <c r="P8" i="10" s="1"/>
  <c r="P12" i="7"/>
  <c r="P12" i="8" s="1"/>
  <c r="P12" i="9" s="1"/>
  <c r="P12" i="10" s="1"/>
  <c r="P9" i="7"/>
  <c r="P9" i="8" s="1"/>
  <c r="P9" i="9" s="1"/>
  <c r="P9" i="10" s="1"/>
  <c r="P10" i="7"/>
  <c r="P10" i="8" s="1"/>
  <c r="P10" i="9" s="1"/>
  <c r="P10" i="10" s="1"/>
  <c r="N79" i="8"/>
  <c r="N79" i="9" s="1"/>
  <c r="N79" i="10" s="1"/>
  <c r="M79" i="8"/>
  <c r="M79" i="9" s="1"/>
  <c r="M79" i="10" s="1"/>
  <c r="L79" i="8"/>
  <c r="L79" i="9" s="1"/>
  <c r="L79" i="10" s="1"/>
  <c r="K79" i="8"/>
  <c r="K79" i="9" s="1"/>
  <c r="K79" i="10" s="1"/>
  <c r="J79" i="8"/>
  <c r="J79" i="9" s="1"/>
  <c r="J79" i="10" s="1"/>
  <c r="I79" i="8"/>
  <c r="I79" i="9" s="1"/>
  <c r="I79" i="10" s="1"/>
  <c r="E79" i="7"/>
  <c r="E79" i="8" s="1"/>
  <c r="E79" i="9" s="1"/>
  <c r="E79" i="10" s="1"/>
  <c r="H79" i="8"/>
  <c r="H79" i="9" s="1"/>
  <c r="H79" i="10" s="1"/>
  <c r="G79" i="8"/>
  <c r="G79" i="9" s="1"/>
  <c r="G79" i="10" s="1"/>
  <c r="F79" i="8"/>
  <c r="F79" i="9" s="1"/>
  <c r="F79" i="10" s="1"/>
  <c r="O79" i="8"/>
  <c r="O79" i="9" s="1"/>
  <c r="O79" i="10" s="1"/>
  <c r="O65" i="7"/>
  <c r="O65" i="8" s="1"/>
  <c r="O65" i="9" s="1"/>
  <c r="O65" i="10" s="1"/>
  <c r="N65" i="7"/>
  <c r="N65" i="8" s="1"/>
  <c r="N65" i="9" s="1"/>
  <c r="N65" i="10" s="1"/>
  <c r="M65" i="7"/>
  <c r="M65" i="8" s="1"/>
  <c r="M65" i="9" s="1"/>
  <c r="M65" i="10" s="1"/>
  <c r="L65" i="7"/>
  <c r="L65" i="8" s="1"/>
  <c r="L65" i="9" s="1"/>
  <c r="L65" i="10" s="1"/>
  <c r="K65" i="7"/>
  <c r="K65" i="8" s="1"/>
  <c r="K65" i="9" s="1"/>
  <c r="K65" i="10" s="1"/>
  <c r="E65" i="7"/>
  <c r="E65" i="8" s="1"/>
  <c r="E65" i="9" s="1"/>
  <c r="E65" i="10" s="1"/>
  <c r="J65" i="7"/>
  <c r="J65" i="8" s="1"/>
  <c r="J65" i="9" s="1"/>
  <c r="J65" i="10" s="1"/>
  <c r="I65" i="7"/>
  <c r="I65" i="8" s="1"/>
  <c r="I65" i="9" s="1"/>
  <c r="I65" i="10" s="1"/>
  <c r="H65" i="7"/>
  <c r="H65" i="8" s="1"/>
  <c r="H65" i="9" s="1"/>
  <c r="H65" i="10" s="1"/>
  <c r="G65" i="7"/>
  <c r="G65" i="8" s="1"/>
  <c r="G65" i="9" s="1"/>
  <c r="G65" i="10" s="1"/>
  <c r="O66" i="7"/>
  <c r="O66" i="8" s="1"/>
  <c r="O66" i="9" s="1"/>
  <c r="O66" i="10" s="1"/>
  <c r="N66" i="7"/>
  <c r="N66" i="8" s="1"/>
  <c r="N66" i="9" s="1"/>
  <c r="N66" i="10" s="1"/>
  <c r="M66" i="7"/>
  <c r="M66" i="8" s="1"/>
  <c r="M66" i="9" s="1"/>
  <c r="M66" i="10" s="1"/>
  <c r="E66" i="7"/>
  <c r="E66" i="8" s="1"/>
  <c r="E66" i="9" s="1"/>
  <c r="E66" i="10" s="1"/>
  <c r="K66" i="7"/>
  <c r="K66" i="8" s="1"/>
  <c r="K66" i="9" s="1"/>
  <c r="K66" i="10" s="1"/>
  <c r="J66" i="7"/>
  <c r="J66" i="8" s="1"/>
  <c r="J66" i="9" s="1"/>
  <c r="J66" i="10" s="1"/>
  <c r="I66" i="7"/>
  <c r="I66" i="8" s="1"/>
  <c r="I66" i="9" s="1"/>
  <c r="I66" i="10" s="1"/>
  <c r="H66" i="7"/>
  <c r="H66" i="8" s="1"/>
  <c r="H66" i="9" s="1"/>
  <c r="H66" i="10" s="1"/>
  <c r="G66" i="7"/>
  <c r="G66" i="8" s="1"/>
  <c r="G66" i="9" s="1"/>
  <c r="G66" i="10" s="1"/>
  <c r="F66" i="7"/>
  <c r="F66" i="8" s="1"/>
  <c r="F66" i="9" s="1"/>
  <c r="F66" i="10" s="1"/>
  <c r="F102" i="7"/>
  <c r="F102" i="8" s="1"/>
  <c r="F102" i="9" s="1"/>
  <c r="F102" i="10" s="1"/>
  <c r="E102" i="7"/>
  <c r="E102" i="8" s="1"/>
  <c r="E102" i="9" s="1"/>
  <c r="E102" i="10" s="1"/>
  <c r="H102" i="7"/>
  <c r="H102" i="8" s="1"/>
  <c r="H102" i="9" s="1"/>
  <c r="H102" i="10" s="1"/>
  <c r="O102" i="7"/>
  <c r="O102" i="8" s="1"/>
  <c r="O102" i="9" s="1"/>
  <c r="O102" i="10" s="1"/>
  <c r="N102" i="7"/>
  <c r="N102" i="8" s="1"/>
  <c r="N102" i="9" s="1"/>
  <c r="N102" i="10" s="1"/>
  <c r="M102" i="7"/>
  <c r="M102" i="8" s="1"/>
  <c r="M102" i="9" s="1"/>
  <c r="M102" i="10" s="1"/>
  <c r="L102" i="7"/>
  <c r="L102" i="8" s="1"/>
  <c r="L102" i="9" s="1"/>
  <c r="L102" i="10" s="1"/>
  <c r="G102" i="7"/>
  <c r="G102" i="8" s="1"/>
  <c r="G102" i="9" s="1"/>
  <c r="G102" i="10" s="1"/>
  <c r="K102" i="7"/>
  <c r="K102" i="8" s="1"/>
  <c r="K102" i="9" s="1"/>
  <c r="K102" i="10" s="1"/>
  <c r="J102" i="7"/>
  <c r="J102" i="8" s="1"/>
  <c r="J102" i="9" s="1"/>
  <c r="J102" i="10" s="1"/>
  <c r="I102" i="7"/>
  <c r="I102" i="8" s="1"/>
  <c r="I102" i="9" s="1"/>
  <c r="I102" i="10" s="1"/>
  <c r="G86" i="7"/>
  <c r="G86" i="8" s="1"/>
  <c r="G86" i="9" s="1"/>
  <c r="G86" i="10" s="1"/>
  <c r="E86" i="7"/>
  <c r="E86" i="8" s="1"/>
  <c r="E86" i="9" s="1"/>
  <c r="E86" i="10" s="1"/>
  <c r="F86" i="7"/>
  <c r="F86" i="8" s="1"/>
  <c r="F86" i="9" s="1"/>
  <c r="F86" i="10" s="1"/>
  <c r="H86" i="7"/>
  <c r="H86" i="8" s="1"/>
  <c r="H86" i="9" s="1"/>
  <c r="H86" i="10" s="1"/>
  <c r="O86" i="7"/>
  <c r="O86" i="8" s="1"/>
  <c r="O86" i="9" s="1"/>
  <c r="O86" i="10" s="1"/>
  <c r="N86" i="7"/>
  <c r="N86" i="8" s="1"/>
  <c r="N86" i="9" s="1"/>
  <c r="N86" i="10" s="1"/>
  <c r="M86" i="7"/>
  <c r="M86" i="8" s="1"/>
  <c r="M86" i="9" s="1"/>
  <c r="M86" i="10" s="1"/>
  <c r="L86" i="7"/>
  <c r="L86" i="8" s="1"/>
  <c r="L86" i="9" s="1"/>
  <c r="L86" i="10" s="1"/>
  <c r="K86" i="7"/>
  <c r="K86" i="8" s="1"/>
  <c r="K86" i="9" s="1"/>
  <c r="K86" i="10" s="1"/>
  <c r="J86" i="7"/>
  <c r="J86" i="8" s="1"/>
  <c r="J86" i="9" s="1"/>
  <c r="J86" i="10" s="1"/>
  <c r="I86" i="7"/>
  <c r="I86" i="8" s="1"/>
  <c r="I86" i="9" s="1"/>
  <c r="I86" i="10" s="1"/>
  <c r="H71" i="7"/>
  <c r="H71" i="8" s="1"/>
  <c r="H71" i="9" s="1"/>
  <c r="H71" i="10" s="1"/>
  <c r="G71" i="7"/>
  <c r="G71" i="8" s="1"/>
  <c r="G71" i="9" s="1"/>
  <c r="G71" i="10" s="1"/>
  <c r="J71" i="7"/>
  <c r="J71" i="8" s="1"/>
  <c r="J71" i="9" s="1"/>
  <c r="J71" i="10" s="1"/>
  <c r="F71" i="7"/>
  <c r="F71" i="8" s="1"/>
  <c r="F71" i="9" s="1"/>
  <c r="F71" i="10" s="1"/>
  <c r="O71" i="7"/>
  <c r="O71" i="8" s="1"/>
  <c r="O71" i="9" s="1"/>
  <c r="O71" i="10" s="1"/>
  <c r="E71" i="7"/>
  <c r="E71" i="8" s="1"/>
  <c r="E71" i="9" s="1"/>
  <c r="E71" i="10" s="1"/>
  <c r="N71" i="7"/>
  <c r="N71" i="8" s="1"/>
  <c r="N71" i="9" s="1"/>
  <c r="N71" i="10" s="1"/>
  <c r="M71" i="7"/>
  <c r="M71" i="8" s="1"/>
  <c r="M71" i="9" s="1"/>
  <c r="M71" i="10" s="1"/>
  <c r="L71" i="7"/>
  <c r="L71" i="8" s="1"/>
  <c r="L71" i="9" s="1"/>
  <c r="L71" i="10" s="1"/>
  <c r="I71" i="7"/>
  <c r="I71" i="8" s="1"/>
  <c r="I71" i="9" s="1"/>
  <c r="I71" i="10" s="1"/>
  <c r="K71" i="7"/>
  <c r="K71" i="8" s="1"/>
  <c r="K71" i="9" s="1"/>
  <c r="K71" i="10" s="1"/>
  <c r="F108" i="8"/>
  <c r="F108" i="9" s="1"/>
  <c r="F108" i="10" s="1"/>
  <c r="G108" i="8"/>
  <c r="G108" i="9" s="1"/>
  <c r="G108" i="10" s="1"/>
  <c r="O108" i="8"/>
  <c r="O108" i="9" s="1"/>
  <c r="O108" i="10" s="1"/>
  <c r="H108" i="8"/>
  <c r="H108" i="9" s="1"/>
  <c r="H108" i="10" s="1"/>
  <c r="N108" i="8"/>
  <c r="N108" i="9" s="1"/>
  <c r="N108" i="10" s="1"/>
  <c r="M108" i="8"/>
  <c r="M108" i="9" s="1"/>
  <c r="M108" i="10" s="1"/>
  <c r="L108" i="8"/>
  <c r="L108" i="9" s="1"/>
  <c r="L108" i="10" s="1"/>
  <c r="K108" i="8"/>
  <c r="K108" i="9" s="1"/>
  <c r="K108" i="10" s="1"/>
  <c r="J108" i="8"/>
  <c r="J108" i="9" s="1"/>
  <c r="J108" i="10" s="1"/>
  <c r="I108" i="8"/>
  <c r="I108" i="9" s="1"/>
  <c r="I108" i="10" s="1"/>
  <c r="E108" i="7"/>
  <c r="E108" i="8" s="1"/>
  <c r="E108" i="9" s="1"/>
  <c r="E108" i="10" s="1"/>
  <c r="O82" i="7"/>
  <c r="O82" i="8" s="1"/>
  <c r="O82" i="9" s="1"/>
  <c r="O82" i="10" s="1"/>
  <c r="N82" i="7"/>
  <c r="N82" i="8" s="1"/>
  <c r="N82" i="9" s="1"/>
  <c r="N82" i="10" s="1"/>
  <c r="M82" i="7"/>
  <c r="M82" i="8" s="1"/>
  <c r="M82" i="9" s="1"/>
  <c r="M82" i="10" s="1"/>
  <c r="L82" i="7"/>
  <c r="L82" i="8" s="1"/>
  <c r="L82" i="9" s="1"/>
  <c r="L82" i="10" s="1"/>
  <c r="K82" i="7"/>
  <c r="K82" i="8" s="1"/>
  <c r="K82" i="9" s="1"/>
  <c r="K82" i="10" s="1"/>
  <c r="E82" i="7"/>
  <c r="E82" i="8" s="1"/>
  <c r="E82" i="9" s="1"/>
  <c r="E82" i="10" s="1"/>
  <c r="J82" i="7"/>
  <c r="J82" i="8" s="1"/>
  <c r="J82" i="9" s="1"/>
  <c r="J82" i="10" s="1"/>
  <c r="I82" i="7"/>
  <c r="I82" i="8" s="1"/>
  <c r="I82" i="9" s="1"/>
  <c r="I82" i="10" s="1"/>
  <c r="H82" i="7"/>
  <c r="H82" i="8" s="1"/>
  <c r="H82" i="9" s="1"/>
  <c r="H82" i="10" s="1"/>
  <c r="G82" i="7"/>
  <c r="G82" i="8" s="1"/>
  <c r="G82" i="9" s="1"/>
  <c r="G82" i="10" s="1"/>
  <c r="F82" i="7"/>
  <c r="F82" i="8" s="1"/>
  <c r="F82" i="9" s="1"/>
  <c r="F82" i="10" s="1"/>
  <c r="I72" i="7"/>
  <c r="I72" i="8" s="1"/>
  <c r="I72" i="9" s="1"/>
  <c r="I72" i="10" s="1"/>
  <c r="E72" i="7"/>
  <c r="E72" i="8" s="1"/>
  <c r="E72" i="9" s="1"/>
  <c r="E72" i="10" s="1"/>
  <c r="H72" i="7"/>
  <c r="H72" i="8" s="1"/>
  <c r="H72" i="9" s="1"/>
  <c r="H72" i="10" s="1"/>
  <c r="G72" i="7"/>
  <c r="G72" i="8" s="1"/>
  <c r="G72" i="9" s="1"/>
  <c r="G72" i="10" s="1"/>
  <c r="F72" i="7"/>
  <c r="F72" i="8" s="1"/>
  <c r="F72" i="9" s="1"/>
  <c r="F72" i="10" s="1"/>
  <c r="K72" i="7"/>
  <c r="K72" i="8" s="1"/>
  <c r="K72" i="9" s="1"/>
  <c r="K72" i="10" s="1"/>
  <c r="J72" i="7"/>
  <c r="J72" i="8" s="1"/>
  <c r="J72" i="9" s="1"/>
  <c r="J72" i="10" s="1"/>
  <c r="O72" i="7"/>
  <c r="O72" i="8" s="1"/>
  <c r="O72" i="9" s="1"/>
  <c r="O72" i="10" s="1"/>
  <c r="N72" i="7"/>
  <c r="N72" i="8" s="1"/>
  <c r="N72" i="9" s="1"/>
  <c r="N72" i="10" s="1"/>
  <c r="M72" i="7"/>
  <c r="M72" i="8" s="1"/>
  <c r="M72" i="9" s="1"/>
  <c r="M72" i="10" s="1"/>
  <c r="L72" i="7"/>
  <c r="L72" i="8" s="1"/>
  <c r="L72" i="9" s="1"/>
  <c r="L72" i="10" s="1"/>
  <c r="O97" i="7"/>
  <c r="O97" i="8" s="1"/>
  <c r="O97" i="9" s="1"/>
  <c r="O97" i="10" s="1"/>
  <c r="N97" i="7"/>
  <c r="N97" i="8" s="1"/>
  <c r="N97" i="9" s="1"/>
  <c r="N97" i="10" s="1"/>
  <c r="M97" i="7"/>
  <c r="M97" i="8" s="1"/>
  <c r="M97" i="9" s="1"/>
  <c r="M97" i="10" s="1"/>
  <c r="L97" i="7"/>
  <c r="L97" i="8" s="1"/>
  <c r="L97" i="9" s="1"/>
  <c r="L97" i="10" s="1"/>
  <c r="K97" i="7"/>
  <c r="K97" i="8" s="1"/>
  <c r="K97" i="9" s="1"/>
  <c r="K97" i="10" s="1"/>
  <c r="E97" i="7"/>
  <c r="E97" i="8" s="1"/>
  <c r="E97" i="9" s="1"/>
  <c r="E97" i="10" s="1"/>
  <c r="J97" i="7"/>
  <c r="J97" i="8" s="1"/>
  <c r="J97" i="9" s="1"/>
  <c r="J97" i="10" s="1"/>
  <c r="I97" i="7"/>
  <c r="I97" i="8" s="1"/>
  <c r="I97" i="9" s="1"/>
  <c r="I97" i="10" s="1"/>
  <c r="H97" i="7"/>
  <c r="H97" i="8" s="1"/>
  <c r="H97" i="9" s="1"/>
  <c r="H97" i="10" s="1"/>
  <c r="G97" i="7"/>
  <c r="G97" i="8" s="1"/>
  <c r="G97" i="9" s="1"/>
  <c r="G97" i="10" s="1"/>
  <c r="F97" i="7"/>
  <c r="F97" i="8" s="1"/>
  <c r="F97" i="9" s="1"/>
  <c r="F97" i="10" s="1"/>
  <c r="N96" i="7"/>
  <c r="N96" i="8" s="1"/>
  <c r="N96" i="9" s="1"/>
  <c r="N96" i="10" s="1"/>
  <c r="M96" i="7"/>
  <c r="M96" i="8" s="1"/>
  <c r="M96" i="9" s="1"/>
  <c r="M96" i="10" s="1"/>
  <c r="L96" i="7"/>
  <c r="L96" i="8" s="1"/>
  <c r="L96" i="9" s="1"/>
  <c r="L96" i="10" s="1"/>
  <c r="K96" i="7"/>
  <c r="K96" i="8" s="1"/>
  <c r="K96" i="9" s="1"/>
  <c r="K96" i="10" s="1"/>
  <c r="J96" i="7"/>
  <c r="J96" i="8" s="1"/>
  <c r="J96" i="9" s="1"/>
  <c r="J96" i="10" s="1"/>
  <c r="I96" i="7"/>
  <c r="I96" i="8" s="1"/>
  <c r="I96" i="9" s="1"/>
  <c r="I96" i="10" s="1"/>
  <c r="E96" i="7"/>
  <c r="E96" i="8" s="1"/>
  <c r="E96" i="9" s="1"/>
  <c r="E96" i="10" s="1"/>
  <c r="H96" i="7"/>
  <c r="H96" i="8" s="1"/>
  <c r="H96" i="9" s="1"/>
  <c r="H96" i="10" s="1"/>
  <c r="G96" i="7"/>
  <c r="G96" i="8" s="1"/>
  <c r="G96" i="9" s="1"/>
  <c r="G96" i="10" s="1"/>
  <c r="F96" i="7"/>
  <c r="F96" i="8" s="1"/>
  <c r="F96" i="9" s="1"/>
  <c r="F96" i="10" s="1"/>
  <c r="O96" i="7"/>
  <c r="O96" i="8" s="1"/>
  <c r="O96" i="9" s="1"/>
  <c r="O96" i="10" s="1"/>
  <c r="H87" i="7"/>
  <c r="H87" i="8" s="1"/>
  <c r="H87" i="9" s="1"/>
  <c r="H87" i="10" s="1"/>
  <c r="G87" i="7"/>
  <c r="G87" i="8" s="1"/>
  <c r="G87" i="9" s="1"/>
  <c r="G87" i="10" s="1"/>
  <c r="F87" i="7"/>
  <c r="F87" i="8" s="1"/>
  <c r="F87" i="9" s="1"/>
  <c r="F87" i="10" s="1"/>
  <c r="J87" i="7"/>
  <c r="J87" i="8" s="1"/>
  <c r="J87" i="9" s="1"/>
  <c r="J87" i="10" s="1"/>
  <c r="O87" i="7"/>
  <c r="O87" i="8" s="1"/>
  <c r="O87" i="9" s="1"/>
  <c r="O87" i="10" s="1"/>
  <c r="I87" i="7"/>
  <c r="I87" i="8" s="1"/>
  <c r="I87" i="9" s="1"/>
  <c r="I87" i="10" s="1"/>
  <c r="N87" i="7"/>
  <c r="N87" i="8" s="1"/>
  <c r="N87" i="9" s="1"/>
  <c r="N87" i="10" s="1"/>
  <c r="M87" i="7"/>
  <c r="M87" i="8" s="1"/>
  <c r="M87" i="9" s="1"/>
  <c r="M87" i="10" s="1"/>
  <c r="L87" i="7"/>
  <c r="L87" i="8" s="1"/>
  <c r="L87" i="9" s="1"/>
  <c r="L87" i="10" s="1"/>
  <c r="K87" i="7"/>
  <c r="K87" i="8" s="1"/>
  <c r="K87" i="9" s="1"/>
  <c r="K87" i="10" s="1"/>
  <c r="E87" i="7"/>
  <c r="E87" i="8" s="1"/>
  <c r="E87" i="9" s="1"/>
  <c r="E87" i="10" s="1"/>
  <c r="I17" i="5"/>
  <c r="K76" i="7"/>
  <c r="K76" i="8" s="1"/>
  <c r="K76" i="9" s="1"/>
  <c r="K76" i="10" s="1"/>
  <c r="J76" i="7"/>
  <c r="J76" i="8" s="1"/>
  <c r="J76" i="9" s="1"/>
  <c r="J76" i="10" s="1"/>
  <c r="I76" i="7"/>
  <c r="I76" i="8" s="1"/>
  <c r="I76" i="9" s="1"/>
  <c r="I76" i="10" s="1"/>
  <c r="H76" i="7"/>
  <c r="H76" i="8" s="1"/>
  <c r="H76" i="9" s="1"/>
  <c r="H76" i="10" s="1"/>
  <c r="G76" i="7"/>
  <c r="G76" i="8" s="1"/>
  <c r="G76" i="9" s="1"/>
  <c r="G76" i="10" s="1"/>
  <c r="F76" i="7"/>
  <c r="F76" i="8" s="1"/>
  <c r="F76" i="9" s="1"/>
  <c r="F76" i="10" s="1"/>
  <c r="M76" i="7"/>
  <c r="M76" i="8" s="1"/>
  <c r="M76" i="9" s="1"/>
  <c r="M76" i="10" s="1"/>
  <c r="L76" i="7"/>
  <c r="L76" i="8" s="1"/>
  <c r="L76" i="9" s="1"/>
  <c r="L76" i="10" s="1"/>
  <c r="O76" i="7"/>
  <c r="O76" i="8" s="1"/>
  <c r="O76" i="9" s="1"/>
  <c r="O76" i="10" s="1"/>
  <c r="E76" i="7"/>
  <c r="E76" i="8" s="1"/>
  <c r="E76" i="9" s="1"/>
  <c r="E76" i="10" s="1"/>
  <c r="N76" i="7"/>
  <c r="N76" i="8" s="1"/>
  <c r="N76" i="9" s="1"/>
  <c r="N76" i="10" s="1"/>
  <c r="O101" i="7"/>
  <c r="O101" i="8" s="1"/>
  <c r="O101" i="9" s="1"/>
  <c r="O101" i="10" s="1"/>
  <c r="E101" i="7"/>
  <c r="E101" i="8" s="1"/>
  <c r="E101" i="9" s="1"/>
  <c r="E101" i="10" s="1"/>
  <c r="N101" i="7"/>
  <c r="N101" i="8" s="1"/>
  <c r="N101" i="9" s="1"/>
  <c r="N101" i="10" s="1"/>
  <c r="F101" i="7"/>
  <c r="F101" i="8" s="1"/>
  <c r="F101" i="9" s="1"/>
  <c r="F101" i="10" s="1"/>
  <c r="M101" i="7"/>
  <c r="M101" i="8" s="1"/>
  <c r="M101" i="9" s="1"/>
  <c r="M101" i="10" s="1"/>
  <c r="L101" i="7"/>
  <c r="L101" i="8" s="1"/>
  <c r="L101" i="9" s="1"/>
  <c r="L101" i="10" s="1"/>
  <c r="K101" i="7"/>
  <c r="K101" i="8" s="1"/>
  <c r="K101" i="9" s="1"/>
  <c r="K101" i="10" s="1"/>
  <c r="J101" i="7"/>
  <c r="J101" i="8" s="1"/>
  <c r="J101" i="9" s="1"/>
  <c r="J101" i="10" s="1"/>
  <c r="G101" i="7"/>
  <c r="G101" i="8" s="1"/>
  <c r="G101" i="9" s="1"/>
  <c r="G101" i="10" s="1"/>
  <c r="I101" i="7"/>
  <c r="I101" i="8" s="1"/>
  <c r="I101" i="9" s="1"/>
  <c r="I101" i="10" s="1"/>
  <c r="H101" i="7"/>
  <c r="H101" i="8" s="1"/>
  <c r="H101" i="9" s="1"/>
  <c r="H101" i="10" s="1"/>
  <c r="L17" i="5"/>
  <c r="F17" i="5"/>
  <c r="O17" i="5"/>
  <c r="L77" i="7"/>
  <c r="L77" i="8" s="1"/>
  <c r="L77" i="9" s="1"/>
  <c r="L77" i="10" s="1"/>
  <c r="K77" i="7"/>
  <c r="K77" i="8" s="1"/>
  <c r="K77" i="9" s="1"/>
  <c r="K77" i="10" s="1"/>
  <c r="J77" i="7"/>
  <c r="J77" i="8" s="1"/>
  <c r="J77" i="9" s="1"/>
  <c r="J77" i="10" s="1"/>
  <c r="I77" i="7"/>
  <c r="I77" i="8" s="1"/>
  <c r="I77" i="9" s="1"/>
  <c r="I77" i="10" s="1"/>
  <c r="M77" i="7"/>
  <c r="M77" i="8" s="1"/>
  <c r="M77" i="9" s="1"/>
  <c r="M77" i="10" s="1"/>
  <c r="H77" i="7"/>
  <c r="H77" i="8" s="1"/>
  <c r="H77" i="9" s="1"/>
  <c r="H77" i="10" s="1"/>
  <c r="G77" i="7"/>
  <c r="G77" i="8" s="1"/>
  <c r="G77" i="9" s="1"/>
  <c r="G77" i="10" s="1"/>
  <c r="F77" i="7"/>
  <c r="F77" i="8" s="1"/>
  <c r="F77" i="9" s="1"/>
  <c r="F77" i="10" s="1"/>
  <c r="E77" i="7"/>
  <c r="E77" i="8" s="1"/>
  <c r="E77" i="9" s="1"/>
  <c r="E77" i="10" s="1"/>
  <c r="N77" i="7"/>
  <c r="N77" i="8" s="1"/>
  <c r="N77" i="9" s="1"/>
  <c r="N77" i="10" s="1"/>
  <c r="O77" i="7"/>
  <c r="O77" i="8" s="1"/>
  <c r="O77" i="9" s="1"/>
  <c r="O77" i="10" s="1"/>
  <c r="K90" i="7"/>
  <c r="K90" i="8" s="1"/>
  <c r="K90" i="9" s="1"/>
  <c r="K90" i="10" s="1"/>
  <c r="M90" i="7"/>
  <c r="M90" i="8" s="1"/>
  <c r="M90" i="9" s="1"/>
  <c r="M90" i="10" s="1"/>
  <c r="J90" i="7"/>
  <c r="J90" i="8" s="1"/>
  <c r="J90" i="9" s="1"/>
  <c r="J90" i="10" s="1"/>
  <c r="I90" i="7"/>
  <c r="I90" i="8" s="1"/>
  <c r="I90" i="9" s="1"/>
  <c r="I90" i="10" s="1"/>
  <c r="H90" i="7"/>
  <c r="H90" i="8" s="1"/>
  <c r="H90" i="9" s="1"/>
  <c r="H90" i="10" s="1"/>
  <c r="G90" i="7"/>
  <c r="G90" i="8" s="1"/>
  <c r="G90" i="9" s="1"/>
  <c r="G90" i="10" s="1"/>
  <c r="F90" i="7"/>
  <c r="F90" i="8" s="1"/>
  <c r="F90" i="9" s="1"/>
  <c r="F90" i="10" s="1"/>
  <c r="O90" i="7"/>
  <c r="O90" i="8" s="1"/>
  <c r="O90" i="9" s="1"/>
  <c r="O90" i="10" s="1"/>
  <c r="E90" i="7"/>
  <c r="E90" i="8" s="1"/>
  <c r="E90" i="9" s="1"/>
  <c r="E90" i="10" s="1"/>
  <c r="L90" i="7"/>
  <c r="L90" i="8" s="1"/>
  <c r="L90" i="9" s="1"/>
  <c r="L90" i="10" s="1"/>
  <c r="N90" i="7"/>
  <c r="N90" i="8" s="1"/>
  <c r="N90" i="9" s="1"/>
  <c r="N90" i="10" s="1"/>
  <c r="F100" i="17"/>
  <c r="G44" i="18" s="1"/>
  <c r="F44" i="18" s="1"/>
  <c r="Z190" i="4"/>
  <c r="P17" i="1"/>
  <c r="P17" i="5"/>
  <c r="E13" i="7"/>
  <c r="AN91" i="17"/>
  <c r="E13" i="8"/>
  <c r="X53" i="4"/>
  <c r="P115" i="17"/>
  <c r="P117" i="17" s="1"/>
  <c r="S68" i="1"/>
  <c r="K122" i="1"/>
  <c r="E122" i="1"/>
  <c r="S112" i="1"/>
  <c r="X112" i="1" s="1"/>
  <c r="N122" i="1"/>
  <c r="L122" i="1"/>
  <c r="P122" i="1"/>
  <c r="O122" i="1"/>
  <c r="F122" i="1"/>
  <c r="I122" i="1"/>
  <c r="H122" i="1"/>
  <c r="G122" i="1"/>
  <c r="S111" i="1"/>
  <c r="X111" i="1" s="1"/>
  <c r="M122" i="1"/>
  <c r="F94" i="17"/>
  <c r="AN92" i="17"/>
  <c r="P113" i="1"/>
  <c r="J122" i="1"/>
  <c r="Z103" i="17"/>
  <c r="Z115" i="17" s="1"/>
  <c r="Z117" i="17" s="1"/>
  <c r="Z179" i="4"/>
  <c r="Z264" i="4"/>
  <c r="Z113" i="4"/>
  <c r="Z153" i="4"/>
  <c r="Z255" i="4"/>
  <c r="Z82" i="4"/>
  <c r="Z209" i="4"/>
  <c r="Z147" i="4"/>
  <c r="Z171" i="4"/>
  <c r="Z65" i="4"/>
  <c r="N103" i="17"/>
  <c r="AN78" i="17"/>
  <c r="AN96" i="17"/>
  <c r="V80" i="17"/>
  <c r="V115" i="17" s="1"/>
  <c r="V117" i="17" s="1"/>
  <c r="AN76" i="17"/>
  <c r="U80" i="17"/>
  <c r="U115" i="17" s="1"/>
  <c r="U117" i="17" s="1"/>
  <c r="AN79" i="17"/>
  <c r="F80" i="17"/>
  <c r="AN102" i="17"/>
  <c r="AN101" i="17"/>
  <c r="AN97" i="17"/>
  <c r="AN90" i="17"/>
  <c r="AN87" i="17"/>
  <c r="AN86" i="17"/>
  <c r="AN82" i="17"/>
  <c r="S98" i="1"/>
  <c r="AN77" i="17"/>
  <c r="AN72" i="17"/>
  <c r="AN71" i="17"/>
  <c r="AN66" i="17"/>
  <c r="J13" i="7"/>
  <c r="E80" i="17"/>
  <c r="Z59" i="4"/>
  <c r="E103" i="17"/>
  <c r="S83" i="1"/>
  <c r="E94" i="17"/>
  <c r="E109" i="17"/>
  <c r="AN108" i="17"/>
  <c r="AN109" i="17" s="1"/>
  <c r="AN70" i="17"/>
  <c r="Z284" i="4"/>
  <c r="Z90" i="4"/>
  <c r="Z105" i="4"/>
  <c r="Z25" i="4"/>
  <c r="Z218" i="4"/>
  <c r="Z97" i="4"/>
  <c r="Z19" i="4"/>
  <c r="I13" i="7"/>
  <c r="N13" i="8"/>
  <c r="J13" i="8"/>
  <c r="H13" i="8"/>
  <c r="F13" i="8"/>
  <c r="G13" i="8"/>
  <c r="H13" i="7"/>
  <c r="K13" i="7"/>
  <c r="I13" i="8"/>
  <c r="M13" i="8"/>
  <c r="N25" i="8"/>
  <c r="F25" i="8"/>
  <c r="I25" i="8"/>
  <c r="K25" i="8"/>
  <c r="G31" i="6"/>
  <c r="P25" i="8"/>
  <c r="O25" i="8"/>
  <c r="H25" i="8"/>
  <c r="M25" i="8"/>
  <c r="G25" i="8"/>
  <c r="J25" i="8"/>
  <c r="L25" i="8"/>
  <c r="O13" i="8"/>
  <c r="F13" i="7"/>
  <c r="E13" i="9"/>
  <c r="G13" i="7"/>
  <c r="M13" i="9"/>
  <c r="M13" i="7"/>
  <c r="K13" i="8"/>
  <c r="F13" i="9"/>
  <c r="J13" i="9"/>
  <c r="Q5" i="9"/>
  <c r="M7" i="6"/>
  <c r="S67" i="1"/>
  <c r="V56" i="10"/>
  <c r="O13" i="7" l="1"/>
  <c r="N13" i="7"/>
  <c r="S13" i="1"/>
  <c r="J14" i="11" s="1"/>
  <c r="Z53" i="4"/>
  <c r="U13" i="1"/>
  <c r="E14" i="11" s="1"/>
  <c r="U113" i="1"/>
  <c r="E30" i="11" s="1"/>
  <c r="X113" i="1"/>
  <c r="L13" i="8"/>
  <c r="L13" i="7"/>
  <c r="P13" i="8"/>
  <c r="P13" i="7"/>
  <c r="X68" i="1"/>
  <c r="X83" i="1"/>
  <c r="X67" i="1"/>
  <c r="X98" i="1"/>
  <c r="X8" i="1"/>
  <c r="X13" i="1" s="1"/>
  <c r="AA8" i="1"/>
  <c r="P87" i="7"/>
  <c r="P87" i="8" s="1"/>
  <c r="P87" i="9" s="1"/>
  <c r="P87" i="10" s="1"/>
  <c r="P97" i="7"/>
  <c r="P97" i="8" s="1"/>
  <c r="P97" i="9" s="1"/>
  <c r="P97" i="10" s="1"/>
  <c r="P76" i="7"/>
  <c r="P76" i="8" s="1"/>
  <c r="P76" i="9" s="1"/>
  <c r="P76" i="10" s="1"/>
  <c r="X76" i="1"/>
  <c r="P102" i="7"/>
  <c r="P102" i="8" s="1"/>
  <c r="P102" i="9" s="1"/>
  <c r="P102" i="10" s="1"/>
  <c r="P72" i="7"/>
  <c r="P72" i="8" s="1"/>
  <c r="P72" i="9" s="1"/>
  <c r="P72" i="10" s="1"/>
  <c r="P90" i="7"/>
  <c r="P90" i="8" s="1"/>
  <c r="P90" i="9" s="1"/>
  <c r="P90" i="10" s="1"/>
  <c r="P86" i="7"/>
  <c r="P86" i="8" s="1"/>
  <c r="P86" i="9" s="1"/>
  <c r="P86" i="10" s="1"/>
  <c r="P96" i="7"/>
  <c r="P96" i="8" s="1"/>
  <c r="P96" i="9" s="1"/>
  <c r="P96" i="10" s="1"/>
  <c r="P71" i="7"/>
  <c r="P71" i="8" s="1"/>
  <c r="P71" i="9" s="1"/>
  <c r="P71" i="10" s="1"/>
  <c r="P82" i="7"/>
  <c r="P82" i="8" s="1"/>
  <c r="P82" i="9" s="1"/>
  <c r="P82" i="10" s="1"/>
  <c r="P101" i="7"/>
  <c r="P101" i="8" s="1"/>
  <c r="P101" i="9" s="1"/>
  <c r="P101" i="10" s="1"/>
  <c r="P66" i="7"/>
  <c r="P66" i="8" s="1"/>
  <c r="P66" i="9" s="1"/>
  <c r="P66" i="10" s="1"/>
  <c r="P77" i="7"/>
  <c r="P77" i="8" s="1"/>
  <c r="P77" i="9" s="1"/>
  <c r="P77" i="10" s="1"/>
  <c r="P108" i="8"/>
  <c r="P108" i="9" s="1"/>
  <c r="P108" i="10" s="1"/>
  <c r="P79" i="7"/>
  <c r="P79" i="8" s="1"/>
  <c r="P79" i="9" s="1"/>
  <c r="P79" i="10" s="1"/>
  <c r="AD8" i="1"/>
  <c r="E14" i="6"/>
  <c r="S8" i="7" s="1"/>
  <c r="U8" i="8" s="1"/>
  <c r="F65" i="7"/>
  <c r="F65" i="8" s="1"/>
  <c r="F65" i="9" s="1"/>
  <c r="F65" i="10" s="1"/>
  <c r="P65" i="7"/>
  <c r="P65" i="8" s="1"/>
  <c r="P65" i="9" s="1"/>
  <c r="P65" i="10" s="1"/>
  <c r="L66" i="7"/>
  <c r="L66" i="8" s="1"/>
  <c r="L66" i="9" s="1"/>
  <c r="L66" i="10" s="1"/>
  <c r="P109" i="1"/>
  <c r="S90" i="1"/>
  <c r="E109" i="5"/>
  <c r="S91" i="1"/>
  <c r="S92" i="1"/>
  <c r="X92" i="1" s="1"/>
  <c r="N109" i="5"/>
  <c r="E13" i="5"/>
  <c r="E27" i="5" s="1"/>
  <c r="AN99" i="17"/>
  <c r="J109" i="5"/>
  <c r="M109" i="5"/>
  <c r="G13" i="5"/>
  <c r="G27" i="5" s="1"/>
  <c r="P13" i="5"/>
  <c r="P27" i="5" s="1"/>
  <c r="P109" i="5"/>
  <c r="K109" i="5"/>
  <c r="L109" i="5"/>
  <c r="O109" i="5"/>
  <c r="F109" i="5"/>
  <c r="G109" i="5"/>
  <c r="P80" i="1"/>
  <c r="H13" i="5"/>
  <c r="H27" i="5" s="1"/>
  <c r="N13" i="5"/>
  <c r="N27" i="5" s="1"/>
  <c r="F13" i="5"/>
  <c r="F27" i="5" s="1"/>
  <c r="I109" i="5"/>
  <c r="P94" i="1"/>
  <c r="F103" i="17"/>
  <c r="AN100" i="17"/>
  <c r="F70" i="7"/>
  <c r="F70" i="8" s="1"/>
  <c r="F70" i="9" s="1"/>
  <c r="F70" i="10" s="1"/>
  <c r="O70" i="7"/>
  <c r="O70" i="8" s="1"/>
  <c r="O70" i="9" s="1"/>
  <c r="O70" i="10" s="1"/>
  <c r="N70" i="7"/>
  <c r="N70" i="8" s="1"/>
  <c r="N70" i="9" s="1"/>
  <c r="N70" i="10" s="1"/>
  <c r="L70" i="7"/>
  <c r="L70" i="8" s="1"/>
  <c r="L70" i="9" s="1"/>
  <c r="L70" i="10" s="1"/>
  <c r="K70" i="7"/>
  <c r="K70" i="8" s="1"/>
  <c r="K70" i="9" s="1"/>
  <c r="K70" i="10" s="1"/>
  <c r="J70" i="7"/>
  <c r="J70" i="8" s="1"/>
  <c r="J70" i="9" s="1"/>
  <c r="J70" i="10" s="1"/>
  <c r="I70" i="7"/>
  <c r="I70" i="8" s="1"/>
  <c r="I70" i="9" s="1"/>
  <c r="I70" i="10" s="1"/>
  <c r="E70" i="7"/>
  <c r="E70" i="8" s="1"/>
  <c r="E70" i="9" s="1"/>
  <c r="E70" i="10" s="1"/>
  <c r="H70" i="7"/>
  <c r="H70" i="8" s="1"/>
  <c r="H70" i="9" s="1"/>
  <c r="H70" i="10" s="1"/>
  <c r="G70" i="7"/>
  <c r="G70" i="8" s="1"/>
  <c r="G70" i="9" s="1"/>
  <c r="G70" i="10" s="1"/>
  <c r="L13" i="5"/>
  <c r="L27" i="5" s="1"/>
  <c r="M13" i="5"/>
  <c r="M27" i="5" s="1"/>
  <c r="I13" i="5"/>
  <c r="I27" i="5" s="1"/>
  <c r="K13" i="5"/>
  <c r="K27" i="5" s="1"/>
  <c r="J13" i="5"/>
  <c r="O13" i="5"/>
  <c r="O27" i="5" s="1"/>
  <c r="E8" i="17"/>
  <c r="G5" i="18" s="1"/>
  <c r="F5" i="18" s="1"/>
  <c r="S17" i="5"/>
  <c r="J17" i="5"/>
  <c r="S100" i="1"/>
  <c r="X100" i="1" s="1"/>
  <c r="P113" i="5"/>
  <c r="K113" i="5"/>
  <c r="H113" i="5"/>
  <c r="G113" i="5"/>
  <c r="U93" i="7"/>
  <c r="AA93" i="1"/>
  <c r="AP93" i="17"/>
  <c r="AD93" i="1"/>
  <c r="E113" i="5"/>
  <c r="S111" i="5"/>
  <c r="AP111" i="17"/>
  <c r="E117" i="6"/>
  <c r="U111" i="7"/>
  <c r="S113" i="1"/>
  <c r="AD111" i="1"/>
  <c r="F113" i="5"/>
  <c r="M113" i="5"/>
  <c r="J113" i="5"/>
  <c r="L113" i="5"/>
  <c r="AD112" i="1"/>
  <c r="AP112" i="17"/>
  <c r="U112" i="7"/>
  <c r="AA112" i="1"/>
  <c r="S122" i="1"/>
  <c r="E133" i="6" s="1"/>
  <c r="O113" i="5"/>
  <c r="I113" i="5"/>
  <c r="N113" i="5"/>
  <c r="AN80" i="17"/>
  <c r="AN94" i="17"/>
  <c r="U98" i="7"/>
  <c r="AD98" i="1"/>
  <c r="AA98" i="1"/>
  <c r="AP98" i="17"/>
  <c r="S101" i="1"/>
  <c r="X101" i="1" s="1"/>
  <c r="AA68" i="1"/>
  <c r="S69" i="1"/>
  <c r="AP83" i="17"/>
  <c r="AA83" i="1"/>
  <c r="U83" i="7"/>
  <c r="AD83" i="1"/>
  <c r="AD12" i="1"/>
  <c r="E12" i="17"/>
  <c r="G10" i="18" s="1"/>
  <c r="F10" i="18" s="1"/>
  <c r="AD9" i="1"/>
  <c r="E9" i="17"/>
  <c r="G6" i="18" s="1"/>
  <c r="F6" i="18" s="1"/>
  <c r="S102" i="1"/>
  <c r="X102" i="1" s="1"/>
  <c r="AD67" i="1"/>
  <c r="AP67" i="17"/>
  <c r="AP68" i="17"/>
  <c r="S97" i="1"/>
  <c r="X97" i="1" s="1"/>
  <c r="S66" i="1"/>
  <c r="X66" i="1" s="1"/>
  <c r="U8" i="7"/>
  <c r="U106" i="1"/>
  <c r="H109" i="5"/>
  <c r="S105" i="1"/>
  <c r="S108" i="1"/>
  <c r="S65" i="1"/>
  <c r="X65" i="1" s="1"/>
  <c r="S78" i="1"/>
  <c r="S76" i="1"/>
  <c r="AP76" i="17" s="1"/>
  <c r="S96" i="1"/>
  <c r="S77" i="1"/>
  <c r="S8" i="5"/>
  <c r="S13" i="5" s="1"/>
  <c r="K25" i="9"/>
  <c r="G25" i="9"/>
  <c r="M25" i="9"/>
  <c r="H25" i="9"/>
  <c r="N25" i="9"/>
  <c r="F25" i="9"/>
  <c r="J25" i="9"/>
  <c r="P25" i="9"/>
  <c r="I25" i="9"/>
  <c r="L25" i="9"/>
  <c r="O25" i="9"/>
  <c r="E22" i="8"/>
  <c r="E25" i="8"/>
  <c r="S24" i="8"/>
  <c r="I31" i="6" s="1"/>
  <c r="G22" i="8"/>
  <c r="I22" i="8"/>
  <c r="F22" i="8"/>
  <c r="M22" i="8"/>
  <c r="S21" i="8"/>
  <c r="K22" i="8"/>
  <c r="L22" i="8"/>
  <c r="H22" i="8"/>
  <c r="N22" i="8"/>
  <c r="O13" i="9"/>
  <c r="L13" i="9"/>
  <c r="G13" i="9"/>
  <c r="P13" i="9"/>
  <c r="N13" i="9"/>
  <c r="I13" i="9"/>
  <c r="Q5" i="10"/>
  <c r="H13" i="9"/>
  <c r="E13" i="10"/>
  <c r="K13" i="9"/>
  <c r="S71" i="1"/>
  <c r="S72" i="1"/>
  <c r="AA67" i="1"/>
  <c r="U67" i="7"/>
  <c r="U12" i="7"/>
  <c r="AA12" i="1"/>
  <c r="AA9" i="1"/>
  <c r="U9" i="7"/>
  <c r="S9" i="8" l="1"/>
  <c r="U9" i="9" s="1"/>
  <c r="S9" i="9"/>
  <c r="S9" i="7"/>
  <c r="U9" i="8" s="1"/>
  <c r="S12" i="7"/>
  <c r="U12" i="8" s="1"/>
  <c r="S12" i="9"/>
  <c r="U12" i="10" s="1"/>
  <c r="S12" i="8"/>
  <c r="U12" i="9" s="1"/>
  <c r="G27" i="16"/>
  <c r="J30" i="11"/>
  <c r="K30" i="11" s="1"/>
  <c r="K14" i="11"/>
  <c r="U80" i="1"/>
  <c r="E25" i="11" s="1"/>
  <c r="G25" i="11" s="1"/>
  <c r="U94" i="1"/>
  <c r="E26" i="11" s="1"/>
  <c r="G26" i="11" s="1"/>
  <c r="M70" i="7"/>
  <c r="M70" i="8" s="1"/>
  <c r="M70" i="9" s="1"/>
  <c r="M70" i="10" s="1"/>
  <c r="S70" i="1"/>
  <c r="X70" i="1" s="1"/>
  <c r="U109" i="1"/>
  <c r="E29" i="11" s="1"/>
  <c r="G29" i="11" s="1"/>
  <c r="E28" i="11"/>
  <c r="G28" i="11" s="1"/>
  <c r="G14" i="11"/>
  <c r="AP78" i="17"/>
  <c r="X78" i="1"/>
  <c r="AP108" i="17"/>
  <c r="X108" i="1"/>
  <c r="X109" i="1" s="1"/>
  <c r="X91" i="1"/>
  <c r="AP105" i="17"/>
  <c r="X105" i="1"/>
  <c r="X106" i="1" s="1"/>
  <c r="X90" i="1"/>
  <c r="AP77" i="17"/>
  <c r="X77" i="1"/>
  <c r="X69" i="1"/>
  <c r="X72" i="1"/>
  <c r="X71" i="1"/>
  <c r="AP96" i="17"/>
  <c r="X96" i="1"/>
  <c r="G30" i="11"/>
  <c r="P70" i="7"/>
  <c r="P70" i="8" s="1"/>
  <c r="P70" i="9" s="1"/>
  <c r="P70" i="10" s="1"/>
  <c r="V8" i="7"/>
  <c r="S11" i="7"/>
  <c r="U11" i="8" s="1"/>
  <c r="G19" i="6"/>
  <c r="S77" i="5"/>
  <c r="AP97" i="17"/>
  <c r="AP101" i="17"/>
  <c r="AD102" i="1"/>
  <c r="S96" i="5"/>
  <c r="S103" i="5" s="1"/>
  <c r="AP65" i="17"/>
  <c r="AP66" i="17"/>
  <c r="AA100" i="1"/>
  <c r="L103" i="5"/>
  <c r="AA92" i="1"/>
  <c r="K103" i="5"/>
  <c r="J103" i="5"/>
  <c r="F103" i="5"/>
  <c r="H103" i="5"/>
  <c r="M103" i="5"/>
  <c r="I103" i="5"/>
  <c r="G103" i="5"/>
  <c r="N103" i="5"/>
  <c r="P103" i="5"/>
  <c r="O103" i="5"/>
  <c r="P103" i="1"/>
  <c r="X99" i="1"/>
  <c r="AN103" i="17"/>
  <c r="S76" i="5"/>
  <c r="AA10" i="1"/>
  <c r="J27" i="5"/>
  <c r="U92" i="7"/>
  <c r="AP100" i="17"/>
  <c r="AD92" i="1"/>
  <c r="AP92" i="17"/>
  <c r="U100" i="7"/>
  <c r="AD100" i="1"/>
  <c r="S113" i="5"/>
  <c r="AD113" i="1"/>
  <c r="AP113" i="17"/>
  <c r="AA111" i="1"/>
  <c r="AA113" i="1" s="1"/>
  <c r="U113" i="7"/>
  <c r="E119" i="6"/>
  <c r="E123" i="7"/>
  <c r="AN8" i="17"/>
  <c r="U101" i="7"/>
  <c r="AA101" i="1"/>
  <c r="AD101" i="1"/>
  <c r="AN12" i="17"/>
  <c r="AP12" i="17" s="1"/>
  <c r="AD68" i="1"/>
  <c r="U69" i="7"/>
  <c r="AA69" i="1"/>
  <c r="AP69" i="17"/>
  <c r="AD69" i="1"/>
  <c r="U102" i="7"/>
  <c r="AA102" i="1"/>
  <c r="AD10" i="1"/>
  <c r="E10" i="17"/>
  <c r="G7" i="18" s="1"/>
  <c r="F7" i="18" s="1"/>
  <c r="AN9" i="17"/>
  <c r="AP9" i="17" s="1"/>
  <c r="AD11" i="1"/>
  <c r="E11" i="17"/>
  <c r="G8" i="18" s="1"/>
  <c r="F8" i="18" s="1"/>
  <c r="AP102" i="17"/>
  <c r="AD71" i="1"/>
  <c r="AP71" i="17"/>
  <c r="AD72" i="1"/>
  <c r="AP72" i="17"/>
  <c r="AA97" i="1"/>
  <c r="AD97" i="1"/>
  <c r="AA65" i="1"/>
  <c r="AD65" i="1"/>
  <c r="AD66" i="1"/>
  <c r="U108" i="7"/>
  <c r="U109" i="7" s="1"/>
  <c r="AD108" i="1"/>
  <c r="AD109" i="1" s="1"/>
  <c r="AA105" i="1"/>
  <c r="AA106" i="1" s="1"/>
  <c r="AD105" i="1"/>
  <c r="AD106" i="1" s="1"/>
  <c r="E102" i="6"/>
  <c r="AD96" i="1"/>
  <c r="AA77" i="1"/>
  <c r="AD77" i="1"/>
  <c r="U10" i="7"/>
  <c r="AA76" i="1"/>
  <c r="AD76" i="1"/>
  <c r="U78" i="7"/>
  <c r="AD78" i="1"/>
  <c r="AA66" i="1"/>
  <c r="U66" i="7"/>
  <c r="U97" i="7"/>
  <c r="U11" i="7"/>
  <c r="U65" i="7"/>
  <c r="S105" i="5"/>
  <c r="S106" i="5" s="1"/>
  <c r="S109" i="1"/>
  <c r="J29" i="11" s="1"/>
  <c r="K29" i="11" s="1"/>
  <c r="E114" i="6"/>
  <c r="S106" i="1"/>
  <c r="J28" i="11" s="1"/>
  <c r="K28" i="11" s="1"/>
  <c r="S108" i="5"/>
  <c r="S109" i="5" s="1"/>
  <c r="AA108" i="1"/>
  <c r="AA109" i="1" s="1"/>
  <c r="U105" i="7"/>
  <c r="U106" i="7" s="1"/>
  <c r="AA78" i="1"/>
  <c r="U96" i="7"/>
  <c r="U76" i="7"/>
  <c r="AA96" i="1"/>
  <c r="E82" i="6"/>
  <c r="U77" i="7"/>
  <c r="U68" i="7"/>
  <c r="AA11" i="1"/>
  <c r="F22" i="9"/>
  <c r="I22" i="9"/>
  <c r="K22" i="9"/>
  <c r="G22" i="9"/>
  <c r="L22" i="9"/>
  <c r="M22" i="9"/>
  <c r="H22" i="9"/>
  <c r="S21" i="9"/>
  <c r="S25" i="8"/>
  <c r="U24" i="9"/>
  <c r="U25" i="9" s="1"/>
  <c r="V24" i="8"/>
  <c r="V25" i="8" s="1"/>
  <c r="E25" i="9"/>
  <c r="S24" i="9"/>
  <c r="K31" i="6" s="1"/>
  <c r="N22" i="9"/>
  <c r="U21" i="9"/>
  <c r="V21" i="8"/>
  <c r="M25" i="10"/>
  <c r="K25" i="10"/>
  <c r="O25" i="10"/>
  <c r="J25" i="10"/>
  <c r="G25" i="10"/>
  <c r="N25" i="10"/>
  <c r="P25" i="10"/>
  <c r="F25" i="10"/>
  <c r="I25" i="10"/>
  <c r="H25" i="10"/>
  <c r="L25" i="10"/>
  <c r="E22" i="9"/>
  <c r="K13" i="10"/>
  <c r="Q13" i="5"/>
  <c r="Q27" i="5" s="1"/>
  <c r="F13" i="10"/>
  <c r="P13" i="10"/>
  <c r="N13" i="10"/>
  <c r="H13" i="10"/>
  <c r="G13" i="10"/>
  <c r="O13" i="10"/>
  <c r="L13" i="10"/>
  <c r="S12" i="10"/>
  <c r="J13" i="10"/>
  <c r="S9" i="10"/>
  <c r="M13" i="10"/>
  <c r="I13" i="10"/>
  <c r="AA72" i="1"/>
  <c r="U72" i="7"/>
  <c r="AA71" i="1"/>
  <c r="U71" i="7"/>
  <c r="V9" i="9" l="1"/>
  <c r="V9" i="8"/>
  <c r="H27" i="16"/>
  <c r="V12" i="7"/>
  <c r="U9" i="10"/>
  <c r="V9" i="10" s="1"/>
  <c r="V9" i="7"/>
  <c r="V12" i="9"/>
  <c r="V12" i="8"/>
  <c r="U103" i="1"/>
  <c r="E27" i="11" s="1"/>
  <c r="G27" i="11" s="1"/>
  <c r="G25" i="16"/>
  <c r="H25" i="16" s="1"/>
  <c r="G26" i="16"/>
  <c r="H26" i="16" s="1"/>
  <c r="X103" i="1"/>
  <c r="G11" i="16"/>
  <c r="H11" i="16" s="1"/>
  <c r="S8" i="8"/>
  <c r="V11" i="7"/>
  <c r="I19" i="6"/>
  <c r="S10" i="7"/>
  <c r="S10" i="8"/>
  <c r="S11" i="8"/>
  <c r="E112" i="6"/>
  <c r="U99" i="7"/>
  <c r="U103" i="7" s="1"/>
  <c r="AP70" i="17"/>
  <c r="AA99" i="1"/>
  <c r="AA103" i="1" s="1"/>
  <c r="E103" i="5"/>
  <c r="AP99" i="17"/>
  <c r="AD99" i="1"/>
  <c r="AD103" i="1" s="1"/>
  <c r="S103" i="1"/>
  <c r="J27" i="11" s="1"/>
  <c r="K27" i="11" s="1"/>
  <c r="O122" i="7"/>
  <c r="N122" i="7"/>
  <c r="P122" i="7"/>
  <c r="K122" i="7"/>
  <c r="F122" i="7"/>
  <c r="J122" i="7"/>
  <c r="H122" i="7"/>
  <c r="I122" i="7"/>
  <c r="M122" i="7"/>
  <c r="L122" i="7"/>
  <c r="G122" i="7"/>
  <c r="AA13" i="1"/>
  <c r="AA70" i="1"/>
  <c r="U70" i="7"/>
  <c r="AD70" i="1"/>
  <c r="S123" i="1"/>
  <c r="E134" i="6" s="1"/>
  <c r="G113" i="7"/>
  <c r="O113" i="7"/>
  <c r="M113" i="7"/>
  <c r="P113" i="7"/>
  <c r="N113" i="7"/>
  <c r="H113" i="7"/>
  <c r="I113" i="7"/>
  <c r="F113" i="7"/>
  <c r="S93" i="7"/>
  <c r="J113" i="7"/>
  <c r="S112" i="7"/>
  <c r="E122" i="7"/>
  <c r="K113" i="7"/>
  <c r="H122" i="8"/>
  <c r="S111" i="7"/>
  <c r="L113" i="7"/>
  <c r="Q117" i="5"/>
  <c r="Q120" i="5" s="1"/>
  <c r="E19" i="6"/>
  <c r="AN11" i="17"/>
  <c r="AP11" i="17" s="1"/>
  <c r="AN10" i="17"/>
  <c r="AP10" i="17" s="1"/>
  <c r="AD13" i="1"/>
  <c r="AP8" i="17"/>
  <c r="E13" i="17"/>
  <c r="AP106" i="17"/>
  <c r="AP109" i="17"/>
  <c r="E115" i="6"/>
  <c r="U13" i="7"/>
  <c r="S27" i="5"/>
  <c r="F22" i="10"/>
  <c r="E25" i="10"/>
  <c r="S24" i="10"/>
  <c r="M31" i="6" s="1"/>
  <c r="K22" i="10"/>
  <c r="E22" i="10"/>
  <c r="N22" i="10"/>
  <c r="H22" i="10"/>
  <c r="L22" i="10"/>
  <c r="I22" i="10"/>
  <c r="V21" i="9"/>
  <c r="U21" i="10"/>
  <c r="S21" i="10"/>
  <c r="M22" i="10"/>
  <c r="G22" i="10"/>
  <c r="U24" i="10"/>
  <c r="U25" i="10" s="1"/>
  <c r="V24" i="9"/>
  <c r="V25" i="9" s="1"/>
  <c r="S25" i="9"/>
  <c r="V12" i="10"/>
  <c r="F64" i="17"/>
  <c r="G32" i="18" s="1"/>
  <c r="F32" i="18" s="1"/>
  <c r="G24" i="16" l="1"/>
  <c r="H24" i="16" s="1"/>
  <c r="K19" i="6"/>
  <c r="U11" i="9"/>
  <c r="V11" i="8"/>
  <c r="S10" i="10"/>
  <c r="S10" i="9"/>
  <c r="S11" i="10"/>
  <c r="S11" i="9"/>
  <c r="U10" i="9"/>
  <c r="U10" i="8"/>
  <c r="U13" i="8" s="1"/>
  <c r="S13" i="7"/>
  <c r="S8" i="9"/>
  <c r="U8" i="9"/>
  <c r="S13" i="8"/>
  <c r="V8" i="8"/>
  <c r="V10" i="7"/>
  <c r="V13" i="7" s="1"/>
  <c r="F122" i="8"/>
  <c r="E109" i="6"/>
  <c r="L122" i="8"/>
  <c r="G119" i="6"/>
  <c r="I122" i="8"/>
  <c r="N122" i="8"/>
  <c r="O122" i="8"/>
  <c r="AP103" i="17"/>
  <c r="K122" i="8"/>
  <c r="M122" i="8"/>
  <c r="P122" i="8"/>
  <c r="S122" i="7"/>
  <c r="G133" i="6" s="1"/>
  <c r="J17" i="7"/>
  <c r="L17" i="7"/>
  <c r="L27" i="7" s="1"/>
  <c r="E17" i="7"/>
  <c r="E27" i="7" s="1"/>
  <c r="P17" i="7"/>
  <c r="N17" i="7"/>
  <c r="N27" i="7" s="1"/>
  <c r="H17" i="7"/>
  <c r="H27" i="7" s="1"/>
  <c r="F17" i="7"/>
  <c r="F27" i="7" s="1"/>
  <c r="G17" i="7"/>
  <c r="G27" i="7" s="1"/>
  <c r="J122" i="8"/>
  <c r="G122" i="8"/>
  <c r="I109" i="7"/>
  <c r="F109" i="7"/>
  <c r="K109" i="7"/>
  <c r="J109" i="7"/>
  <c r="G109" i="7"/>
  <c r="E109" i="7"/>
  <c r="N109" i="7"/>
  <c r="L109" i="7"/>
  <c r="H109" i="7"/>
  <c r="P109" i="7"/>
  <c r="M109" i="7"/>
  <c r="O109" i="7"/>
  <c r="G106" i="7"/>
  <c r="L17" i="8"/>
  <c r="L27" i="8" s="1"/>
  <c r="N17" i="8"/>
  <c r="N27" i="8" s="1"/>
  <c r="G17" i="8"/>
  <c r="G27" i="8" s="1"/>
  <c r="P17" i="8"/>
  <c r="J17" i="8"/>
  <c r="P113" i="8"/>
  <c r="H113" i="8"/>
  <c r="N113" i="8"/>
  <c r="F113" i="8"/>
  <c r="J113" i="8"/>
  <c r="M113" i="8"/>
  <c r="E122" i="8"/>
  <c r="S112" i="8"/>
  <c r="G113" i="8"/>
  <c r="L113" i="8"/>
  <c r="I113" i="8"/>
  <c r="G122" i="9"/>
  <c r="P122" i="9"/>
  <c r="I122" i="9"/>
  <c r="H122" i="9"/>
  <c r="L122" i="9"/>
  <c r="N122" i="9"/>
  <c r="F122" i="9"/>
  <c r="J122" i="9"/>
  <c r="M122" i="9"/>
  <c r="O122" i="9"/>
  <c r="K122" i="9"/>
  <c r="U112" i="8"/>
  <c r="V112" i="7"/>
  <c r="S111" i="8"/>
  <c r="E113" i="8"/>
  <c r="K113" i="8"/>
  <c r="S113" i="7"/>
  <c r="V111" i="7"/>
  <c r="U111" i="8"/>
  <c r="O113" i="8"/>
  <c r="U93" i="8"/>
  <c r="V93" i="7"/>
  <c r="S93" i="8"/>
  <c r="F74" i="17"/>
  <c r="S98" i="7"/>
  <c r="AN13" i="17"/>
  <c r="AP13" i="17" s="1"/>
  <c r="S83" i="7"/>
  <c r="E64" i="17"/>
  <c r="E73" i="17"/>
  <c r="H74" i="4"/>
  <c r="V21" i="10"/>
  <c r="S25" i="10"/>
  <c r="V24" i="10"/>
  <c r="V25" i="10" s="1"/>
  <c r="S101" i="7"/>
  <c r="S102" i="7"/>
  <c r="S97" i="7"/>
  <c r="S108" i="7"/>
  <c r="S66" i="7"/>
  <c r="S77" i="7"/>
  <c r="S76" i="7"/>
  <c r="X74" i="4" l="1"/>
  <c r="F50" i="2"/>
  <c r="I16" i="1" s="1"/>
  <c r="F52" i="2"/>
  <c r="F59" i="2"/>
  <c r="F49" i="2"/>
  <c r="F60" i="2"/>
  <c r="E21" i="17" s="1"/>
  <c r="G20" i="18" s="1"/>
  <c r="F20" i="18" s="1"/>
  <c r="F55" i="2"/>
  <c r="AD19" i="17" s="1"/>
  <c r="F58" i="2"/>
  <c r="F56" i="2"/>
  <c r="P19" i="1" s="1"/>
  <c r="F57" i="2"/>
  <c r="AI19" i="17" s="1"/>
  <c r="AI22" i="17" s="1"/>
  <c r="AI27" i="17" s="1"/>
  <c r="AI117" i="17" s="1"/>
  <c r="M19" i="6"/>
  <c r="S8" i="10"/>
  <c r="V8" i="9"/>
  <c r="S13" i="9"/>
  <c r="U8" i="10"/>
  <c r="U13" i="9"/>
  <c r="V10" i="8"/>
  <c r="V13" i="8" s="1"/>
  <c r="V11" i="9"/>
  <c r="U11" i="10"/>
  <c r="V11" i="10" s="1"/>
  <c r="V10" i="9"/>
  <c r="U10" i="10"/>
  <c r="V10" i="10" s="1"/>
  <c r="S96" i="7"/>
  <c r="V96" i="7" s="1"/>
  <c r="S122" i="8"/>
  <c r="I133" i="6" s="1"/>
  <c r="L109" i="8"/>
  <c r="P109" i="8"/>
  <c r="H109" i="8"/>
  <c r="K109" i="8"/>
  <c r="G109" i="8"/>
  <c r="F109" i="8"/>
  <c r="N109" i="8"/>
  <c r="J109" i="8"/>
  <c r="I109" i="8"/>
  <c r="H17" i="8"/>
  <c r="H27" i="8" s="1"/>
  <c r="F17" i="8"/>
  <c r="F27" i="8" s="1"/>
  <c r="E17" i="8"/>
  <c r="E27" i="8" s="1"/>
  <c r="U112" i="9"/>
  <c r="I119" i="6"/>
  <c r="V108" i="7"/>
  <c r="V109" i="7" s="1"/>
  <c r="G115" i="6"/>
  <c r="M109" i="8"/>
  <c r="O109" i="8"/>
  <c r="I106" i="7"/>
  <c r="L106" i="7"/>
  <c r="J106" i="7"/>
  <c r="O106" i="7"/>
  <c r="H106" i="7"/>
  <c r="N106" i="7"/>
  <c r="M106" i="7"/>
  <c r="P106" i="7"/>
  <c r="K106" i="7"/>
  <c r="F106" i="7"/>
  <c r="U101" i="8"/>
  <c r="V97" i="7"/>
  <c r="J103" i="7"/>
  <c r="H103" i="7"/>
  <c r="V98" i="7"/>
  <c r="O103" i="7"/>
  <c r="E103" i="7"/>
  <c r="F103" i="7"/>
  <c r="L103" i="7"/>
  <c r="I103" i="7"/>
  <c r="V102" i="7"/>
  <c r="M103" i="7"/>
  <c r="P103" i="7"/>
  <c r="G103" i="7"/>
  <c r="U83" i="8"/>
  <c r="U93" i="9"/>
  <c r="N64" i="7"/>
  <c r="N64" i="8" s="1"/>
  <c r="N64" i="9" s="1"/>
  <c r="N64" i="10" s="1"/>
  <c r="M64" i="7"/>
  <c r="M64" i="8" s="1"/>
  <c r="M64" i="9" s="1"/>
  <c r="M64" i="10" s="1"/>
  <c r="L64" i="7"/>
  <c r="L64" i="8" s="1"/>
  <c r="L64" i="9" s="1"/>
  <c r="L64" i="10" s="1"/>
  <c r="O64" i="7"/>
  <c r="O64" i="8" s="1"/>
  <c r="O64" i="9" s="1"/>
  <c r="O64" i="10" s="1"/>
  <c r="K64" i="7"/>
  <c r="K64" i="8" s="1"/>
  <c r="K64" i="9" s="1"/>
  <c r="K64" i="10" s="1"/>
  <c r="J64" i="7"/>
  <c r="J64" i="8" s="1"/>
  <c r="J64" i="9" s="1"/>
  <c r="J64" i="10" s="1"/>
  <c r="I64" i="7"/>
  <c r="I64" i="8" s="1"/>
  <c r="I64" i="9" s="1"/>
  <c r="I64" i="10" s="1"/>
  <c r="H64" i="7"/>
  <c r="H64" i="8" s="1"/>
  <c r="H64" i="9" s="1"/>
  <c r="H64" i="10" s="1"/>
  <c r="G64" i="7"/>
  <c r="G64" i="8" s="1"/>
  <c r="G64" i="9" s="1"/>
  <c r="G64" i="10" s="1"/>
  <c r="F64" i="7"/>
  <c r="F64" i="8" s="1"/>
  <c r="F64" i="9" s="1"/>
  <c r="F64" i="10" s="1"/>
  <c r="J73" i="7"/>
  <c r="J73" i="8" s="1"/>
  <c r="J73" i="9" s="1"/>
  <c r="J73" i="10" s="1"/>
  <c r="I73" i="7"/>
  <c r="I73" i="8" s="1"/>
  <c r="I73" i="9" s="1"/>
  <c r="I73" i="10" s="1"/>
  <c r="H73" i="7"/>
  <c r="H73" i="8" s="1"/>
  <c r="H73" i="9" s="1"/>
  <c r="H73" i="10" s="1"/>
  <c r="K73" i="7"/>
  <c r="K73" i="8" s="1"/>
  <c r="K73" i="9" s="1"/>
  <c r="K73" i="10" s="1"/>
  <c r="G73" i="7"/>
  <c r="G73" i="8" s="1"/>
  <c r="G73" i="9" s="1"/>
  <c r="G73" i="10" s="1"/>
  <c r="F73" i="7"/>
  <c r="F73" i="8" s="1"/>
  <c r="F73" i="9" s="1"/>
  <c r="F73" i="10" s="1"/>
  <c r="O73" i="7"/>
  <c r="O73" i="8" s="1"/>
  <c r="O73" i="9" s="1"/>
  <c r="O73" i="10" s="1"/>
  <c r="N73" i="7"/>
  <c r="N73" i="8" s="1"/>
  <c r="N73" i="9" s="1"/>
  <c r="N73" i="10" s="1"/>
  <c r="M73" i="7"/>
  <c r="M73" i="8" s="1"/>
  <c r="M73" i="9" s="1"/>
  <c r="M73" i="10" s="1"/>
  <c r="E73" i="7"/>
  <c r="E73" i="8" s="1"/>
  <c r="E73" i="9" s="1"/>
  <c r="E73" i="10" s="1"/>
  <c r="L73" i="7"/>
  <c r="L73" i="8" s="1"/>
  <c r="L73" i="9" s="1"/>
  <c r="L73" i="10" s="1"/>
  <c r="L17" i="9"/>
  <c r="L27" i="9" s="1"/>
  <c r="G17" i="9"/>
  <c r="G27" i="9" s="1"/>
  <c r="J17" i="9"/>
  <c r="E17" i="9"/>
  <c r="E27" i="9" s="1"/>
  <c r="N17" i="9"/>
  <c r="N27" i="9" s="1"/>
  <c r="H17" i="9"/>
  <c r="H27" i="9" s="1"/>
  <c r="P17" i="9"/>
  <c r="F17" i="9"/>
  <c r="F27" i="9" s="1"/>
  <c r="N113" i="9"/>
  <c r="O113" i="9"/>
  <c r="I113" i="9"/>
  <c r="S93" i="9"/>
  <c r="S111" i="9"/>
  <c r="M113" i="9"/>
  <c r="K113" i="9"/>
  <c r="G113" i="9"/>
  <c r="L113" i="9"/>
  <c r="J113" i="9"/>
  <c r="H113" i="9"/>
  <c r="F113" i="9"/>
  <c r="N122" i="10"/>
  <c r="L122" i="10"/>
  <c r="P122" i="10"/>
  <c r="F122" i="10"/>
  <c r="H122" i="10"/>
  <c r="I122" i="10"/>
  <c r="M122" i="10"/>
  <c r="O122" i="10"/>
  <c r="J122" i="10"/>
  <c r="G122" i="10"/>
  <c r="K122" i="10"/>
  <c r="P113" i="9"/>
  <c r="V112" i="8"/>
  <c r="U111" i="9"/>
  <c r="S113" i="8"/>
  <c r="V93" i="8"/>
  <c r="V111" i="8"/>
  <c r="U113" i="8"/>
  <c r="E113" i="9"/>
  <c r="S112" i="9"/>
  <c r="E122" i="9"/>
  <c r="S122" i="9" s="1"/>
  <c r="K133" i="6" s="1"/>
  <c r="V113" i="7"/>
  <c r="Z74" i="4"/>
  <c r="S98" i="8"/>
  <c r="U98" i="8"/>
  <c r="G80" i="5"/>
  <c r="S79" i="1"/>
  <c r="X79" i="1" s="1"/>
  <c r="X80" i="1" s="1"/>
  <c r="L80" i="5"/>
  <c r="O80" i="5"/>
  <c r="F80" i="5"/>
  <c r="I80" i="5"/>
  <c r="J80" i="5"/>
  <c r="H80" i="5"/>
  <c r="P80" i="5"/>
  <c r="K80" i="5"/>
  <c r="M80" i="5"/>
  <c r="AN73" i="17"/>
  <c r="N80" i="5"/>
  <c r="Z12" i="4"/>
  <c r="V83" i="7"/>
  <c r="S89" i="1"/>
  <c r="AN64" i="17"/>
  <c r="E74" i="17"/>
  <c r="E115" i="17" s="1"/>
  <c r="S83" i="8"/>
  <c r="G106" i="8"/>
  <c r="E106" i="8"/>
  <c r="M109" i="9"/>
  <c r="E106" i="7"/>
  <c r="S105" i="7"/>
  <c r="S65" i="7"/>
  <c r="S68" i="7"/>
  <c r="V101" i="7"/>
  <c r="K103" i="7"/>
  <c r="U97" i="8"/>
  <c r="K103" i="8"/>
  <c r="S82" i="1"/>
  <c r="X82" i="1" s="1"/>
  <c r="S77" i="8"/>
  <c r="U102" i="8"/>
  <c r="S84" i="1"/>
  <c r="S109" i="7"/>
  <c r="U108" i="8"/>
  <c r="U109" i="8" s="1"/>
  <c r="N103" i="7"/>
  <c r="O109" i="9"/>
  <c r="F109" i="9"/>
  <c r="S76" i="8"/>
  <c r="S65" i="8"/>
  <c r="L109" i="9"/>
  <c r="J109" i="9"/>
  <c r="S102" i="8"/>
  <c r="S66" i="8"/>
  <c r="N103" i="8"/>
  <c r="V77" i="7"/>
  <c r="U77" i="8"/>
  <c r="S71" i="7"/>
  <c r="S96" i="8"/>
  <c r="S97" i="8"/>
  <c r="S72" i="7"/>
  <c r="P109" i="9"/>
  <c r="K109" i="9"/>
  <c r="S108" i="8"/>
  <c r="I115" i="6" s="1"/>
  <c r="E109" i="8"/>
  <c r="S101" i="8"/>
  <c r="U76" i="8"/>
  <c r="V76" i="7"/>
  <c r="H109" i="9"/>
  <c r="G109" i="9"/>
  <c r="V66" i="7"/>
  <c r="U66" i="8"/>
  <c r="N109" i="9"/>
  <c r="I109" i="9"/>
  <c r="P22" i="1" l="1"/>
  <c r="P27" i="1" s="1"/>
  <c r="P19" i="7"/>
  <c r="S19" i="1"/>
  <c r="AD22" i="17"/>
  <c r="AD27" i="17" s="1"/>
  <c r="AD117" i="17" s="1"/>
  <c r="AN19" i="17"/>
  <c r="AN21" i="17"/>
  <c r="AP21" i="17" s="1"/>
  <c r="M16" i="1"/>
  <c r="Y16" i="17"/>
  <c r="G14" i="18" s="1"/>
  <c r="F14" i="18" s="1"/>
  <c r="O20" i="1"/>
  <c r="J20" i="1"/>
  <c r="E20" i="17"/>
  <c r="G19" i="18" s="1"/>
  <c r="F19" i="18" s="1"/>
  <c r="K16" i="1"/>
  <c r="O16" i="1"/>
  <c r="AA16" i="17"/>
  <c r="I17" i="1"/>
  <c r="I27" i="1" s="1"/>
  <c r="I16" i="7"/>
  <c r="X89" i="1"/>
  <c r="X84" i="1"/>
  <c r="P73" i="7"/>
  <c r="P73" i="8" s="1"/>
  <c r="P73" i="9" s="1"/>
  <c r="P73" i="10" s="1"/>
  <c r="P64" i="7"/>
  <c r="P64" i="8" s="1"/>
  <c r="P64" i="9" s="1"/>
  <c r="P64" i="10" s="1"/>
  <c r="U96" i="8"/>
  <c r="V96" i="8" s="1"/>
  <c r="U13" i="10"/>
  <c r="V13" i="9"/>
  <c r="S13" i="10"/>
  <c r="V8" i="10"/>
  <c r="V13" i="10" s="1"/>
  <c r="S78" i="7"/>
  <c r="M103" i="8"/>
  <c r="I103" i="8"/>
  <c r="M106" i="8"/>
  <c r="K106" i="8"/>
  <c r="J106" i="8"/>
  <c r="N106" i="8"/>
  <c r="L106" i="8"/>
  <c r="F103" i="8"/>
  <c r="G103" i="8"/>
  <c r="I106" i="8"/>
  <c r="P103" i="8"/>
  <c r="O103" i="8"/>
  <c r="H106" i="8"/>
  <c r="P106" i="8"/>
  <c r="U111" i="10"/>
  <c r="U112" i="10"/>
  <c r="O106" i="8"/>
  <c r="S106" i="7"/>
  <c r="G112" i="6"/>
  <c r="F106" i="8"/>
  <c r="U97" i="9"/>
  <c r="U101" i="9"/>
  <c r="U98" i="9"/>
  <c r="H103" i="8"/>
  <c r="U102" i="9"/>
  <c r="L103" i="8"/>
  <c r="U93" i="10"/>
  <c r="U83" i="9"/>
  <c r="U77" i="9"/>
  <c r="U76" i="9"/>
  <c r="U65" i="9"/>
  <c r="U66" i="9"/>
  <c r="V65" i="7"/>
  <c r="U68" i="8"/>
  <c r="P74" i="1"/>
  <c r="L17" i="10"/>
  <c r="L27" i="10" s="1"/>
  <c r="I113" i="10"/>
  <c r="J17" i="10"/>
  <c r="E17" i="10"/>
  <c r="E27" i="10" s="1"/>
  <c r="P17" i="10"/>
  <c r="F17" i="10"/>
  <c r="F27" i="10" s="1"/>
  <c r="N17" i="10"/>
  <c r="N27" i="10" s="1"/>
  <c r="H17" i="10"/>
  <c r="H27" i="10" s="1"/>
  <c r="G17" i="10"/>
  <c r="G27" i="10" s="1"/>
  <c r="M113" i="10"/>
  <c r="J113" i="10"/>
  <c r="N113" i="10"/>
  <c r="P113" i="10"/>
  <c r="V93" i="9"/>
  <c r="O113" i="10"/>
  <c r="F113" i="10"/>
  <c r="G113" i="10"/>
  <c r="S93" i="10"/>
  <c r="K113" i="10"/>
  <c r="S113" i="9"/>
  <c r="V113" i="8"/>
  <c r="H113" i="10"/>
  <c r="L113" i="10"/>
  <c r="E122" i="10"/>
  <c r="S122" i="10" s="1"/>
  <c r="M133" i="6" s="1"/>
  <c r="S112" i="10"/>
  <c r="S111" i="10"/>
  <c r="E113" i="10"/>
  <c r="U113" i="9"/>
  <c r="V111" i="9"/>
  <c r="V112" i="9"/>
  <c r="S82" i="5"/>
  <c r="S98" i="9"/>
  <c r="V98" i="8"/>
  <c r="S85" i="1"/>
  <c r="X85" i="1" s="1"/>
  <c r="AP79" i="17"/>
  <c r="U79" i="7"/>
  <c r="AD79" i="1"/>
  <c r="AD80" i="1" s="1"/>
  <c r="S80" i="1"/>
  <c r="J25" i="11" s="1"/>
  <c r="K25" i="11" s="1"/>
  <c r="AN74" i="17"/>
  <c r="E80" i="5"/>
  <c r="S80" i="5"/>
  <c r="S83" i="9"/>
  <c r="V83" i="8"/>
  <c r="AD89" i="1"/>
  <c r="AP89" i="17"/>
  <c r="U89" i="7"/>
  <c r="AA89" i="1"/>
  <c r="J106" i="9"/>
  <c r="E106" i="9"/>
  <c r="AD84" i="1"/>
  <c r="AP84" i="17"/>
  <c r="AD82" i="1"/>
  <c r="AP82" i="17"/>
  <c r="F106" i="9"/>
  <c r="N106" i="9"/>
  <c r="G106" i="9"/>
  <c r="I106" i="9"/>
  <c r="K106" i="9"/>
  <c r="M106" i="9"/>
  <c r="V105" i="7"/>
  <c r="V106" i="7" s="1"/>
  <c r="O106" i="9"/>
  <c r="U105" i="8"/>
  <c r="U106" i="8" s="1"/>
  <c r="U65" i="8"/>
  <c r="V65" i="8" s="1"/>
  <c r="P106" i="9"/>
  <c r="S105" i="8"/>
  <c r="H106" i="9"/>
  <c r="L106" i="9"/>
  <c r="S64" i="1"/>
  <c r="S68" i="8"/>
  <c r="V68" i="7"/>
  <c r="P103" i="9"/>
  <c r="S86" i="1"/>
  <c r="V77" i="8"/>
  <c r="S87" i="1"/>
  <c r="M103" i="9"/>
  <c r="V108" i="8"/>
  <c r="V109" i="8" s="1"/>
  <c r="U82" i="7"/>
  <c r="AA82" i="1"/>
  <c r="E88" i="6"/>
  <c r="S88" i="1"/>
  <c r="AA84" i="1"/>
  <c r="U84" i="7"/>
  <c r="I94" i="5"/>
  <c r="N94" i="5"/>
  <c r="M94" i="5"/>
  <c r="S101" i="9"/>
  <c r="L103" i="9"/>
  <c r="V66" i="8"/>
  <c r="S71" i="8"/>
  <c r="O103" i="9"/>
  <c r="I103" i="9"/>
  <c r="V102" i="8"/>
  <c r="G103" i="9"/>
  <c r="S72" i="8"/>
  <c r="V97" i="8"/>
  <c r="S65" i="9"/>
  <c r="L109" i="10"/>
  <c r="O109" i="10"/>
  <c r="V76" i="8"/>
  <c r="F103" i="9"/>
  <c r="S97" i="9"/>
  <c r="E103" i="8"/>
  <c r="L94" i="5"/>
  <c r="J109" i="10"/>
  <c r="M109" i="10"/>
  <c r="J94" i="5"/>
  <c r="P109" i="10"/>
  <c r="E109" i="9"/>
  <c r="S108" i="9"/>
  <c r="K115" i="6" s="1"/>
  <c r="H103" i="9"/>
  <c r="G94" i="5"/>
  <c r="S102" i="9"/>
  <c r="V101" i="8"/>
  <c r="H109" i="10"/>
  <c r="F109" i="10"/>
  <c r="U96" i="9"/>
  <c r="J103" i="8"/>
  <c r="N103" i="9"/>
  <c r="K103" i="9"/>
  <c r="S73" i="1"/>
  <c r="F94" i="5"/>
  <c r="G109" i="10"/>
  <c r="S76" i="9"/>
  <c r="V71" i="7"/>
  <c r="U71" i="8"/>
  <c r="K94" i="5"/>
  <c r="V72" i="7"/>
  <c r="U72" i="8"/>
  <c r="H94" i="5"/>
  <c r="K109" i="10"/>
  <c r="S77" i="9"/>
  <c r="S96" i="9"/>
  <c r="O94" i="5"/>
  <c r="S109" i="8"/>
  <c r="U108" i="9"/>
  <c r="S66" i="9"/>
  <c r="P94" i="5"/>
  <c r="N109" i="10"/>
  <c r="I109" i="10"/>
  <c r="AA17" i="17" l="1"/>
  <c r="AA27" i="17" s="1"/>
  <c r="AA117" i="17" s="1"/>
  <c r="G15" i="18"/>
  <c r="F15" i="18" s="1"/>
  <c r="J22" i="1"/>
  <c r="U20" i="1"/>
  <c r="J20" i="7"/>
  <c r="S20" i="1"/>
  <c r="S22" i="1" s="1"/>
  <c r="O22" i="1"/>
  <c r="O20" i="7"/>
  <c r="E22" i="17"/>
  <c r="E27" i="17" s="1"/>
  <c r="E117" i="17" s="1"/>
  <c r="AN20" i="17"/>
  <c r="AN22" i="17" s="1"/>
  <c r="Y17" i="17"/>
  <c r="Y27" i="17" s="1"/>
  <c r="Y117" i="17" s="1"/>
  <c r="AN16" i="17"/>
  <c r="M17" i="1"/>
  <c r="M27" i="1" s="1"/>
  <c r="M117" i="1" s="1"/>
  <c r="AP19" i="17"/>
  <c r="K17" i="1"/>
  <c r="K27" i="1" s="1"/>
  <c r="K117" i="1" s="1"/>
  <c r="S16" i="1"/>
  <c r="I16" i="8"/>
  <c r="I17" i="7"/>
  <c r="I27" i="7" s="1"/>
  <c r="I117" i="1"/>
  <c r="U16" i="1"/>
  <c r="X19" i="1"/>
  <c r="E25" i="6"/>
  <c r="AD19" i="1"/>
  <c r="U19" i="7"/>
  <c r="AA19" i="1"/>
  <c r="P19" i="8"/>
  <c r="P22" i="7"/>
  <c r="P27" i="7" s="1"/>
  <c r="O17" i="1"/>
  <c r="U74" i="1"/>
  <c r="E24" i="11" s="1"/>
  <c r="G24" i="11" s="1"/>
  <c r="G22" i="16"/>
  <c r="H22" i="16" s="1"/>
  <c r="AP64" i="17"/>
  <c r="X64" i="1"/>
  <c r="X88" i="1"/>
  <c r="X87" i="1"/>
  <c r="X73" i="1"/>
  <c r="X86" i="1"/>
  <c r="AD85" i="1"/>
  <c r="U78" i="8"/>
  <c r="V78" i="7"/>
  <c r="S78" i="9"/>
  <c r="U78" i="10" s="1"/>
  <c r="S78" i="8"/>
  <c r="S69" i="7"/>
  <c r="U113" i="10"/>
  <c r="V112" i="10"/>
  <c r="M119" i="6"/>
  <c r="K119" i="6"/>
  <c r="U105" i="9"/>
  <c r="U106" i="9" s="1"/>
  <c r="I112" i="6"/>
  <c r="U101" i="10"/>
  <c r="U97" i="10"/>
  <c r="U98" i="10"/>
  <c r="V93" i="10"/>
  <c r="U83" i="10"/>
  <c r="V76" i="9"/>
  <c r="U71" i="9"/>
  <c r="U68" i="9"/>
  <c r="U72" i="9"/>
  <c r="V65" i="9"/>
  <c r="S64" i="5"/>
  <c r="V113" i="9"/>
  <c r="V111" i="10"/>
  <c r="S113" i="10"/>
  <c r="V98" i="9"/>
  <c r="E94" i="5"/>
  <c r="S98" i="10"/>
  <c r="AA85" i="1"/>
  <c r="U85" i="7"/>
  <c r="AP85" i="17"/>
  <c r="AP80" i="17"/>
  <c r="E86" i="6"/>
  <c r="U80" i="7"/>
  <c r="AA79" i="1"/>
  <c r="AA80" i="1" s="1"/>
  <c r="J106" i="10"/>
  <c r="V83" i="9"/>
  <c r="S83" i="10"/>
  <c r="E106" i="10"/>
  <c r="F106" i="10"/>
  <c r="G106" i="10"/>
  <c r="N106" i="10"/>
  <c r="M106" i="10"/>
  <c r="AD90" i="1"/>
  <c r="AP90" i="17"/>
  <c r="AD87" i="1"/>
  <c r="AP87" i="17"/>
  <c r="AD88" i="1"/>
  <c r="AP88" i="17"/>
  <c r="AD91" i="1"/>
  <c r="AP91" i="17"/>
  <c r="AD86" i="1"/>
  <c r="AP86" i="17"/>
  <c r="AD73" i="1"/>
  <c r="AP73" i="17"/>
  <c r="I106" i="10"/>
  <c r="K106" i="10"/>
  <c r="U64" i="7"/>
  <c r="AD64" i="1"/>
  <c r="P106" i="10"/>
  <c r="H106" i="10"/>
  <c r="O106" i="10"/>
  <c r="S105" i="9"/>
  <c r="V105" i="8"/>
  <c r="V106" i="8" s="1"/>
  <c r="L106" i="10"/>
  <c r="S106" i="8"/>
  <c r="E70" i="6"/>
  <c r="AA64" i="1"/>
  <c r="V68" i="8"/>
  <c r="S68" i="9"/>
  <c r="V97" i="9"/>
  <c r="V72" i="8"/>
  <c r="U86" i="7"/>
  <c r="AA86" i="1"/>
  <c r="U87" i="7"/>
  <c r="AA87" i="1"/>
  <c r="V71" i="8"/>
  <c r="V101" i="9"/>
  <c r="AA88" i="1"/>
  <c r="U88" i="7"/>
  <c r="J103" i="9"/>
  <c r="AA90" i="1"/>
  <c r="U90" i="7"/>
  <c r="S66" i="10"/>
  <c r="U65" i="10"/>
  <c r="S71" i="9"/>
  <c r="F103" i="10"/>
  <c r="K103" i="10"/>
  <c r="S77" i="10"/>
  <c r="I103" i="10"/>
  <c r="O103" i="10"/>
  <c r="G103" i="10"/>
  <c r="S72" i="9"/>
  <c r="N103" i="10"/>
  <c r="S76" i="10"/>
  <c r="J74" i="5"/>
  <c r="AA91" i="1"/>
  <c r="U91" i="7"/>
  <c r="G74" i="5"/>
  <c r="U102" i="10"/>
  <c r="V102" i="9"/>
  <c r="J103" i="10"/>
  <c r="S94" i="5"/>
  <c r="H103" i="10"/>
  <c r="U96" i="10"/>
  <c r="S94" i="1"/>
  <c r="J26" i="11" s="1"/>
  <c r="K26" i="11" s="1"/>
  <c r="S65" i="10"/>
  <c r="H74" i="5"/>
  <c r="N74" i="5"/>
  <c r="P103" i="10"/>
  <c r="V96" i="9"/>
  <c r="L74" i="5"/>
  <c r="V66" i="9"/>
  <c r="U66" i="10"/>
  <c r="S96" i="10"/>
  <c r="O74" i="5"/>
  <c r="U77" i="10"/>
  <c r="V77" i="9"/>
  <c r="AA73" i="1"/>
  <c r="U73" i="7"/>
  <c r="S74" i="1"/>
  <c r="J24" i="11" s="1"/>
  <c r="K24" i="11" s="1"/>
  <c r="I74" i="5"/>
  <c r="M103" i="10"/>
  <c r="U109" i="9"/>
  <c r="V108" i="9"/>
  <c r="V109" i="9" s="1"/>
  <c r="S102" i="10"/>
  <c r="E74" i="5"/>
  <c r="S97" i="10"/>
  <c r="M74" i="5"/>
  <c r="K74" i="5"/>
  <c r="S109" i="9"/>
  <c r="U108" i="10"/>
  <c r="U76" i="10"/>
  <c r="S101" i="10"/>
  <c r="E109" i="10"/>
  <c r="S108" i="10"/>
  <c r="E103" i="9"/>
  <c r="F74" i="5"/>
  <c r="P74" i="5"/>
  <c r="L103" i="10"/>
  <c r="U17" i="1" l="1"/>
  <c r="E15" i="11" s="1"/>
  <c r="G15" i="11" s="1"/>
  <c r="O27" i="1"/>
  <c r="O117" i="1" s="1"/>
  <c r="AP22" i="17"/>
  <c r="AP20" i="17"/>
  <c r="AP16" i="17"/>
  <c r="AN17" i="17"/>
  <c r="M17" i="7"/>
  <c r="M27" i="7" s="1"/>
  <c r="J16" i="11"/>
  <c r="K16" i="11" s="1"/>
  <c r="G13" i="16"/>
  <c r="H13" i="16" s="1"/>
  <c r="O17" i="7"/>
  <c r="O20" i="8"/>
  <c r="O22" i="7"/>
  <c r="I16" i="9"/>
  <c r="I17" i="8"/>
  <c r="I27" i="8" s="1"/>
  <c r="X20" i="1"/>
  <c r="X22" i="1" s="1"/>
  <c r="U20" i="7"/>
  <c r="U22" i="7" s="1"/>
  <c r="AA20" i="1"/>
  <c r="AA22" i="1" s="1"/>
  <c r="E28" i="6"/>
  <c r="AD20" i="1"/>
  <c r="AD22" i="1" s="1"/>
  <c r="X16" i="1"/>
  <c r="S17" i="1"/>
  <c r="AD16" i="1"/>
  <c r="U16" i="7"/>
  <c r="AA16" i="1"/>
  <c r="J20" i="8"/>
  <c r="J22" i="7"/>
  <c r="J27" i="7" s="1"/>
  <c r="K17" i="7"/>
  <c r="K27" i="7" s="1"/>
  <c r="P19" i="9"/>
  <c r="P22" i="8"/>
  <c r="P27" i="8" s="1"/>
  <c r="J27" i="1"/>
  <c r="U22" i="1"/>
  <c r="E16" i="11" s="1"/>
  <c r="G16" i="11" s="1"/>
  <c r="X94" i="1"/>
  <c r="G21" i="16"/>
  <c r="G23" i="16"/>
  <c r="H23" i="16" s="1"/>
  <c r="X74" i="1"/>
  <c r="S78" i="10"/>
  <c r="V78" i="10" s="1"/>
  <c r="V78" i="8"/>
  <c r="V113" i="10"/>
  <c r="U78" i="9"/>
  <c r="V78" i="9" s="1"/>
  <c r="V69" i="7"/>
  <c r="U69" i="8"/>
  <c r="S69" i="8"/>
  <c r="S109" i="10"/>
  <c r="M115" i="6"/>
  <c r="V105" i="9"/>
  <c r="V106" i="9" s="1"/>
  <c r="K112" i="6"/>
  <c r="V101" i="10"/>
  <c r="V97" i="10"/>
  <c r="V98" i="10"/>
  <c r="V83" i="10"/>
  <c r="U71" i="10"/>
  <c r="U72" i="10"/>
  <c r="U68" i="10"/>
  <c r="AD94" i="1"/>
  <c r="AP94" i="17"/>
  <c r="AP74" i="17"/>
  <c r="AD74" i="1"/>
  <c r="S106" i="9"/>
  <c r="U105" i="10"/>
  <c r="U106" i="10" s="1"/>
  <c r="S105" i="10"/>
  <c r="V68" i="9"/>
  <c r="S68" i="10"/>
  <c r="S71" i="10"/>
  <c r="V65" i="10"/>
  <c r="U94" i="7"/>
  <c r="AA94" i="1"/>
  <c r="V71" i="9"/>
  <c r="V77" i="10"/>
  <c r="E100" i="6"/>
  <c r="V72" i="9"/>
  <c r="V102" i="10"/>
  <c r="S74" i="5"/>
  <c r="V76" i="10"/>
  <c r="U74" i="7"/>
  <c r="V66" i="10"/>
  <c r="E103" i="10"/>
  <c r="U109" i="10"/>
  <c r="V108" i="10"/>
  <c r="V109" i="10" s="1"/>
  <c r="S72" i="10"/>
  <c r="E80" i="6"/>
  <c r="V96" i="10"/>
  <c r="AP17" i="17" l="1"/>
  <c r="G19" i="11"/>
  <c r="E19" i="11"/>
  <c r="J117" i="1"/>
  <c r="U27" i="1"/>
  <c r="J15" i="11"/>
  <c r="G12" i="16"/>
  <c r="O17" i="8"/>
  <c r="X17" i="1"/>
  <c r="X27" i="1" s="1"/>
  <c r="U17" i="7"/>
  <c r="U27" i="7" s="1"/>
  <c r="S19" i="7"/>
  <c r="J20" i="9"/>
  <c r="J22" i="8"/>
  <c r="J27" i="8" s="1"/>
  <c r="AD17" i="1"/>
  <c r="AD27" i="1" s="1"/>
  <c r="P19" i="10"/>
  <c r="P22" i="9"/>
  <c r="P27" i="9" s="1"/>
  <c r="M17" i="8"/>
  <c r="M27" i="8" s="1"/>
  <c r="E23" i="6"/>
  <c r="E33" i="6" s="1"/>
  <c r="K17" i="8"/>
  <c r="K27" i="8" s="1"/>
  <c r="AN27" i="17"/>
  <c r="I16" i="10"/>
  <c r="I17" i="9"/>
  <c r="I27" i="9" s="1"/>
  <c r="AA17" i="1"/>
  <c r="AA27" i="1" s="1"/>
  <c r="O20" i="9"/>
  <c r="O22" i="8"/>
  <c r="S27" i="1"/>
  <c r="O27" i="7"/>
  <c r="H21" i="16"/>
  <c r="U69" i="9"/>
  <c r="V69" i="8"/>
  <c r="S69" i="10"/>
  <c r="S69" i="9"/>
  <c r="S106" i="10"/>
  <c r="M112" i="6"/>
  <c r="V68" i="10"/>
  <c r="V71" i="10"/>
  <c r="V72" i="10"/>
  <c r="S85" i="7"/>
  <c r="S89" i="7"/>
  <c r="V105" i="10"/>
  <c r="V106" i="10" s="1"/>
  <c r="S84" i="7"/>
  <c r="S82" i="7"/>
  <c r="S91" i="7"/>
  <c r="S85" i="8"/>
  <c r="AA74" i="1"/>
  <c r="G28" i="6" l="1"/>
  <c r="M17" i="10"/>
  <c r="M27" i="10" s="1"/>
  <c r="M17" i="9"/>
  <c r="M27" i="9" s="1"/>
  <c r="S19" i="8"/>
  <c r="O20" i="10"/>
  <c r="O22" i="10" s="1"/>
  <c r="O22" i="9"/>
  <c r="I28" i="6"/>
  <c r="V19" i="7"/>
  <c r="U19" i="8"/>
  <c r="P22" i="10"/>
  <c r="P27" i="10" s="1"/>
  <c r="O27" i="8"/>
  <c r="O17" i="10"/>
  <c r="O17" i="9"/>
  <c r="AP27" i="17"/>
  <c r="H12" i="16"/>
  <c r="H16" i="16" s="1"/>
  <c r="G16" i="16"/>
  <c r="S20" i="7"/>
  <c r="S22" i="7" s="1"/>
  <c r="K15" i="11"/>
  <c r="K19" i="11" s="1"/>
  <c r="J19" i="11"/>
  <c r="I17" i="10"/>
  <c r="I27" i="10" s="1"/>
  <c r="K17" i="10"/>
  <c r="K27" i="10" s="1"/>
  <c r="K17" i="9"/>
  <c r="K27" i="9" s="1"/>
  <c r="J20" i="10"/>
  <c r="J22" i="9"/>
  <c r="J27" i="9" s="1"/>
  <c r="V69" i="9"/>
  <c r="U69" i="10"/>
  <c r="V69" i="10" s="1"/>
  <c r="V85" i="7"/>
  <c r="U84" i="8"/>
  <c r="V89" i="7"/>
  <c r="G74" i="7"/>
  <c r="O74" i="7"/>
  <c r="H74" i="7"/>
  <c r="M74" i="7"/>
  <c r="K74" i="7"/>
  <c r="N74" i="7"/>
  <c r="I74" i="7"/>
  <c r="E74" i="7"/>
  <c r="L74" i="7"/>
  <c r="U85" i="8"/>
  <c r="V85" i="8" s="1"/>
  <c r="U89" i="8"/>
  <c r="S89" i="8"/>
  <c r="P94" i="7"/>
  <c r="V84" i="7"/>
  <c r="M94" i="7"/>
  <c r="S84" i="8"/>
  <c r="O94" i="7"/>
  <c r="S86" i="7"/>
  <c r="S88" i="7"/>
  <c r="H94" i="7"/>
  <c r="F94" i="7"/>
  <c r="G94" i="7"/>
  <c r="J94" i="7"/>
  <c r="S90" i="7"/>
  <c r="E94" i="7"/>
  <c r="N94" i="7"/>
  <c r="K94" i="7"/>
  <c r="L94" i="7"/>
  <c r="S87" i="7"/>
  <c r="I94" i="7"/>
  <c r="S82" i="8"/>
  <c r="V82" i="7"/>
  <c r="U82" i="8"/>
  <c r="S73" i="7"/>
  <c r="U85" i="9"/>
  <c r="P74" i="7"/>
  <c r="F74" i="7"/>
  <c r="U91" i="8"/>
  <c r="V91" i="7"/>
  <c r="S85" i="9"/>
  <c r="J74" i="7"/>
  <c r="S16" i="7" l="1"/>
  <c r="U16" i="8" s="1"/>
  <c r="O27" i="10"/>
  <c r="O27" i="9"/>
  <c r="S20" i="8"/>
  <c r="S22" i="8" s="1"/>
  <c r="M28" i="6"/>
  <c r="K28" i="6"/>
  <c r="S16" i="8"/>
  <c r="U20" i="8"/>
  <c r="U22" i="8" s="1"/>
  <c r="V20" i="7"/>
  <c r="V22" i="7" s="1"/>
  <c r="V19" i="8"/>
  <c r="U19" i="9"/>
  <c r="S19" i="9"/>
  <c r="J22" i="10"/>
  <c r="J27" i="10" s="1"/>
  <c r="U88" i="8"/>
  <c r="U90" i="8"/>
  <c r="V87" i="7"/>
  <c r="U86" i="8"/>
  <c r="U84" i="9"/>
  <c r="U82" i="9"/>
  <c r="S89" i="9"/>
  <c r="V89" i="8"/>
  <c r="U89" i="9"/>
  <c r="V86" i="7"/>
  <c r="V84" i="8"/>
  <c r="S88" i="8"/>
  <c r="V88" i="7"/>
  <c r="S84" i="9"/>
  <c r="I94" i="8"/>
  <c r="S86" i="8"/>
  <c r="U87" i="8"/>
  <c r="V90" i="7"/>
  <c r="J94" i="8"/>
  <c r="G94" i="8"/>
  <c r="N94" i="8"/>
  <c r="L94" i="8"/>
  <c r="O94" i="8"/>
  <c r="S82" i="9"/>
  <c r="M94" i="8"/>
  <c r="S87" i="8"/>
  <c r="V73" i="7"/>
  <c r="K94" i="8"/>
  <c r="H94" i="8"/>
  <c r="V82" i="8"/>
  <c r="P94" i="8"/>
  <c r="U73" i="8"/>
  <c r="S90" i="8"/>
  <c r="E94" i="8"/>
  <c r="F94" i="8"/>
  <c r="S73" i="8"/>
  <c r="V85" i="9"/>
  <c r="S85" i="10"/>
  <c r="U85" i="10"/>
  <c r="S91" i="8"/>
  <c r="V16" i="7" l="1"/>
  <c r="S16" i="10"/>
  <c r="S16" i="9"/>
  <c r="U20" i="9"/>
  <c r="U22" i="9" s="1"/>
  <c r="V20" i="8"/>
  <c r="V22" i="8" s="1"/>
  <c r="S19" i="10"/>
  <c r="S20" i="10"/>
  <c r="S20" i="9"/>
  <c r="S22" i="9" s="1"/>
  <c r="V16" i="8"/>
  <c r="U16" i="9"/>
  <c r="V19" i="9"/>
  <c r="U19" i="10"/>
  <c r="V91" i="8"/>
  <c r="U88" i="9"/>
  <c r="U87" i="9"/>
  <c r="U90" i="9"/>
  <c r="U86" i="9"/>
  <c r="U84" i="10"/>
  <c r="V82" i="9"/>
  <c r="U89" i="10"/>
  <c r="U73" i="9"/>
  <c r="V88" i="8"/>
  <c r="S89" i="10"/>
  <c r="V89" i="9"/>
  <c r="V86" i="8"/>
  <c r="G94" i="9"/>
  <c r="H94" i="9"/>
  <c r="V84" i="9"/>
  <c r="S84" i="10"/>
  <c r="S88" i="9"/>
  <c r="K94" i="9"/>
  <c r="E94" i="9"/>
  <c r="L94" i="9"/>
  <c r="I94" i="9"/>
  <c r="F94" i="9"/>
  <c r="S86" i="9"/>
  <c r="U82" i="10"/>
  <c r="V87" i="8"/>
  <c r="P94" i="9"/>
  <c r="O94" i="9"/>
  <c r="M94" i="9"/>
  <c r="S87" i="9"/>
  <c r="S82" i="10"/>
  <c r="N94" i="9"/>
  <c r="J94" i="9"/>
  <c r="S90" i="9"/>
  <c r="V73" i="8"/>
  <c r="V90" i="8"/>
  <c r="S91" i="10"/>
  <c r="S73" i="9"/>
  <c r="S91" i="9"/>
  <c r="U91" i="9"/>
  <c r="V85" i="10"/>
  <c r="U20" i="10" l="1"/>
  <c r="U22" i="10" s="1"/>
  <c r="V20" i="9"/>
  <c r="V22" i="9" s="1"/>
  <c r="V19" i="10"/>
  <c r="S22" i="10"/>
  <c r="U16" i="10"/>
  <c r="V16" i="10" s="1"/>
  <c r="V16" i="9"/>
  <c r="U90" i="10"/>
  <c r="V89" i="10"/>
  <c r="V84" i="10"/>
  <c r="V88" i="9"/>
  <c r="V73" i="9"/>
  <c r="V82" i="10"/>
  <c r="U88" i="10"/>
  <c r="H94" i="10"/>
  <c r="E94" i="10"/>
  <c r="S88" i="10"/>
  <c r="K94" i="10"/>
  <c r="I94" i="10"/>
  <c r="M94" i="10"/>
  <c r="O94" i="10"/>
  <c r="F94" i="10"/>
  <c r="P94" i="10"/>
  <c r="S86" i="10"/>
  <c r="G94" i="10"/>
  <c r="J94" i="10"/>
  <c r="S87" i="10"/>
  <c r="U86" i="10"/>
  <c r="V86" i="9"/>
  <c r="N94" i="10"/>
  <c r="S90" i="10"/>
  <c r="U87" i="10"/>
  <c r="V87" i="9"/>
  <c r="L94" i="10"/>
  <c r="V90" i="9"/>
  <c r="V91" i="9"/>
  <c r="U91" i="10"/>
  <c r="U73" i="10"/>
  <c r="S73" i="10"/>
  <c r="V20" i="10" l="1"/>
  <c r="V22" i="10" s="1"/>
  <c r="V90" i="10"/>
  <c r="V88" i="10"/>
  <c r="V86" i="10"/>
  <c r="V87" i="10"/>
  <c r="V73" i="10"/>
  <c r="V91" i="10"/>
  <c r="S33" i="7" l="1"/>
  <c r="U33" i="8" s="1"/>
  <c r="S40" i="7"/>
  <c r="V40" i="7" s="1"/>
  <c r="S40" i="10"/>
  <c r="O41" i="10"/>
  <c r="S39" i="7"/>
  <c r="V39" i="7" s="1"/>
  <c r="S38" i="8"/>
  <c r="U38" i="9" s="1"/>
  <c r="S38" i="7"/>
  <c r="V38" i="7" s="1"/>
  <c r="S38" i="10"/>
  <c r="S38" i="9"/>
  <c r="U38" i="10" s="1"/>
  <c r="S37" i="7"/>
  <c r="V37" i="7" s="1"/>
  <c r="S36" i="10"/>
  <c r="S36" i="8"/>
  <c r="U36" i="9" s="1"/>
  <c r="S36" i="7"/>
  <c r="V36" i="7" s="1"/>
  <c r="S36" i="9"/>
  <c r="U36" i="10" s="1"/>
  <c r="S35" i="7"/>
  <c r="U35" i="8" s="1"/>
  <c r="K41" i="10"/>
  <c r="S34" i="7"/>
  <c r="S32" i="7"/>
  <c r="G38" i="6" s="1"/>
  <c r="G47" i="6" s="1"/>
  <c r="G158" i="6" s="1"/>
  <c r="P41" i="9"/>
  <c r="P41" i="10"/>
  <c r="S31" i="8"/>
  <c r="U31" i="9" s="1"/>
  <c r="K41" i="7"/>
  <c r="I41" i="8"/>
  <c r="S31" i="10"/>
  <c r="K41" i="9"/>
  <c r="M41" i="8"/>
  <c r="O41" i="8"/>
  <c r="J41" i="8"/>
  <c r="M41" i="7"/>
  <c r="N41" i="7"/>
  <c r="M41" i="10"/>
  <c r="H41" i="7"/>
  <c r="N41" i="10"/>
  <c r="I41" i="9"/>
  <c r="L41" i="7"/>
  <c r="S31" i="9"/>
  <c r="N41" i="9"/>
  <c r="M41" i="9"/>
  <c r="P41" i="7"/>
  <c r="G41" i="7"/>
  <c r="L41" i="8"/>
  <c r="L41" i="10"/>
  <c r="E41" i="7"/>
  <c r="L41" i="9"/>
  <c r="P41" i="8"/>
  <c r="J41" i="10"/>
  <c r="I41" i="10"/>
  <c r="S31" i="7"/>
  <c r="N41" i="8"/>
  <c r="O41" i="7"/>
  <c r="J41" i="7"/>
  <c r="O41" i="9"/>
  <c r="F41" i="7"/>
  <c r="J41" i="9"/>
  <c r="K41" i="8"/>
  <c r="I41" i="7"/>
  <c r="U37" i="8" l="1"/>
  <c r="V33" i="7"/>
  <c r="F41" i="8"/>
  <c r="U38" i="8"/>
  <c r="V38" i="8" s="1"/>
  <c r="V36" i="10"/>
  <c r="V38" i="10"/>
  <c r="S40" i="8"/>
  <c r="U40" i="9" s="1"/>
  <c r="S40" i="9"/>
  <c r="U40" i="10" s="1"/>
  <c r="V40" i="10" s="1"/>
  <c r="E41" i="8"/>
  <c r="U34" i="8"/>
  <c r="V34" i="7"/>
  <c r="V35" i="7"/>
  <c r="U39" i="8"/>
  <c r="U36" i="8"/>
  <c r="V36" i="8" s="1"/>
  <c r="U40" i="8"/>
  <c r="S32" i="8"/>
  <c r="S34" i="8"/>
  <c r="U34" i="9" s="1"/>
  <c r="S35" i="8"/>
  <c r="U35" i="9" s="1"/>
  <c r="H41" i="8"/>
  <c r="S33" i="8"/>
  <c r="U33" i="9" s="1"/>
  <c r="S37" i="8"/>
  <c r="U37" i="9" s="1"/>
  <c r="S39" i="8"/>
  <c r="U39" i="9" s="1"/>
  <c r="V38" i="9"/>
  <c r="V36" i="9"/>
  <c r="G41" i="8"/>
  <c r="U32" i="8"/>
  <c r="V32" i="7"/>
  <c r="U31" i="8"/>
  <c r="V31" i="7"/>
  <c r="S41" i="7"/>
  <c r="U31" i="10"/>
  <c r="V31" i="9"/>
  <c r="U32" i="9" l="1"/>
  <c r="U41" i="9" s="1"/>
  <c r="I38" i="6"/>
  <c r="I47" i="6" s="1"/>
  <c r="I158" i="6" s="1"/>
  <c r="V32" i="8"/>
  <c r="V33" i="8"/>
  <c r="V40" i="8"/>
  <c r="S52" i="7"/>
  <c r="S49" i="7"/>
  <c r="V40" i="9"/>
  <c r="S55" i="7"/>
  <c r="V35" i="8"/>
  <c r="V34" i="8"/>
  <c r="V39" i="8"/>
  <c r="S34" i="9"/>
  <c r="U34" i="10" s="1"/>
  <c r="S34" i="10"/>
  <c r="S33" i="9"/>
  <c r="V33" i="9" s="1"/>
  <c r="S33" i="10"/>
  <c r="F41" i="10"/>
  <c r="S39" i="10"/>
  <c r="S37" i="9"/>
  <c r="U37" i="10" s="1"/>
  <c r="S37" i="10"/>
  <c r="S35" i="10"/>
  <c r="H41" i="10"/>
  <c r="S32" i="10"/>
  <c r="M38" i="6" s="1"/>
  <c r="M47" i="6" s="1"/>
  <c r="M158" i="6" s="1"/>
  <c r="S41" i="8"/>
  <c r="V37" i="8"/>
  <c r="F41" i="9"/>
  <c r="S39" i="9"/>
  <c r="U39" i="10" s="1"/>
  <c r="E41" i="9"/>
  <c r="S32" i="9"/>
  <c r="H41" i="9"/>
  <c r="G41" i="9"/>
  <c r="S35" i="9"/>
  <c r="S54" i="7"/>
  <c r="G60" i="6" s="1"/>
  <c r="S48" i="7"/>
  <c r="G54" i="6" s="1"/>
  <c r="S51" i="7"/>
  <c r="G57" i="6" s="1"/>
  <c r="S50" i="7"/>
  <c r="S53" i="7"/>
  <c r="S47" i="7"/>
  <c r="V41" i="7"/>
  <c r="U41" i="8"/>
  <c r="V31" i="8"/>
  <c r="V31" i="10"/>
  <c r="V32" i="9" l="1"/>
  <c r="K38" i="6"/>
  <c r="K47" i="6" s="1"/>
  <c r="K158" i="6" s="1"/>
  <c r="U52" i="8"/>
  <c r="U50" i="8"/>
  <c r="V55" i="7"/>
  <c r="U53" i="8"/>
  <c r="U49" i="8"/>
  <c r="U33" i="10"/>
  <c r="V33" i="10" s="1"/>
  <c r="V49" i="7"/>
  <c r="V39" i="9"/>
  <c r="U55" i="8"/>
  <c r="S54" i="8"/>
  <c r="I60" i="6" s="1"/>
  <c r="V52" i="7"/>
  <c r="S51" i="8"/>
  <c r="I57" i="6" s="1"/>
  <c r="S48" i="8"/>
  <c r="I54" i="6" s="1"/>
  <c r="V34" i="9"/>
  <c r="G41" i="10"/>
  <c r="U47" i="8"/>
  <c r="V47" i="7"/>
  <c r="V50" i="7"/>
  <c r="S53" i="8"/>
  <c r="V39" i="10"/>
  <c r="E41" i="10"/>
  <c r="V37" i="10"/>
  <c r="V37" i="9"/>
  <c r="S41" i="10"/>
  <c r="V34" i="10"/>
  <c r="S50" i="8"/>
  <c r="S49" i="8"/>
  <c r="U35" i="10"/>
  <c r="V35" i="10" s="1"/>
  <c r="S52" i="8"/>
  <c r="U32" i="10"/>
  <c r="S41" i="9"/>
  <c r="V35" i="9"/>
  <c r="S55" i="8"/>
  <c r="S47" i="8"/>
  <c r="V53" i="7"/>
  <c r="U51" i="8"/>
  <c r="V51" i="7"/>
  <c r="U48" i="8"/>
  <c r="V48" i="7"/>
  <c r="V54" i="7"/>
  <c r="U54" i="8"/>
  <c r="V41" i="8"/>
  <c r="V50" i="8" l="1"/>
  <c r="V53" i="8"/>
  <c r="U54" i="9"/>
  <c r="V51" i="8"/>
  <c r="V48" i="8"/>
  <c r="U53" i="9"/>
  <c r="V54" i="8"/>
  <c r="U51" i="9"/>
  <c r="U48" i="9"/>
  <c r="V41" i="9"/>
  <c r="S53" i="10"/>
  <c r="S51" i="10"/>
  <c r="M57" i="6" s="1"/>
  <c r="S54" i="10"/>
  <c r="M60" i="6" s="1"/>
  <c r="S49" i="10"/>
  <c r="S55" i="10"/>
  <c r="S48" i="10"/>
  <c r="M54" i="6" s="1"/>
  <c r="S50" i="10"/>
  <c r="S47" i="10"/>
  <c r="S52" i="10"/>
  <c r="S48" i="9"/>
  <c r="K54" i="6" s="1"/>
  <c r="S49" i="9"/>
  <c r="S54" i="9"/>
  <c r="K60" i="6" s="1"/>
  <c r="S53" i="9"/>
  <c r="S51" i="9"/>
  <c r="K57" i="6" s="1"/>
  <c r="S50" i="9"/>
  <c r="S47" i="9"/>
  <c r="S55" i="9"/>
  <c r="S52" i="9"/>
  <c r="U55" i="9"/>
  <c r="V55" i="8"/>
  <c r="U52" i="9"/>
  <c r="V52" i="8"/>
  <c r="V32" i="10"/>
  <c r="V41" i="10" s="1"/>
  <c r="U41" i="10"/>
  <c r="U47" i="9"/>
  <c r="U50" i="9"/>
  <c r="U49" i="9"/>
  <c r="V49" i="8"/>
  <c r="V47" i="8"/>
  <c r="U47" i="10" l="1"/>
  <c r="V47" i="10" s="1"/>
  <c r="U53" i="10"/>
  <c r="V53" i="10" s="1"/>
  <c r="U54" i="10"/>
  <c r="V54" i="10" s="1"/>
  <c r="V49" i="9"/>
  <c r="U51" i="10"/>
  <c r="V51" i="10" s="1"/>
  <c r="V54" i="9"/>
  <c r="V52" i="9"/>
  <c r="V48" i="9"/>
  <c r="U48" i="10"/>
  <c r="V48" i="10" s="1"/>
  <c r="V51" i="9"/>
  <c r="V50" i="9"/>
  <c r="V53" i="9"/>
  <c r="V47" i="9"/>
  <c r="U49" i="10"/>
  <c r="V49" i="10" s="1"/>
  <c r="U50" i="10"/>
  <c r="V50" i="10" s="1"/>
  <c r="V55" i="9"/>
  <c r="U52" i="10"/>
  <c r="V52" i="10" s="1"/>
  <c r="U55" i="10"/>
  <c r="V55" i="10" s="1"/>
  <c r="K112" i="3" l="1"/>
  <c r="K90" i="3"/>
  <c r="F59" i="7" l="1"/>
  <c r="F59" i="8" s="1"/>
  <c r="F59" i="9" s="1"/>
  <c r="F59" i="10" s="1"/>
  <c r="E59" i="7"/>
  <c r="E59" i="8" s="1"/>
  <c r="E59" i="9" s="1"/>
  <c r="E59" i="10" s="1"/>
  <c r="O59" i="7"/>
  <c r="O59" i="8" s="1"/>
  <c r="O59" i="9" s="1"/>
  <c r="O59" i="10" s="1"/>
  <c r="N59" i="7"/>
  <c r="N59" i="8" s="1"/>
  <c r="N59" i="9" s="1"/>
  <c r="N59" i="10" s="1"/>
  <c r="M59" i="7"/>
  <c r="M59" i="8" s="1"/>
  <c r="M59" i="9" s="1"/>
  <c r="M59" i="10" s="1"/>
  <c r="L59" i="7"/>
  <c r="L59" i="8" s="1"/>
  <c r="L59" i="9" s="1"/>
  <c r="L59" i="10" s="1"/>
  <c r="H59" i="7"/>
  <c r="H59" i="8" s="1"/>
  <c r="H59" i="9" s="1"/>
  <c r="H59" i="10" s="1"/>
  <c r="G59" i="7"/>
  <c r="G59" i="8" s="1"/>
  <c r="G59" i="9" s="1"/>
  <c r="G59" i="10" s="1"/>
  <c r="K59" i="7"/>
  <c r="K59" i="8" s="1"/>
  <c r="K59" i="9" s="1"/>
  <c r="K59" i="10" s="1"/>
  <c r="I59" i="7"/>
  <c r="I59" i="8" s="1"/>
  <c r="I59" i="9" s="1"/>
  <c r="I59" i="10" s="1"/>
  <c r="J59" i="7"/>
  <c r="J59" i="8" s="1"/>
  <c r="J59" i="9" s="1"/>
  <c r="J59" i="10" s="1"/>
  <c r="F43" i="7"/>
  <c r="F43" i="8" s="1"/>
  <c r="F43" i="9" s="1"/>
  <c r="F43" i="10" s="1"/>
  <c r="O43" i="7"/>
  <c r="O43" i="8" s="1"/>
  <c r="O43" i="9" s="1"/>
  <c r="O43" i="10" s="1"/>
  <c r="H43" i="7"/>
  <c r="H43" i="8" s="1"/>
  <c r="H43" i="9" s="1"/>
  <c r="H43" i="10" s="1"/>
  <c r="G43" i="7"/>
  <c r="G43" i="8" s="1"/>
  <c r="G43" i="9" s="1"/>
  <c r="G43" i="10" s="1"/>
  <c r="N43" i="7"/>
  <c r="N43" i="8" s="1"/>
  <c r="N43" i="9" s="1"/>
  <c r="N43" i="10" s="1"/>
  <c r="M43" i="7"/>
  <c r="M43" i="8" s="1"/>
  <c r="M43" i="9" s="1"/>
  <c r="M43" i="10" s="1"/>
  <c r="I43" i="7"/>
  <c r="I43" i="8" s="1"/>
  <c r="I43" i="9" s="1"/>
  <c r="I43" i="10" s="1"/>
  <c r="L43" i="7"/>
  <c r="L43" i="8" s="1"/>
  <c r="L43" i="9" s="1"/>
  <c r="L43" i="10" s="1"/>
  <c r="K43" i="7"/>
  <c r="K43" i="8" s="1"/>
  <c r="K43" i="9" s="1"/>
  <c r="K43" i="10" s="1"/>
  <c r="J43" i="7"/>
  <c r="J43" i="8" s="1"/>
  <c r="J43" i="9" s="1"/>
  <c r="J43" i="10" s="1"/>
  <c r="K93" i="3"/>
  <c r="E43" i="7"/>
  <c r="E43" i="8" s="1"/>
  <c r="E43" i="9" s="1"/>
  <c r="E43" i="10" s="1"/>
  <c r="K115" i="3"/>
  <c r="P43" i="7" l="1"/>
  <c r="P43" i="8" s="1"/>
  <c r="P43" i="9" s="1"/>
  <c r="P43" i="10" s="1"/>
  <c r="P59" i="7"/>
  <c r="P59" i="8" s="1"/>
  <c r="P59" i="9" s="1"/>
  <c r="P59" i="10" s="1"/>
  <c r="K116" i="3"/>
  <c r="P62" i="1"/>
  <c r="K120" i="1"/>
  <c r="K138" i="1" s="1"/>
  <c r="S59" i="1"/>
  <c r="F59" i="17" s="1"/>
  <c r="G31" i="18" s="1"/>
  <c r="F31" i="18" s="1"/>
  <c r="S43" i="1"/>
  <c r="F43" i="17" s="1"/>
  <c r="G26" i="18" s="1"/>
  <c r="F26" i="18" s="1"/>
  <c r="X43" i="1" l="1"/>
  <c r="AG90" i="3" s="1"/>
  <c r="AH90" i="3" s="1"/>
  <c r="X59" i="1"/>
  <c r="AG112" i="3" s="1"/>
  <c r="AH112" i="3" s="1"/>
  <c r="J46" i="7"/>
  <c r="J46" i="8" s="1"/>
  <c r="J46" i="9" s="1"/>
  <c r="J46" i="10" s="1"/>
  <c r="E46" i="7"/>
  <c r="E62" i="5"/>
  <c r="E115" i="5" s="1"/>
  <c r="E117" i="5" s="1"/>
  <c r="E120" i="5" s="1"/>
  <c r="E138" i="5" s="1"/>
  <c r="E141" i="5" s="1"/>
  <c r="F139" i="5" s="1"/>
  <c r="S46" i="1"/>
  <c r="K46" i="7"/>
  <c r="K46" i="8" s="1"/>
  <c r="K46" i="9" s="1"/>
  <c r="K46" i="10" s="1"/>
  <c r="K62" i="5"/>
  <c r="K115" i="5" s="1"/>
  <c r="K117" i="5" s="1"/>
  <c r="K120" i="5" s="1"/>
  <c r="K138" i="5" s="1"/>
  <c r="L46" i="7"/>
  <c r="L46" i="8" s="1"/>
  <c r="L46" i="9" s="1"/>
  <c r="L46" i="10" s="1"/>
  <c r="M46" i="7"/>
  <c r="M46" i="8" s="1"/>
  <c r="M46" i="9" s="1"/>
  <c r="M46" i="10" s="1"/>
  <c r="M62" i="5"/>
  <c r="M115" i="5" s="1"/>
  <c r="M117" i="5" s="1"/>
  <c r="M120" i="5" s="1"/>
  <c r="M138" i="5" s="1"/>
  <c r="F46" i="7"/>
  <c r="F46" i="8" s="1"/>
  <c r="F46" i="9" s="1"/>
  <c r="F46" i="10" s="1"/>
  <c r="F62" i="5"/>
  <c r="F115" i="5" s="1"/>
  <c r="F117" i="5" s="1"/>
  <c r="F120" i="5" s="1"/>
  <c r="F138" i="5" s="1"/>
  <c r="H46" i="7"/>
  <c r="H46" i="8" s="1"/>
  <c r="H46" i="9" s="1"/>
  <c r="H46" i="10" s="1"/>
  <c r="H62" i="5"/>
  <c r="H115" i="5" s="1"/>
  <c r="H117" i="5" s="1"/>
  <c r="H120" i="5" s="1"/>
  <c r="H138" i="5" s="1"/>
  <c r="H120" i="1"/>
  <c r="H138" i="1" s="1"/>
  <c r="N46" i="7"/>
  <c r="N46" i="8" s="1"/>
  <c r="N46" i="9" s="1"/>
  <c r="N46" i="10" s="1"/>
  <c r="N62" i="5"/>
  <c r="N115" i="5" s="1"/>
  <c r="N117" i="5" s="1"/>
  <c r="N120" i="5" s="1"/>
  <c r="N138" i="5" s="1"/>
  <c r="O46" i="7"/>
  <c r="O46" i="8" s="1"/>
  <c r="O46" i="9" s="1"/>
  <c r="O46" i="10" s="1"/>
  <c r="O62" i="5"/>
  <c r="O115" i="5" s="1"/>
  <c r="O117" i="5" s="1"/>
  <c r="O120" i="5" s="1"/>
  <c r="O138" i="5" s="1"/>
  <c r="G46" i="7"/>
  <c r="G46" i="8" s="1"/>
  <c r="G46" i="9" s="1"/>
  <c r="G46" i="10" s="1"/>
  <c r="G62" i="5"/>
  <c r="G115" i="5" s="1"/>
  <c r="G117" i="5" s="1"/>
  <c r="G120" i="5" s="1"/>
  <c r="G138" i="5" s="1"/>
  <c r="P46" i="7"/>
  <c r="P46" i="8" s="1"/>
  <c r="P46" i="9" s="1"/>
  <c r="P46" i="10" s="1"/>
  <c r="P62" i="5"/>
  <c r="P115" i="5" s="1"/>
  <c r="P117" i="5" s="1"/>
  <c r="P120" i="5" s="1"/>
  <c r="P138" i="5" s="1"/>
  <c r="I46" i="7"/>
  <c r="I46" i="8" s="1"/>
  <c r="I46" i="9" s="1"/>
  <c r="I46" i="10" s="1"/>
  <c r="I62" i="5"/>
  <c r="I115" i="5" s="1"/>
  <c r="I117" i="5" s="1"/>
  <c r="I120" i="5" s="1"/>
  <c r="I138" i="5" s="1"/>
  <c r="I120" i="1"/>
  <c r="I138" i="1" s="1"/>
  <c r="S43" i="7"/>
  <c r="S59" i="7"/>
  <c r="H74" i="8"/>
  <c r="I74" i="8"/>
  <c r="K74" i="8"/>
  <c r="N120" i="1"/>
  <c r="N138" i="1" s="1"/>
  <c r="L120" i="1"/>
  <c r="L138" i="1" s="1"/>
  <c r="F120" i="1"/>
  <c r="F138" i="1" s="1"/>
  <c r="P115" i="1"/>
  <c r="P117" i="1" s="1"/>
  <c r="P120" i="1" s="1"/>
  <c r="P138" i="1" s="1"/>
  <c r="G120" i="1"/>
  <c r="G138" i="1" s="1"/>
  <c r="J120" i="1"/>
  <c r="J138" i="1" s="1"/>
  <c r="O120" i="1"/>
  <c r="O138" i="1" s="1"/>
  <c r="S43" i="5"/>
  <c r="L62" i="5"/>
  <c r="L115" i="5" s="1"/>
  <c r="L117" i="5" s="1"/>
  <c r="L120" i="5" s="1"/>
  <c r="L138" i="5" s="1"/>
  <c r="J62" i="5"/>
  <c r="J115" i="5" s="1"/>
  <c r="J117" i="5" s="1"/>
  <c r="J120" i="5" s="1"/>
  <c r="J138" i="5" s="1"/>
  <c r="AD43" i="1"/>
  <c r="E49" i="6"/>
  <c r="U43" i="7"/>
  <c r="AA59" i="1"/>
  <c r="AD59" i="1"/>
  <c r="U59" i="7"/>
  <c r="S62" i="1" l="1"/>
  <c r="J23" i="11" s="1"/>
  <c r="K23" i="11" s="1"/>
  <c r="K32" i="11" s="1"/>
  <c r="K34" i="11" s="1"/>
  <c r="N46" i="17"/>
  <c r="G59" i="18" s="1"/>
  <c r="F59" i="18" s="1"/>
  <c r="M120" i="1"/>
  <c r="M138" i="1" s="1"/>
  <c r="U62" i="1"/>
  <c r="E23" i="11" s="1"/>
  <c r="E32" i="11" s="1"/>
  <c r="E34" i="11" s="1"/>
  <c r="E37" i="11" s="1"/>
  <c r="X46" i="1"/>
  <c r="M62" i="7"/>
  <c r="U115" i="1"/>
  <c r="N62" i="7"/>
  <c r="L62" i="8"/>
  <c r="L62" i="7"/>
  <c r="H62" i="7"/>
  <c r="P62" i="7"/>
  <c r="G62" i="8"/>
  <c r="F62" i="7"/>
  <c r="I62" i="7"/>
  <c r="G62" i="7"/>
  <c r="O62" i="7"/>
  <c r="M62" i="8"/>
  <c r="J62" i="7"/>
  <c r="AD46" i="1"/>
  <c r="AD62" i="1" s="1"/>
  <c r="AD115" i="1" s="1"/>
  <c r="AD117" i="1" s="1"/>
  <c r="U46" i="7"/>
  <c r="U62" i="7" s="1"/>
  <c r="U115" i="7" s="1"/>
  <c r="U117" i="7" s="1"/>
  <c r="S62" i="5"/>
  <c r="E46" i="8"/>
  <c r="S46" i="7"/>
  <c r="U46" i="8" s="1"/>
  <c r="E62" i="7"/>
  <c r="K62" i="7"/>
  <c r="V59" i="7"/>
  <c r="U43" i="8"/>
  <c r="S59" i="9"/>
  <c r="I62" i="8"/>
  <c r="J62" i="8"/>
  <c r="S59" i="8"/>
  <c r="M62" i="10"/>
  <c r="M62" i="9"/>
  <c r="P62" i="8"/>
  <c r="N62" i="8"/>
  <c r="U59" i="8"/>
  <c r="G62" i="10"/>
  <c r="G62" i="9"/>
  <c r="O62" i="8"/>
  <c r="L62" i="10"/>
  <c r="L62" i="9"/>
  <c r="F62" i="8"/>
  <c r="H62" i="8"/>
  <c r="S43" i="8"/>
  <c r="K62" i="8"/>
  <c r="F74" i="8"/>
  <c r="O74" i="8"/>
  <c r="J74" i="8"/>
  <c r="G74" i="8"/>
  <c r="L74" i="8"/>
  <c r="N74" i="8"/>
  <c r="M74" i="8"/>
  <c r="K74" i="10"/>
  <c r="K74" i="9"/>
  <c r="I74" i="10"/>
  <c r="I74" i="9"/>
  <c r="P74" i="8"/>
  <c r="H74" i="10"/>
  <c r="H74" i="9"/>
  <c r="E74" i="8"/>
  <c r="S67" i="7"/>
  <c r="F141" i="5"/>
  <c r="G139" i="5" s="1"/>
  <c r="G141" i="5" s="1"/>
  <c r="H139" i="5" s="1"/>
  <c r="H141" i="5" s="1"/>
  <c r="I139" i="5" s="1"/>
  <c r="I141" i="5" s="1"/>
  <c r="J139" i="5" s="1"/>
  <c r="J141" i="5" s="1"/>
  <c r="K139" i="5" s="1"/>
  <c r="K141" i="5" s="1"/>
  <c r="L139" i="5" s="1"/>
  <c r="L141" i="5" s="1"/>
  <c r="M139" i="5" s="1"/>
  <c r="M141" i="5" s="1"/>
  <c r="N139" i="5" s="1"/>
  <c r="N141" i="5" s="1"/>
  <c r="O139" i="5" s="1"/>
  <c r="O141" i="5" s="1"/>
  <c r="P139" i="5" s="1"/>
  <c r="P141" i="5" s="1"/>
  <c r="F62" i="17"/>
  <c r="AN43" i="17"/>
  <c r="AN59" i="17"/>
  <c r="AP59" i="17" s="1"/>
  <c r="AA43" i="1"/>
  <c r="S115" i="1"/>
  <c r="V43" i="7"/>
  <c r="J32" i="11" l="1"/>
  <c r="J34" i="11" s="1"/>
  <c r="S117" i="1"/>
  <c r="G142" i="1"/>
  <c r="H142" i="1"/>
  <c r="I142" i="1"/>
  <c r="J142" i="1"/>
  <c r="K142" i="1"/>
  <c r="L142" i="1"/>
  <c r="M142" i="1"/>
  <c r="N142" i="1"/>
  <c r="O142" i="1"/>
  <c r="P142" i="1"/>
  <c r="F142" i="1"/>
  <c r="E142" i="1"/>
  <c r="J43" i="11"/>
  <c r="J37" i="11"/>
  <c r="J41" i="11" s="1"/>
  <c r="G20" i="16"/>
  <c r="AG94" i="3"/>
  <c r="AH94" i="3" s="1"/>
  <c r="X62" i="1"/>
  <c r="X115" i="1" s="1"/>
  <c r="X117" i="1" s="1"/>
  <c r="U117" i="1"/>
  <c r="G23" i="11"/>
  <c r="G32" i="11" s="1"/>
  <c r="G34" i="11" s="1"/>
  <c r="F32" i="11"/>
  <c r="F34" i="11" s="1"/>
  <c r="F37" i="11" s="1"/>
  <c r="E68" i="6"/>
  <c r="E159" i="6" s="1"/>
  <c r="S62" i="7"/>
  <c r="G68" i="6"/>
  <c r="G159" i="6" s="1"/>
  <c r="E46" i="9"/>
  <c r="S46" i="8"/>
  <c r="U46" i="9" s="1"/>
  <c r="E62" i="8"/>
  <c r="V46" i="7"/>
  <c r="V62" i="7" s="1"/>
  <c r="AA46" i="1"/>
  <c r="AA62" i="1" s="1"/>
  <c r="AA115" i="1" s="1"/>
  <c r="AA117" i="1" s="1"/>
  <c r="U62" i="8"/>
  <c r="V43" i="8"/>
  <c r="H62" i="10"/>
  <c r="H62" i="9"/>
  <c r="N62" i="10"/>
  <c r="N62" i="9"/>
  <c r="P62" i="10"/>
  <c r="P62" i="9"/>
  <c r="F62" i="10"/>
  <c r="F62" i="9"/>
  <c r="U59" i="10"/>
  <c r="U59" i="9"/>
  <c r="V59" i="9" s="1"/>
  <c r="O62" i="10"/>
  <c r="O62" i="9"/>
  <c r="J62" i="10"/>
  <c r="J62" i="9"/>
  <c r="S43" i="9"/>
  <c r="K62" i="10"/>
  <c r="K62" i="9"/>
  <c r="V59" i="8"/>
  <c r="U43" i="9"/>
  <c r="I62" i="10"/>
  <c r="I62" i="9"/>
  <c r="G74" i="10"/>
  <c r="G74" i="9"/>
  <c r="J74" i="10"/>
  <c r="J74" i="9"/>
  <c r="L74" i="10"/>
  <c r="L74" i="9"/>
  <c r="M74" i="10"/>
  <c r="M74" i="9"/>
  <c r="N74" i="10"/>
  <c r="N74" i="9"/>
  <c r="P74" i="10"/>
  <c r="P74" i="9"/>
  <c r="O74" i="10"/>
  <c r="O74" i="9"/>
  <c r="F74" i="10"/>
  <c r="F74" i="9"/>
  <c r="S115" i="5"/>
  <c r="S117" i="5" s="1"/>
  <c r="V67" i="7"/>
  <c r="U67" i="8"/>
  <c r="E74" i="9"/>
  <c r="S67" i="8"/>
  <c r="AP43" i="17"/>
  <c r="F115" i="17"/>
  <c r="E120" i="1" l="1"/>
  <c r="E138" i="1" s="1"/>
  <c r="E141" i="1" s="1"/>
  <c r="F139" i="1" s="1"/>
  <c r="F141" i="1" s="1"/>
  <c r="G139" i="1" s="1"/>
  <c r="G141" i="1" s="1"/>
  <c r="H139" i="1" s="1"/>
  <c r="H141" i="1" s="1"/>
  <c r="I139" i="1" s="1"/>
  <c r="H20" i="16"/>
  <c r="H29" i="16" s="1"/>
  <c r="H31" i="16" s="1"/>
  <c r="G29" i="16"/>
  <c r="G31" i="16" s="1"/>
  <c r="G34" i="16" s="1"/>
  <c r="S62" i="8"/>
  <c r="E121" i="6"/>
  <c r="E123" i="6" s="1"/>
  <c r="E126" i="6" s="1"/>
  <c r="N62" i="17"/>
  <c r="N115" i="17" s="1"/>
  <c r="N117" i="17" s="1"/>
  <c r="AN46" i="17"/>
  <c r="V46" i="8"/>
  <c r="V62" i="8" s="1"/>
  <c r="E46" i="10"/>
  <c r="S46" i="9"/>
  <c r="U46" i="10" s="1"/>
  <c r="E62" i="9"/>
  <c r="S43" i="10"/>
  <c r="K68" i="6"/>
  <c r="K159" i="6" s="1"/>
  <c r="U43" i="10"/>
  <c r="S59" i="10"/>
  <c r="V43" i="9"/>
  <c r="U62" i="9"/>
  <c r="I68" i="6"/>
  <c r="I159" i="6" s="1"/>
  <c r="U67" i="9"/>
  <c r="S67" i="9"/>
  <c r="V67" i="8"/>
  <c r="F117" i="17"/>
  <c r="E131" i="6" l="1"/>
  <c r="S120" i="1"/>
  <c r="G42" i="16"/>
  <c r="I141" i="1"/>
  <c r="J139" i="1" s="1"/>
  <c r="J141" i="1" s="1"/>
  <c r="K139" i="1" s="1"/>
  <c r="E156" i="6"/>
  <c r="S62" i="9"/>
  <c r="S46" i="10"/>
  <c r="S62" i="10" s="1"/>
  <c r="E62" i="10"/>
  <c r="V46" i="9"/>
  <c r="V62" i="9" s="1"/>
  <c r="AP46" i="17"/>
  <c r="AN62" i="17"/>
  <c r="AP62" i="17" s="1"/>
  <c r="V43" i="10"/>
  <c r="U62" i="10"/>
  <c r="M68" i="6"/>
  <c r="M159" i="6" s="1"/>
  <c r="V59" i="10"/>
  <c r="S67" i="10"/>
  <c r="E74" i="10"/>
  <c r="U67" i="10"/>
  <c r="V67" i="9"/>
  <c r="E149" i="6" l="1"/>
  <c r="E152" i="6" s="1"/>
  <c r="G150" i="6" s="1"/>
  <c r="G39" i="16"/>
  <c r="E127" i="6"/>
  <c r="K141" i="1"/>
  <c r="L139" i="1" s="1"/>
  <c r="L141" i="1" s="1"/>
  <c r="M139" i="1" s="1"/>
  <c r="M141" i="1" s="1"/>
  <c r="N139" i="1" s="1"/>
  <c r="N141" i="1" s="1"/>
  <c r="O139" i="1" s="1"/>
  <c r="O141" i="1" s="1"/>
  <c r="P139" i="1" s="1"/>
  <c r="P141" i="1" s="1"/>
  <c r="AN115" i="17"/>
  <c r="AN117" i="17" s="1"/>
  <c r="AP117" i="17" s="1"/>
  <c r="V46" i="10"/>
  <c r="V62" i="10" s="1"/>
  <c r="V67" i="10"/>
  <c r="L80" i="7"/>
  <c r="L115" i="7" s="1"/>
  <c r="L117" i="7" s="1"/>
  <c r="L120" i="7" s="1"/>
  <c r="L138" i="7" s="1"/>
  <c r="P80" i="7"/>
  <c r="P115" i="7" s="1"/>
  <c r="P117" i="7" s="1"/>
  <c r="P120" i="7" s="1"/>
  <c r="P138" i="7" s="1"/>
  <c r="G80" i="7"/>
  <c r="M80" i="7"/>
  <c r="J80" i="7"/>
  <c r="J115" i="7" s="1"/>
  <c r="J117" i="7" s="1"/>
  <c r="J120" i="7" s="1"/>
  <c r="J138" i="7" s="1"/>
  <c r="G125" i="6" l="1"/>
  <c r="E139" i="7"/>
  <c r="E157" i="6"/>
  <c r="AP115" i="17"/>
  <c r="G80" i="8"/>
  <c r="G115" i="8" s="1"/>
  <c r="G117" i="8" s="1"/>
  <c r="G120" i="8" s="1"/>
  <c r="G138" i="8" s="1"/>
  <c r="K80" i="8"/>
  <c r="K115" i="8" s="1"/>
  <c r="K117" i="8" s="1"/>
  <c r="K120" i="8" s="1"/>
  <c r="K138" i="8" s="1"/>
  <c r="E80" i="8"/>
  <c r="E115" i="8" s="1"/>
  <c r="E117" i="8" s="1"/>
  <c r="E120" i="8" s="1"/>
  <c r="H80" i="9"/>
  <c r="H115" i="9" s="1"/>
  <c r="H117" i="9" s="1"/>
  <c r="H120" i="9" s="1"/>
  <c r="H138" i="9" s="1"/>
  <c r="H80" i="7"/>
  <c r="H115" i="7" s="1"/>
  <c r="H117" i="7" s="1"/>
  <c r="H120" i="7" s="1"/>
  <c r="H138" i="7" s="1"/>
  <c r="I80" i="8"/>
  <c r="I115" i="8" s="1"/>
  <c r="I117" i="8" s="1"/>
  <c r="I120" i="8" s="1"/>
  <c r="I138" i="8" s="1"/>
  <c r="G115" i="7"/>
  <c r="G117" i="7" s="1"/>
  <c r="G120" i="7" s="1"/>
  <c r="G138" i="7" s="1"/>
  <c r="I80" i="7"/>
  <c r="I115" i="7" s="1"/>
  <c r="I117" i="7" s="1"/>
  <c r="I120" i="7" s="1"/>
  <c r="I138" i="7" s="1"/>
  <c r="F80" i="7"/>
  <c r="F115" i="7" s="1"/>
  <c r="F117" i="7" s="1"/>
  <c r="F120" i="7" s="1"/>
  <c r="F138" i="7" s="1"/>
  <c r="O80" i="7"/>
  <c r="O115" i="7" s="1"/>
  <c r="O117" i="7" s="1"/>
  <c r="O120" i="7" s="1"/>
  <c r="O138" i="7" s="1"/>
  <c r="E80" i="7"/>
  <c r="E115" i="7" s="1"/>
  <c r="E117" i="7" s="1"/>
  <c r="E120" i="7" s="1"/>
  <c r="L80" i="9"/>
  <c r="L115" i="9" s="1"/>
  <c r="L117" i="9" s="1"/>
  <c r="L120" i="9" s="1"/>
  <c r="L138" i="9" s="1"/>
  <c r="K80" i="7"/>
  <c r="K115" i="7" s="1"/>
  <c r="K117" i="7" s="1"/>
  <c r="K120" i="7" s="1"/>
  <c r="K138" i="7" s="1"/>
  <c r="S79" i="7"/>
  <c r="M115" i="7"/>
  <c r="M117" i="7" s="1"/>
  <c r="M120" i="7" s="1"/>
  <c r="M138" i="7" s="1"/>
  <c r="N80" i="7"/>
  <c r="N115" i="7" s="1"/>
  <c r="N117" i="7" s="1"/>
  <c r="N120" i="7" s="1"/>
  <c r="N138" i="7" s="1"/>
  <c r="L80" i="8"/>
  <c r="L115" i="8" s="1"/>
  <c r="L117" i="8" s="1"/>
  <c r="L120" i="8" s="1"/>
  <c r="L138" i="8" s="1"/>
  <c r="H80" i="8" l="1"/>
  <c r="H115" i="8" s="1"/>
  <c r="H117" i="8" s="1"/>
  <c r="H120" i="8" s="1"/>
  <c r="H138" i="8" s="1"/>
  <c r="H80" i="10"/>
  <c r="P80" i="10"/>
  <c r="P115" i="10" s="1"/>
  <c r="P117" i="10" s="1"/>
  <c r="P120" i="10" s="1"/>
  <c r="P138" i="10" s="1"/>
  <c r="J80" i="8"/>
  <c r="J115" i="8" s="1"/>
  <c r="J117" i="8" s="1"/>
  <c r="J120" i="8" s="1"/>
  <c r="J138" i="8" s="1"/>
  <c r="J80" i="9"/>
  <c r="J115" i="9" s="1"/>
  <c r="J117" i="9" s="1"/>
  <c r="J120" i="9" s="1"/>
  <c r="J138" i="9" s="1"/>
  <c r="P80" i="8"/>
  <c r="P115" i="8" s="1"/>
  <c r="P117" i="8" s="1"/>
  <c r="P120" i="8" s="1"/>
  <c r="P138" i="8" s="1"/>
  <c r="S79" i="8"/>
  <c r="S80" i="8" s="1"/>
  <c r="G80" i="9"/>
  <c r="G115" i="9" s="1"/>
  <c r="G117" i="9" s="1"/>
  <c r="G120" i="9" s="1"/>
  <c r="G138" i="9" s="1"/>
  <c r="E138" i="7"/>
  <c r="E141" i="7" s="1"/>
  <c r="F139" i="7" s="1"/>
  <c r="F141" i="7" s="1"/>
  <c r="G139" i="7" s="1"/>
  <c r="G141" i="7" s="1"/>
  <c r="H139" i="7" s="1"/>
  <c r="H141" i="7" s="1"/>
  <c r="I139" i="7" s="1"/>
  <c r="I141" i="7" s="1"/>
  <c r="J139" i="7" s="1"/>
  <c r="J141" i="7" s="1"/>
  <c r="K139" i="7" s="1"/>
  <c r="K141" i="7" s="1"/>
  <c r="L139" i="7" s="1"/>
  <c r="L141" i="7" s="1"/>
  <c r="M139" i="7" s="1"/>
  <c r="M141" i="7" s="1"/>
  <c r="N139" i="7" s="1"/>
  <c r="N141" i="7" s="1"/>
  <c r="O139" i="7" s="1"/>
  <c r="O141" i="7" s="1"/>
  <c r="P139" i="7" s="1"/>
  <c r="P141" i="7" s="1"/>
  <c r="E139" i="8" s="1"/>
  <c r="O80" i="8"/>
  <c r="O115" i="8" s="1"/>
  <c r="O117" i="8" s="1"/>
  <c r="O120" i="8" s="1"/>
  <c r="O138" i="8" s="1"/>
  <c r="F80" i="8"/>
  <c r="F115" i="8" s="1"/>
  <c r="F117" i="8" s="1"/>
  <c r="F120" i="8" s="1"/>
  <c r="F138" i="8" s="1"/>
  <c r="L80" i="10"/>
  <c r="L115" i="10" s="1"/>
  <c r="L117" i="10" s="1"/>
  <c r="L120" i="10" s="1"/>
  <c r="L138" i="10" s="1"/>
  <c r="V79" i="7"/>
  <c r="S80" i="7"/>
  <c r="U79" i="8"/>
  <c r="K80" i="9"/>
  <c r="K115" i="9" s="1"/>
  <c r="K117" i="9" s="1"/>
  <c r="K120" i="9" s="1"/>
  <c r="K138" i="9" s="1"/>
  <c r="M80" i="8"/>
  <c r="M115" i="8" s="1"/>
  <c r="M117" i="8" s="1"/>
  <c r="M120" i="8" s="1"/>
  <c r="M138" i="8" s="1"/>
  <c r="N80" i="8"/>
  <c r="N115" i="8" s="1"/>
  <c r="N117" i="8" s="1"/>
  <c r="N120" i="8" s="1"/>
  <c r="N138" i="8" s="1"/>
  <c r="E80" i="9"/>
  <c r="E115" i="9" s="1"/>
  <c r="E117" i="9" s="1"/>
  <c r="E120" i="9" s="1"/>
  <c r="I80" i="9"/>
  <c r="I115" i="9" s="1"/>
  <c r="I117" i="9" s="1"/>
  <c r="I120" i="9" s="1"/>
  <c r="I138" i="9" s="1"/>
  <c r="U79" i="9" l="1"/>
  <c r="U80" i="9" s="1"/>
  <c r="I86" i="6"/>
  <c r="J80" i="10"/>
  <c r="P80" i="9"/>
  <c r="P115" i="9" s="1"/>
  <c r="P117" i="9" s="1"/>
  <c r="P120" i="9" s="1"/>
  <c r="P138" i="9" s="1"/>
  <c r="H115" i="10"/>
  <c r="H117" i="10" s="1"/>
  <c r="H120" i="10" s="1"/>
  <c r="H138" i="10" s="1"/>
  <c r="E80" i="10"/>
  <c r="E115" i="10" s="1"/>
  <c r="E117" i="10" s="1"/>
  <c r="E120" i="10" s="1"/>
  <c r="O80" i="9"/>
  <c r="O115" i="9" s="1"/>
  <c r="O117" i="9" s="1"/>
  <c r="O120" i="9" s="1"/>
  <c r="O138" i="9" s="1"/>
  <c r="I80" i="10"/>
  <c r="I115" i="10" s="1"/>
  <c r="I117" i="10" s="1"/>
  <c r="I120" i="10" s="1"/>
  <c r="I138" i="10" s="1"/>
  <c r="M80" i="9"/>
  <c r="M115" i="9" s="1"/>
  <c r="M117" i="9" s="1"/>
  <c r="M120" i="9" s="1"/>
  <c r="M138" i="9" s="1"/>
  <c r="F80" i="9"/>
  <c r="F115" i="9" s="1"/>
  <c r="F117" i="9" s="1"/>
  <c r="F120" i="9" s="1"/>
  <c r="N80" i="9"/>
  <c r="N115" i="9" s="1"/>
  <c r="N117" i="9" s="1"/>
  <c r="N120" i="9" s="1"/>
  <c r="N138" i="9" s="1"/>
  <c r="K80" i="10"/>
  <c r="K115" i="10" s="1"/>
  <c r="K117" i="10" s="1"/>
  <c r="K120" i="10" s="1"/>
  <c r="K138" i="10" s="1"/>
  <c r="G80" i="10"/>
  <c r="G115" i="10" s="1"/>
  <c r="G117" i="10" s="1"/>
  <c r="G120" i="10" s="1"/>
  <c r="G138" i="10" s="1"/>
  <c r="V79" i="8"/>
  <c r="U80" i="8"/>
  <c r="G86" i="6"/>
  <c r="V80" i="7"/>
  <c r="S79" i="9"/>
  <c r="V79" i="9" l="1"/>
  <c r="V80" i="9" s="1"/>
  <c r="J115" i="10"/>
  <c r="J117" i="10" s="1"/>
  <c r="J120" i="10" s="1"/>
  <c r="J138" i="10" s="1"/>
  <c r="S79" i="10"/>
  <c r="S80" i="10" s="1"/>
  <c r="F138" i="9"/>
  <c r="M80" i="10"/>
  <c r="M115" i="10" s="1"/>
  <c r="M117" i="10" s="1"/>
  <c r="M120" i="10" s="1"/>
  <c r="M138" i="10" s="1"/>
  <c r="U79" i="10"/>
  <c r="S80" i="9"/>
  <c r="O80" i="10"/>
  <c r="O115" i="10" s="1"/>
  <c r="O117" i="10" s="1"/>
  <c r="O120" i="10" s="1"/>
  <c r="O138" i="10" s="1"/>
  <c r="F80" i="10"/>
  <c r="F115" i="10" s="1"/>
  <c r="F117" i="10" s="1"/>
  <c r="F120" i="10" s="1"/>
  <c r="F138" i="10" s="1"/>
  <c r="N80" i="10"/>
  <c r="N115" i="10" s="1"/>
  <c r="N117" i="10" s="1"/>
  <c r="N120" i="10" s="1"/>
  <c r="N138" i="10" s="1"/>
  <c r="V80" i="8"/>
  <c r="M86" i="6" l="1"/>
  <c r="K86" i="6"/>
  <c r="V79" i="10"/>
  <c r="U80" i="10"/>
  <c r="V80" i="10" l="1"/>
  <c r="S64" i="8" l="1"/>
  <c r="S64" i="7"/>
  <c r="S64" i="9" l="1"/>
  <c r="V64" i="7"/>
  <c r="U64" i="8"/>
  <c r="U64" i="9"/>
  <c r="V64" i="9" l="1"/>
  <c r="V64" i="8"/>
  <c r="S64" i="10"/>
  <c r="U64" i="10"/>
  <c r="V64" i="10" l="1"/>
  <c r="S70" i="8" l="1"/>
  <c r="S70" i="7"/>
  <c r="S74" i="8" l="1"/>
  <c r="U70" i="9"/>
  <c r="V70" i="7"/>
  <c r="S74" i="7"/>
  <c r="U70" i="8"/>
  <c r="S70" i="9"/>
  <c r="G80" i="6" l="1"/>
  <c r="U70" i="10"/>
  <c r="S74" i="9"/>
  <c r="U74" i="8"/>
  <c r="V70" i="8"/>
  <c r="U74" i="9"/>
  <c r="V70" i="9"/>
  <c r="V74" i="7"/>
  <c r="I80" i="6"/>
  <c r="S70" i="10"/>
  <c r="U74" i="10" l="1"/>
  <c r="V70" i="10"/>
  <c r="S74" i="10"/>
  <c r="K80" i="6"/>
  <c r="V74" i="9"/>
  <c r="V74" i="8"/>
  <c r="M80" i="6" l="1"/>
  <c r="V74" i="10"/>
  <c r="I23" i="6"/>
  <c r="I33" i="6" s="1"/>
  <c r="M23" i="6"/>
  <c r="M33" i="6" s="1"/>
  <c r="K23" i="6"/>
  <c r="K33" i="6" s="1"/>
  <c r="G23" i="6"/>
  <c r="G33" i="6" s="1"/>
  <c r="S15" i="7" l="1"/>
  <c r="V15" i="7" s="1"/>
  <c r="V17" i="7" s="1"/>
  <c r="V27" i="7" s="1"/>
  <c r="S17" i="7" l="1"/>
  <c r="S27" i="7" s="1"/>
  <c r="U15" i="8"/>
  <c r="U17" i="8" s="1"/>
  <c r="U27" i="8" s="1"/>
  <c r="E123" i="9"/>
  <c r="S15" i="8"/>
  <c r="E123" i="8"/>
  <c r="S123" i="7"/>
  <c r="G134" i="6" s="1"/>
  <c r="S17" i="8" l="1"/>
  <c r="S27" i="8" s="1"/>
  <c r="U15" i="9"/>
  <c r="V15" i="8"/>
  <c r="V17" i="8" s="1"/>
  <c r="V27" i="8" s="1"/>
  <c r="S15" i="9"/>
  <c r="S123" i="8"/>
  <c r="I134" i="6" s="1"/>
  <c r="E123" i="10" l="1"/>
  <c r="S123" i="9"/>
  <c r="K134" i="6" s="1"/>
  <c r="U17" i="9"/>
  <c r="U27" i="9" s="1"/>
  <c r="U15" i="10"/>
  <c r="U17" i="10" s="1"/>
  <c r="U27" i="10" s="1"/>
  <c r="V15" i="9"/>
  <c r="V17" i="9" s="1"/>
  <c r="V27" i="9" s="1"/>
  <c r="S17" i="9"/>
  <c r="S27" i="9" s="1"/>
  <c r="S15" i="10"/>
  <c r="K100" i="6"/>
  <c r="I100" i="6"/>
  <c r="G100" i="6"/>
  <c r="M100" i="6"/>
  <c r="S123" i="10" l="1"/>
  <c r="M134" i="6" s="1"/>
  <c r="S92" i="7"/>
  <c r="S94" i="7" s="1"/>
  <c r="S92" i="8"/>
  <c r="V15" i="10"/>
  <c r="S17" i="10"/>
  <c r="S27" i="10" s="1"/>
  <c r="V92" i="7" l="1"/>
  <c r="V94" i="7" s="1"/>
  <c r="U92" i="8"/>
  <c r="V92" i="8" s="1"/>
  <c r="V17" i="10"/>
  <c r="V27" i="10" s="1"/>
  <c r="S92" i="9"/>
  <c r="U92" i="10" s="1"/>
  <c r="S94" i="8"/>
  <c r="U92" i="9"/>
  <c r="U94" i="8" l="1"/>
  <c r="S94" i="9"/>
  <c r="V92" i="9"/>
  <c r="U94" i="9"/>
  <c r="V94" i="8"/>
  <c r="U94" i="10"/>
  <c r="S92" i="10" l="1"/>
  <c r="V94" i="9"/>
  <c r="G109" i="6"/>
  <c r="M109" i="6"/>
  <c r="M121" i="6" s="1"/>
  <c r="M123" i="6" s="1"/>
  <c r="G121" i="6"/>
  <c r="G123" i="6" s="1"/>
  <c r="G126" i="6" s="1"/>
  <c r="I109" i="6"/>
  <c r="I121" i="6" s="1"/>
  <c r="I123" i="6" s="1"/>
  <c r="K109" i="6"/>
  <c r="K121" i="6" s="1"/>
  <c r="K123" i="6" s="1"/>
  <c r="S99" i="7"/>
  <c r="V92" i="10" l="1"/>
  <c r="V94" i="10" s="1"/>
  <c r="S94" i="10"/>
  <c r="S99" i="8"/>
  <c r="U99" i="9" s="1"/>
  <c r="S120" i="7"/>
  <c r="G131" i="6"/>
  <c r="I131" i="6"/>
  <c r="S100" i="8"/>
  <c r="U100" i="9" s="1"/>
  <c r="M131" i="6"/>
  <c r="U99" i="8"/>
  <c r="V99" i="7"/>
  <c r="K131" i="6"/>
  <c r="S100" i="7"/>
  <c r="S128" i="7" l="1"/>
  <c r="G139" i="6" s="1"/>
  <c r="G149" i="6" s="1"/>
  <c r="G152" i="6" s="1"/>
  <c r="S100" i="10"/>
  <c r="S100" i="9"/>
  <c r="U100" i="10" s="1"/>
  <c r="S120" i="8"/>
  <c r="E128" i="9"/>
  <c r="U100" i="8"/>
  <c r="V100" i="8" s="1"/>
  <c r="V100" i="7"/>
  <c r="V103" i="7" s="1"/>
  <c r="V115" i="7" s="1"/>
  <c r="V117" i="7" s="1"/>
  <c r="I125" i="6"/>
  <c r="I126" i="6" s="1"/>
  <c r="G127" i="6"/>
  <c r="U103" i="9"/>
  <c r="U115" i="9" s="1"/>
  <c r="U117" i="9" s="1"/>
  <c r="V99" i="8"/>
  <c r="S103" i="7"/>
  <c r="S115" i="7" s="1"/>
  <c r="S117" i="7" s="1"/>
  <c r="G156" i="6" s="1"/>
  <c r="S103" i="8"/>
  <c r="S115" i="8" s="1"/>
  <c r="S117" i="8" s="1"/>
  <c r="I156" i="6" s="1"/>
  <c r="S99" i="10" l="1"/>
  <c r="S99" i="9"/>
  <c r="V99" i="9" s="1"/>
  <c r="E128" i="8"/>
  <c r="S128" i="8" s="1"/>
  <c r="I139" i="6" s="1"/>
  <c r="I149" i="6" s="1"/>
  <c r="V100" i="10"/>
  <c r="G157" i="6"/>
  <c r="I150" i="6"/>
  <c r="S120" i="9"/>
  <c r="E128" i="10"/>
  <c r="E138" i="9"/>
  <c r="I127" i="6"/>
  <c r="K125" i="6"/>
  <c r="K126" i="6" s="1"/>
  <c r="U103" i="8"/>
  <c r="U115" i="8" s="1"/>
  <c r="U117" i="8" s="1"/>
  <c r="V103" i="8"/>
  <c r="V115" i="8" s="1"/>
  <c r="V117" i="8" s="1"/>
  <c r="V100" i="9"/>
  <c r="S120" i="10" l="1"/>
  <c r="S103" i="9"/>
  <c r="S115" i="9" s="1"/>
  <c r="S117" i="9" s="1"/>
  <c r="K156" i="6" s="1"/>
  <c r="U99" i="10"/>
  <c r="U103" i="10" s="1"/>
  <c r="U115" i="10" s="1"/>
  <c r="U117" i="10" s="1"/>
  <c r="E138" i="8"/>
  <c r="E141" i="8" s="1"/>
  <c r="F139" i="8" s="1"/>
  <c r="F141" i="8" s="1"/>
  <c r="G139" i="8" s="1"/>
  <c r="G141" i="8" s="1"/>
  <c r="H139" i="8" s="1"/>
  <c r="H141" i="8" s="1"/>
  <c r="I139" i="8" s="1"/>
  <c r="I141" i="8" s="1"/>
  <c r="J139" i="8" s="1"/>
  <c r="J141" i="8" s="1"/>
  <c r="K139" i="8" s="1"/>
  <c r="K141" i="8" s="1"/>
  <c r="L139" i="8" s="1"/>
  <c r="L141" i="8" s="1"/>
  <c r="M139" i="8" s="1"/>
  <c r="M141" i="8" s="1"/>
  <c r="N139" i="8" s="1"/>
  <c r="N141" i="8" s="1"/>
  <c r="O139" i="8" s="1"/>
  <c r="O141" i="8" s="1"/>
  <c r="P139" i="8" s="1"/>
  <c r="P141" i="8" s="1"/>
  <c r="E139" i="9" s="1"/>
  <c r="E141" i="9" s="1"/>
  <c r="F139" i="9" s="1"/>
  <c r="F141" i="9" s="1"/>
  <c r="G139" i="9" s="1"/>
  <c r="G141" i="9" s="1"/>
  <c r="H139" i="9" s="1"/>
  <c r="H141" i="9" s="1"/>
  <c r="I139" i="9" s="1"/>
  <c r="I141" i="9" s="1"/>
  <c r="J139" i="9" s="1"/>
  <c r="J141" i="9" s="1"/>
  <c r="K139" i="9" s="1"/>
  <c r="K141" i="9" s="1"/>
  <c r="L139" i="9" s="1"/>
  <c r="L141" i="9" s="1"/>
  <c r="M139" i="9" s="1"/>
  <c r="M141" i="9" s="1"/>
  <c r="N139" i="9" s="1"/>
  <c r="N141" i="9" s="1"/>
  <c r="O139" i="9" s="1"/>
  <c r="O141" i="9" s="1"/>
  <c r="P139" i="9" s="1"/>
  <c r="P141" i="9" s="1"/>
  <c r="E139" i="10" s="1"/>
  <c r="S128" i="9"/>
  <c r="K139" i="6" s="1"/>
  <c r="K149" i="6" s="1"/>
  <c r="I152" i="6"/>
  <c r="M125" i="6"/>
  <c r="K127" i="6"/>
  <c r="E138" i="10"/>
  <c r="S103" i="10"/>
  <c r="S115" i="10" s="1"/>
  <c r="S117" i="10" s="1"/>
  <c r="M156" i="6" s="1"/>
  <c r="V103" i="9"/>
  <c r="V115" i="9" s="1"/>
  <c r="V117" i="9" s="1"/>
  <c r="M126" i="6" l="1"/>
  <c r="M127" i="6" s="1"/>
  <c r="S128" i="10"/>
  <c r="M139" i="6" s="1"/>
  <c r="M149" i="6" s="1"/>
  <c r="V99" i="10"/>
  <c r="I157" i="6"/>
  <c r="K150" i="6"/>
  <c r="K152" i="6" s="1"/>
  <c r="M150" i="6" s="1"/>
  <c r="E141" i="10"/>
  <c r="F139" i="10" s="1"/>
  <c r="F141" i="10" s="1"/>
  <c r="G139" i="10" s="1"/>
  <c r="G141" i="10" s="1"/>
  <c r="H139" i="10" s="1"/>
  <c r="H141" i="10" s="1"/>
  <c r="I139" i="10" s="1"/>
  <c r="I141" i="10" s="1"/>
  <c r="J139" i="10" s="1"/>
  <c r="J141" i="10" s="1"/>
  <c r="K139" i="10" s="1"/>
  <c r="K141" i="10" s="1"/>
  <c r="L139" i="10" s="1"/>
  <c r="L141" i="10" s="1"/>
  <c r="M139" i="10" s="1"/>
  <c r="M141" i="10" s="1"/>
  <c r="N139" i="10" s="1"/>
  <c r="N141" i="10" s="1"/>
  <c r="O139" i="10" s="1"/>
  <c r="O141" i="10" s="1"/>
  <c r="P139" i="10" s="1"/>
  <c r="P141" i="10" s="1"/>
  <c r="V103" i="10"/>
  <c r="V115" i="10" s="1"/>
  <c r="V117" i="10" s="1"/>
  <c r="M152" i="6" l="1"/>
  <c r="M157" i="6" s="1"/>
  <c r="K157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D. Hawk</author>
  </authors>
  <commentList>
    <comment ref="E32" authorId="0" shapeId="0" xr:uid="{5F7513B9-1D89-4D32-B3CE-515C831566AF}">
      <text>
        <r>
          <rPr>
            <b/>
            <sz val="9"/>
            <color indexed="81"/>
            <rFont val="Tahoma"/>
            <family val="2"/>
          </rPr>
          <t>John D. Hawk:</t>
        </r>
        <r>
          <rPr>
            <sz val="9"/>
            <color indexed="81"/>
            <rFont val="Tahoma"/>
            <family val="2"/>
          </rPr>
          <t xml:space="preserve">
increased this from a 0.25 FTE to a 0.50 FTE
</t>
        </r>
      </text>
    </comment>
    <comment ref="E44" authorId="0" shapeId="0" xr:uid="{18CA5ECA-C96E-4D09-B1D5-8D30A43316CF}">
      <text>
        <r>
          <rPr>
            <b/>
            <sz val="9"/>
            <color indexed="81"/>
            <rFont val="Tahoma"/>
            <family val="2"/>
          </rPr>
          <t>John D. Hawk:</t>
        </r>
        <r>
          <rPr>
            <sz val="9"/>
            <color indexed="81"/>
            <rFont val="Tahoma"/>
            <family val="2"/>
          </rPr>
          <t xml:space="preserve">
increased this from a 0.25 FTE to a 0.50 FTE</t>
        </r>
      </text>
    </comment>
    <comment ref="E48" authorId="0" shapeId="0" xr:uid="{FA483C42-5F9D-48AC-9120-08669AE3DFFB}">
      <text>
        <r>
          <rPr>
            <b/>
            <sz val="9"/>
            <color indexed="81"/>
            <rFont val="Tahoma"/>
            <family val="2"/>
          </rPr>
          <t>John D. Hawk:</t>
        </r>
        <r>
          <rPr>
            <sz val="9"/>
            <color indexed="81"/>
            <rFont val="Tahoma"/>
            <family val="2"/>
          </rPr>
          <t xml:space="preserve">
increased this from a 0.25 FTE to a 0.50 FTE</t>
        </r>
      </text>
    </comment>
    <comment ref="E51" authorId="0" shapeId="0" xr:uid="{D24E48BD-8428-4C08-88E0-11AFC5A1BCE8}">
      <text>
        <r>
          <rPr>
            <b/>
            <sz val="9"/>
            <color indexed="81"/>
            <rFont val="Tahoma"/>
            <family val="2"/>
          </rPr>
          <t>John D. Hawk:</t>
        </r>
        <r>
          <rPr>
            <sz val="9"/>
            <color indexed="81"/>
            <rFont val="Tahoma"/>
            <family val="2"/>
          </rPr>
          <t xml:space="preserve">
increased this from a 0.25 FTE to a 0.50 FTE</t>
        </r>
      </text>
    </comment>
    <comment ref="E54" authorId="0" shapeId="0" xr:uid="{1C237681-EAE8-4A21-B8B9-B386F0FD1274}">
      <text>
        <r>
          <rPr>
            <b/>
            <sz val="9"/>
            <color indexed="81"/>
            <rFont val="Tahoma"/>
            <family val="2"/>
          </rPr>
          <t>John D. Hawk:</t>
        </r>
        <r>
          <rPr>
            <sz val="9"/>
            <color indexed="81"/>
            <rFont val="Tahoma"/>
            <family val="2"/>
          </rPr>
          <t xml:space="preserve">
increased this from a 0.25 FTE to a 0.50 FTE</t>
        </r>
      </text>
    </comment>
    <comment ref="E57" authorId="0" shapeId="0" xr:uid="{6C1FA915-4471-44F5-9E44-E72C42DEA470}">
      <text>
        <r>
          <rPr>
            <b/>
            <sz val="9"/>
            <color indexed="81"/>
            <rFont val="Tahoma"/>
            <family val="2"/>
          </rPr>
          <t>John D. Hawk:</t>
        </r>
        <r>
          <rPr>
            <sz val="9"/>
            <color indexed="81"/>
            <rFont val="Tahoma"/>
            <family val="2"/>
          </rPr>
          <t xml:space="preserve">
increased this from a 0.25 FTE to a 0.50 FTE</t>
        </r>
      </text>
    </comment>
    <comment ref="E60" authorId="0" shapeId="0" xr:uid="{8D6183FF-5823-42C0-83CB-07CA2E325387}">
      <text>
        <r>
          <rPr>
            <b/>
            <sz val="9"/>
            <color indexed="81"/>
            <rFont val="Tahoma"/>
            <family val="2"/>
          </rPr>
          <t>John D. Hawk:</t>
        </r>
        <r>
          <rPr>
            <sz val="9"/>
            <color indexed="81"/>
            <rFont val="Tahoma"/>
            <family val="2"/>
          </rPr>
          <t xml:space="preserve">
increased this from a 0.25 FTE to a 0.50 FTE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Spencer Styles</author>
  </authors>
  <commentList>
    <comment ref="I9" authorId="0" shapeId="0" xr:uid="{00000000-0006-0000-0B00-000001000000}">
      <text>
        <r>
          <rPr>
            <sz val="9"/>
            <color indexed="81"/>
            <rFont val="Tahoma"/>
            <family val="2"/>
          </rPr>
          <t>To calculate benefits, enter:
  - y for benefits
  - n for no benefits</t>
        </r>
      </text>
    </comment>
    <comment ref="I15" authorId="0" shapeId="0" xr:uid="{00000000-0006-0000-0B00-000002000000}">
      <text>
        <r>
          <rPr>
            <sz val="9"/>
            <color indexed="81"/>
            <rFont val="Tahoma"/>
            <family val="2"/>
          </rPr>
          <t>To calculate benefits, enter:
  - y for benefits
  - n for no benefits</t>
        </r>
      </text>
    </comment>
    <comment ref="I21" authorId="0" shapeId="0" xr:uid="{00000000-0006-0000-0B00-000003000000}">
      <text>
        <r>
          <rPr>
            <sz val="9"/>
            <color indexed="81"/>
            <rFont val="Tahoma"/>
            <family val="2"/>
          </rPr>
          <t>To calculate benefits, enter:
  - y for benefits
  - n for no benefits</t>
        </r>
      </text>
    </comment>
    <comment ref="E33" authorId="0" shapeId="0" xr:uid="{00000000-0006-0000-0B00-000004000000}">
      <text>
        <r>
          <rPr>
            <sz val="9"/>
            <color indexed="81"/>
            <rFont val="Tahoma"/>
            <family val="2"/>
          </rPr>
          <t>Enter the amount per payment</t>
        </r>
      </text>
    </comment>
    <comment ref="E39" authorId="0" shapeId="0" xr:uid="{00000000-0006-0000-0B00-000005000000}">
      <text>
        <r>
          <rPr>
            <sz val="9"/>
            <color indexed="81"/>
            <rFont val="Tahoma"/>
            <family val="2"/>
          </rPr>
          <t>Enter the amount per payment</t>
        </r>
      </text>
    </comment>
    <comment ref="E45" authorId="0" shapeId="0" xr:uid="{00000000-0006-0000-0B00-000006000000}">
      <text>
        <r>
          <rPr>
            <sz val="9"/>
            <color indexed="81"/>
            <rFont val="Tahoma"/>
            <family val="2"/>
          </rPr>
          <t>Enter the amount per payment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D. Hawk</author>
  </authors>
  <commentList>
    <comment ref="R50" authorId="0" shapeId="0" xr:uid="{0AC6BED1-F13B-43BA-B7E4-48C493D46258}">
      <text>
        <r>
          <rPr>
            <b/>
            <sz val="9"/>
            <color indexed="81"/>
            <rFont val="Tahoma"/>
            <family val="2"/>
          </rPr>
          <t>John D. Hawk:</t>
        </r>
        <r>
          <rPr>
            <sz val="9"/>
            <color indexed="81"/>
            <rFont val="Tahoma"/>
            <family val="2"/>
          </rPr>
          <t xml:space="preserve">
This needs to have an adjusting entry from site01.  
The code in site05 is 
100-100-2610-6340-016-32-05</t>
        </r>
      </text>
    </comment>
    <comment ref="R163" authorId="0" shapeId="0" xr:uid="{3DE9C41B-0F15-468E-AB35-CAF8B5D85CDE}">
      <text>
        <r>
          <rPr>
            <b/>
            <sz val="9"/>
            <color indexed="81"/>
            <rFont val="Tahoma"/>
            <family val="2"/>
          </rPr>
          <t>John D. Hawk:</t>
        </r>
        <r>
          <rPr>
            <sz val="9"/>
            <color indexed="81"/>
            <rFont val="Tahoma"/>
            <family val="2"/>
          </rPr>
          <t xml:space="preserve">
This needs to have an adjusting entry from site01.  
The code in site05 is 
100-100-2560-6540-017-32-05</t>
        </r>
      </text>
    </comment>
  </commentList>
</comments>
</file>

<file path=xl/sharedStrings.xml><?xml version="1.0" encoding="utf-8"?>
<sst xmlns="http://schemas.openxmlformats.org/spreadsheetml/2006/main" count="3041" uniqueCount="624">
  <si>
    <t>Ad Valorem Taxes</t>
  </si>
  <si>
    <t>Sales and Use Taxes</t>
  </si>
  <si>
    <t>Franchise Fees</t>
  </si>
  <si>
    <t>Basic General Governmental Services Tax</t>
  </si>
  <si>
    <t>Other Activity Income</t>
  </si>
  <si>
    <t>Special Ed portion to DSA</t>
  </si>
  <si>
    <t>Restricted Grants-in-Aid</t>
  </si>
  <si>
    <t>Special Education Part B</t>
  </si>
  <si>
    <t>Personal Services-Salaries</t>
  </si>
  <si>
    <t>Purchased Professional and Technical Services</t>
  </si>
  <si>
    <t>Professional Educational Services</t>
  </si>
  <si>
    <t>Prof-Dev/Instructional Lic. Personnel</t>
  </si>
  <si>
    <t>Prof-Dev/Administrative Lic. Personnel</t>
  </si>
  <si>
    <t>Prof-Dev/Other Classfied-Support Personnel</t>
  </si>
  <si>
    <t>Prof-Dev/Technology Training</t>
  </si>
  <si>
    <t>Other Professional Services</t>
  </si>
  <si>
    <t>Marketing</t>
  </si>
  <si>
    <t>Technical Services</t>
  </si>
  <si>
    <t>Data Processing and Coding Services</t>
  </si>
  <si>
    <t>Utility Services</t>
  </si>
  <si>
    <t>Cleaning Services</t>
  </si>
  <si>
    <t>Repairs and Maintenance Services</t>
  </si>
  <si>
    <t>Renting Land and Buildings</t>
  </si>
  <si>
    <t>Student Transportation Purchased From Other Source</t>
  </si>
  <si>
    <t>Property Insurance ''Business Owners''</t>
  </si>
  <si>
    <t>Liability Insurance ''Errors and Omissions''</t>
  </si>
  <si>
    <t>Fidelity / Other Insurance ''Umbrella''</t>
  </si>
  <si>
    <t>Postage</t>
  </si>
  <si>
    <t>Telephone - Cell phone services</t>
  </si>
  <si>
    <t>Data Communications, Internet, Video, T-lines, etc</t>
  </si>
  <si>
    <t>Advertising</t>
  </si>
  <si>
    <t>Printing and Binding</t>
  </si>
  <si>
    <t>Tuition-Other</t>
  </si>
  <si>
    <t>Travel</t>
  </si>
  <si>
    <t>General Supplies</t>
  </si>
  <si>
    <t>Technology Supplies and Equipment</t>
  </si>
  <si>
    <t>Electricity</t>
  </si>
  <si>
    <t xml:space="preserve">Textbooks </t>
  </si>
  <si>
    <t>Classroom Technology Fees</t>
  </si>
  <si>
    <t>Supplies -Tech -Software</t>
  </si>
  <si>
    <t>Supplies-Equipment</t>
  </si>
  <si>
    <t>Technology-Related Hardware</t>
  </si>
  <si>
    <t>Dues and Fees</t>
  </si>
  <si>
    <t>General</t>
  </si>
  <si>
    <t>6111</t>
  </si>
  <si>
    <t>6114</t>
  </si>
  <si>
    <t>6117</t>
  </si>
  <si>
    <t>6127</t>
  </si>
  <si>
    <t>6151</t>
  </si>
  <si>
    <t>6154</t>
  </si>
  <si>
    <t>6157</t>
  </si>
  <si>
    <t>6161</t>
  </si>
  <si>
    <t>6164</t>
  </si>
  <si>
    <t>6167</t>
  </si>
  <si>
    <t>Year-End Accruals</t>
  </si>
  <si>
    <t>Annual Budget</t>
  </si>
  <si>
    <t>Favorable / (Unfav.)</t>
  </si>
  <si>
    <t>PY Forecast</t>
  </si>
  <si>
    <t>Revenues</t>
  </si>
  <si>
    <t>Expenses</t>
  </si>
  <si>
    <t>Revenue Inputs</t>
  </si>
  <si>
    <t xml:space="preserve">School Name: </t>
  </si>
  <si>
    <t>Enrollment &amp; Demographics</t>
  </si>
  <si>
    <t>TK</t>
  </si>
  <si>
    <t>K</t>
  </si>
  <si>
    <t>Grade</t>
  </si>
  <si>
    <t>Total</t>
  </si>
  <si>
    <t>FY21</t>
  </si>
  <si>
    <t>FY22</t>
  </si>
  <si>
    <t>FY23</t>
  </si>
  <si>
    <t>FY24</t>
  </si>
  <si>
    <t>Funding Rates</t>
  </si>
  <si>
    <t>DSA Rates</t>
  </si>
  <si>
    <t>Basic Support</t>
  </si>
  <si>
    <t>Other State Funding</t>
  </si>
  <si>
    <t>Federal Funding</t>
  </si>
  <si>
    <t>Local Funding</t>
  </si>
  <si>
    <t>Payroll Details</t>
  </si>
  <si>
    <t>Salary</t>
  </si>
  <si>
    <t>Name</t>
  </si>
  <si>
    <t>Title</t>
  </si>
  <si>
    <t>Code</t>
  </si>
  <si>
    <t>Medicare</t>
  </si>
  <si>
    <t>Worker's Comp</t>
  </si>
  <si>
    <t>n/a</t>
  </si>
  <si>
    <t>Benefit Rates</t>
  </si>
  <si>
    <t>Social Security</t>
  </si>
  <si>
    <t>Health Benefits COLA</t>
  </si>
  <si>
    <t>Total Group Insurance</t>
  </si>
  <si>
    <t>AD&amp;D</t>
  </si>
  <si>
    <t>TermLife</t>
  </si>
  <si>
    <t>LTD</t>
  </si>
  <si>
    <t>Health</t>
  </si>
  <si>
    <t>Dental</t>
  </si>
  <si>
    <t>Vision</t>
  </si>
  <si>
    <t>Total Health Insurance</t>
  </si>
  <si>
    <t>Salaries: Teachers</t>
  </si>
  <si>
    <t>Extra Duties: Teachers</t>
  </si>
  <si>
    <t>Extra Duties: Licensed Administration</t>
  </si>
  <si>
    <t>Personnel Services - Employee Benefits</t>
  </si>
  <si>
    <t>Purchased Property Services</t>
  </si>
  <si>
    <t>Other Purchased Services</t>
  </si>
  <si>
    <t>Supplies</t>
  </si>
  <si>
    <t>Property</t>
  </si>
  <si>
    <t>Debt Service and Misc.</t>
  </si>
  <si>
    <t>Total Revenue</t>
  </si>
  <si>
    <t>Original Budget</t>
  </si>
  <si>
    <t>Total Expenses</t>
  </si>
  <si>
    <t>Surplus (Deficit)</t>
  </si>
  <si>
    <t>Cash Flow Adjustments</t>
  </si>
  <si>
    <t>Monthly Surplus (Deficit)</t>
  </si>
  <si>
    <t/>
  </si>
  <si>
    <t>Cash flows from operating activities</t>
  </si>
  <si>
    <t>Depreciation/Amortization</t>
  </si>
  <si>
    <t>Public Funding Receivables</t>
  </si>
  <si>
    <t>Grants and Contributions Rec.</t>
  </si>
  <si>
    <t>Due To/From Related Parties</t>
  </si>
  <si>
    <t>Prepaid Expenses</t>
  </si>
  <si>
    <t>Other Assets</t>
  </si>
  <si>
    <t>Accounts Payable</t>
  </si>
  <si>
    <t>Accrued Expenses</t>
  </si>
  <si>
    <t>Other Liabilities</t>
  </si>
  <si>
    <t>Cash flows from investing activities</t>
  </si>
  <si>
    <t>Purchases of Prop. And Equip.</t>
  </si>
  <si>
    <t>Notes Receivable</t>
  </si>
  <si>
    <t>Cash flows from financing activities</t>
  </si>
  <si>
    <t>Total Change in Cash</t>
  </si>
  <si>
    <t>Cash, Beginning of Month</t>
  </si>
  <si>
    <t>Cash, End of Month</t>
  </si>
  <si>
    <t>Proceeds from Debt</t>
  </si>
  <si>
    <t>Proceeds on Debt</t>
  </si>
  <si>
    <t>Description</t>
  </si>
  <si>
    <t>Quantity</t>
  </si>
  <si>
    <t>Cost</t>
  </si>
  <si>
    <t>Extended</t>
  </si>
  <si>
    <t>Expense Details</t>
  </si>
  <si>
    <t>Payroll COLA Increases</t>
  </si>
  <si>
    <t>Multi-Year Projection</t>
  </si>
  <si>
    <t>surplus</t>
  </si>
  <si>
    <t>cash</t>
  </si>
  <si>
    <t>Check Figures</t>
  </si>
  <si>
    <t>Key Assumptions</t>
  </si>
  <si>
    <t>Attendance</t>
  </si>
  <si>
    <t>DSA Funding Rate</t>
  </si>
  <si>
    <t>Payrol COLA</t>
  </si>
  <si>
    <t>OPEX COLA</t>
  </si>
  <si>
    <t>Annual/Full Year</t>
  </si>
  <si>
    <t>Fav/(Unf)</t>
  </si>
  <si>
    <t>Revenue</t>
  </si>
  <si>
    <t>Federal Revenue</t>
  </si>
  <si>
    <t>Other Local Revenue</t>
  </si>
  <si>
    <t xml:space="preserve">Total Surplus(Deficit) </t>
  </si>
  <si>
    <t>Beginning Fund Balance</t>
  </si>
  <si>
    <t>Ending Fund Balance</t>
  </si>
  <si>
    <t>Fund Balance, Beginning of Year</t>
  </si>
  <si>
    <t>Fund Balance, End of Year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</si>
  <si>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</si>
  <si>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</si>
  <si>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</si>
  <si>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</si>
  <si>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</si>
  <si>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</si>
  <si>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</si>
  <si>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</si>
  <si>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</si>
  <si>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</si>
  <si>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</si>
  <si>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</si>
  <si>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Current Year Monthy Enrollment</t>
  </si>
  <si>
    <t>Budgeted Monthly Enrollment</t>
  </si>
  <si>
    <t>Distributive School Account</t>
  </si>
  <si>
    <t>State Revenue</t>
  </si>
  <si>
    <t>Distributed School Account</t>
  </si>
  <si>
    <t>Property Services</t>
  </si>
  <si>
    <t>Employee Benefits</t>
  </si>
  <si>
    <t>Salaries</t>
  </si>
  <si>
    <t>Prof. and Tech. Services</t>
  </si>
  <si>
    <t>Attendance Tracking</t>
  </si>
  <si>
    <t>Depreciation</t>
  </si>
  <si>
    <t>Financial Performance Measures</t>
  </si>
  <si>
    <t>Enrollment Forecast Accuracy</t>
  </si>
  <si>
    <t>Total Margin</t>
  </si>
  <si>
    <t>Debt to Asset Ratio</t>
  </si>
  <si>
    <t>Debt Service Coverage Ratio</t>
  </si>
  <si>
    <t>Average</t>
  </si>
  <si>
    <t>Funding Timing</t>
  </si>
  <si>
    <t>E-Rate</t>
  </si>
  <si>
    <t>Tuition-Classroom Fees</t>
  </si>
  <si>
    <t>Growth Rate</t>
  </si>
  <si>
    <t>Revenue Growth Rate</t>
  </si>
  <si>
    <t>Additional Compensation: Teachers</t>
  </si>
  <si>
    <t>Additional Compensation: Licensed Admin.</t>
  </si>
  <si>
    <t>Regular Employees: Teachers</t>
  </si>
  <si>
    <t>Regular Employees: Licensed Adm</t>
  </si>
  <si>
    <t>Health Benefits: Teachers</t>
  </si>
  <si>
    <t>Health Benefits: Licensed Admin.</t>
  </si>
  <si>
    <t xml:space="preserve">Health Benefits: Other Classified/Support </t>
  </si>
  <si>
    <t>Medicare: Teachers</t>
  </si>
  <si>
    <t>Medicare: Licensed Admin.</t>
  </si>
  <si>
    <t>Group Insurance: Teacher</t>
  </si>
  <si>
    <t>Group Insurance: Licensed Admin.</t>
  </si>
  <si>
    <t>Group Insurance: Other Classified/Support Staff</t>
  </si>
  <si>
    <t>Salaries: Licensed Admin</t>
  </si>
  <si>
    <t>Extra Duties: Licensed Admin</t>
  </si>
  <si>
    <t>Group Insurance: Licensed Admin</t>
  </si>
  <si>
    <t>Health Benefits: Licensed Admin</t>
  </si>
  <si>
    <t>Retirement: Teachers</t>
  </si>
  <si>
    <t>Retirement: Licensed Admin.</t>
  </si>
  <si>
    <t>Unemployment: Teachers</t>
  </si>
  <si>
    <t>Unemployment: Licensed Admin.</t>
  </si>
  <si>
    <t>Worker's Comp: Teachers</t>
  </si>
  <si>
    <t>Worker's Comp: Licensed Admin.</t>
  </si>
  <si>
    <t>Extra Duties: Other Classified/Support Staff</t>
  </si>
  <si>
    <t>Salaries: Other Classified/Support Staff</t>
  </si>
  <si>
    <t>Temp Salaries: Other Classified/Support Staff</t>
  </si>
  <si>
    <t>Medicare: Other Classified/Support Staff</t>
  </si>
  <si>
    <t>Unemployment: Licensed Admin</t>
  </si>
  <si>
    <t>Unemployment: Other Classified/Support Staff</t>
  </si>
  <si>
    <t>Worker's Comp: Licensed Admin</t>
  </si>
  <si>
    <t>Worker's Comp: Other Classified/Support Staff</t>
  </si>
  <si>
    <t>Retirement: Licensed Admin</t>
  </si>
  <si>
    <t>Retirement: Other Classified/Support Staff</t>
  </si>
  <si>
    <t>Social Security: Temp Other Classified</t>
  </si>
  <si>
    <t>Group Insurance: Other Classified</t>
  </si>
  <si>
    <t>Retirement: Other Classified</t>
  </si>
  <si>
    <t>Medicare: Other Classified</t>
  </si>
  <si>
    <t>Unemployment: Other Classified</t>
  </si>
  <si>
    <t>Worker's Comp: Other Classified</t>
  </si>
  <si>
    <t xml:space="preserve">Health Benefits: Other Classified </t>
  </si>
  <si>
    <t>Regular Employees: Other Classified</t>
  </si>
  <si>
    <t>Temporary Employees: Other Classified</t>
  </si>
  <si>
    <t>Additional Compensation: Other Classified</t>
  </si>
  <si>
    <t>Extra Duties: Other Classified</t>
  </si>
  <si>
    <t>Regular Employees: Licensed Admin</t>
  </si>
  <si>
    <t>Additional Compensation: Licensed Admin</t>
  </si>
  <si>
    <t xml:space="preserve">Student Transportation </t>
  </si>
  <si>
    <t>Data Communications, Internet, Video</t>
  </si>
  <si>
    <t>Total Salaries</t>
  </si>
  <si>
    <t>Group Insurance</t>
  </si>
  <si>
    <t>Retirement</t>
  </si>
  <si>
    <t>Unemployment</t>
  </si>
  <si>
    <t>Health Benefits</t>
  </si>
  <si>
    <t>Total Benefits</t>
  </si>
  <si>
    <t>salaries</t>
  </si>
  <si>
    <t>benefits</t>
  </si>
  <si>
    <t>Object Code</t>
  </si>
  <si>
    <t>PERS</t>
  </si>
  <si>
    <t>PERS Retirement - EE</t>
  </si>
  <si>
    <t>PERS Retirement - ER</t>
  </si>
  <si>
    <t>12 Month Contract Rate</t>
  </si>
  <si>
    <t>FY19-20</t>
  </si>
  <si>
    <t>Days Cash-on-Hand</t>
  </si>
  <si>
    <t>Prior Year Total</t>
  </si>
  <si>
    <t>Prior Year</t>
  </si>
  <si>
    <t>Fasorable / (Unfas.)</t>
  </si>
  <si>
    <t>Change</t>
  </si>
  <si>
    <t>Per Pupil Amount from the State</t>
  </si>
  <si>
    <t>Central Office %</t>
  </si>
  <si>
    <t>Per Pupil Amount to Schools</t>
  </si>
  <si>
    <t>0000-000</t>
  </si>
  <si>
    <t>1000-000</t>
  </si>
  <si>
    <t>1001-000</t>
  </si>
  <si>
    <t>2120-000</t>
  </si>
  <si>
    <t>2130-000</t>
  </si>
  <si>
    <t>2140-000</t>
  </si>
  <si>
    <t>2240-000</t>
  </si>
  <si>
    <t>2310-000</t>
  </si>
  <si>
    <t>2320-000</t>
  </si>
  <si>
    <t>2410-000</t>
  </si>
  <si>
    <t>2500-000</t>
  </si>
  <si>
    <t>2560-000</t>
  </si>
  <si>
    <t>2570-000</t>
  </si>
  <si>
    <t>2580-000</t>
  </si>
  <si>
    <t>2600-000</t>
  </si>
  <si>
    <t>2610-000</t>
  </si>
  <si>
    <t>2620-000</t>
  </si>
  <si>
    <t>2710-000</t>
  </si>
  <si>
    <t>2900-000</t>
  </si>
  <si>
    <t>0000-325</t>
  </si>
  <si>
    <t>1000-325</t>
  </si>
  <si>
    <t>0000-352</t>
  </si>
  <si>
    <t>1000-352</t>
  </si>
  <si>
    <t>2240-352</t>
  </si>
  <si>
    <t>0000-661</t>
  </si>
  <si>
    <t>1000-661</t>
  </si>
  <si>
    <t>2320-661</t>
  </si>
  <si>
    <t>2500-661</t>
  </si>
  <si>
    <t>2580-661</t>
  </si>
  <si>
    <t>0000-709</t>
  </si>
  <si>
    <t>1000-709</t>
  </si>
  <si>
    <t>2320-709</t>
  </si>
  <si>
    <t>2500-709</t>
  </si>
  <si>
    <t>Function-Grant</t>
  </si>
  <si>
    <t>Check</t>
  </si>
  <si>
    <t>Cycle Name</t>
  </si>
  <si>
    <t>Fund Element Value</t>
  </si>
  <si>
    <t>Budget Pool Number</t>
  </si>
  <si>
    <t>Account Code</t>
  </si>
  <si>
    <t>Account Type Name</t>
  </si>
  <si>
    <t>Amount</t>
  </si>
  <si>
    <t>Auto Create Account</t>
  </si>
  <si>
    <t>Comment</t>
  </si>
  <si>
    <t>Required</t>
  </si>
  <si>
    <t>An existing Accounting Cycle name.
varchar(32)</t>
  </si>
  <si>
    <t>Fund element value for new Budget.
varchar(64)</t>
  </si>
  <si>
    <r>
      <t xml:space="preserve">Use a unique number for each different pool;
Use a </t>
    </r>
    <r>
      <rPr>
        <b/>
        <i/>
        <sz val="8"/>
        <rFont val="Arial"/>
        <family val="2"/>
      </rPr>
      <t>0</t>
    </r>
    <r>
      <rPr>
        <i/>
        <sz val="8"/>
        <rFont val="Arial"/>
        <family val="2"/>
      </rPr>
      <t xml:space="preserve"> for no pooling;
int</t>
    </r>
  </si>
  <si>
    <t>Full account code for the Budget line.
varchar(255)</t>
  </si>
  <si>
    <t>One of the following:
Asset
Liability
Expenditure
Revenue
Other Financing Uses
Other Financing Sources
Fund Balance/Retained Earnings
varchar(32)</t>
  </si>
  <si>
    <t>money</t>
  </si>
  <si>
    <r>
      <t xml:space="preserve">Set to Yes to create the account code when it does not exists.
</t>
    </r>
    <r>
      <rPr>
        <b/>
        <i/>
        <sz val="8"/>
        <rFont val="Arial"/>
        <family val="2"/>
      </rPr>
      <t>1</t>
    </r>
    <r>
      <rPr>
        <i/>
        <sz val="8"/>
        <rFont val="Arial"/>
        <family val="2"/>
      </rPr>
      <t xml:space="preserve"> - Yes
</t>
    </r>
    <r>
      <rPr>
        <b/>
        <i/>
        <sz val="8"/>
        <rFont val="Arial"/>
        <family val="2"/>
      </rPr>
      <t>0</t>
    </r>
    <r>
      <rPr>
        <i/>
        <sz val="8"/>
        <rFont val="Arial"/>
        <family val="2"/>
      </rPr>
      <t xml:space="preserve"> - No
int</t>
    </r>
  </si>
  <si>
    <t>varchar(255)</t>
  </si>
  <si>
    <t>100</t>
  </si>
  <si>
    <t>0</t>
  </si>
  <si>
    <t>Expenditure</t>
  </si>
  <si>
    <t>Object</t>
  </si>
  <si>
    <t>Function</t>
  </si>
  <si>
    <t>Grant</t>
  </si>
  <si>
    <t xml:space="preserve">Title </t>
  </si>
  <si>
    <t>Hourly Rate</t>
  </si>
  <si>
    <t>Annual</t>
  </si>
  <si>
    <t xml:space="preserve">Performance Incentives: Teachers </t>
  </si>
  <si>
    <t xml:space="preserve">Performance Incentives: Licensed Admin </t>
  </si>
  <si>
    <t>Performance Incentives: Other Classified/Support Staff</t>
  </si>
  <si>
    <t>Incentive Amount</t>
  </si>
  <si>
    <t>2510-000</t>
  </si>
  <si>
    <t>Technical Services - Technology</t>
  </si>
  <si>
    <t>Marketing Services</t>
  </si>
  <si>
    <t>Tuition-Other (Grant ONLY)</t>
  </si>
  <si>
    <t>Postage and Stamps</t>
  </si>
  <si>
    <t>FRL #</t>
  </si>
  <si>
    <t>SPED #</t>
  </si>
  <si>
    <t>504 #</t>
  </si>
  <si>
    <t>ELL #</t>
  </si>
  <si>
    <t>Principal - Supplies for DSA office</t>
  </si>
  <si>
    <t>Instruction - Supplies for students and EAC office</t>
  </si>
  <si>
    <t>Central - Supplies for OM Office and main office</t>
  </si>
  <si>
    <t>Location</t>
  </si>
  <si>
    <t>2000-000</t>
  </si>
  <si>
    <t>2700-000</t>
  </si>
  <si>
    <t>Annual Rate</t>
  </si>
  <si>
    <t>EE/ER</t>
  </si>
  <si>
    <t>CCR #</t>
  </si>
  <si>
    <t>Professional Development for DSA</t>
  </si>
  <si>
    <t>FTE</t>
  </si>
  <si>
    <t>Stamps and postage supplies</t>
  </si>
  <si>
    <t>N/A</t>
  </si>
  <si>
    <t>USE THIS FORM FOR REQUESTING CHANGES TO THE THE PROTECTED ITEMS ON YOUR BUDGET FORMS (ANY)</t>
  </si>
  <si>
    <t>Line Item</t>
  </si>
  <si>
    <t>Worksheet</t>
  </si>
  <si>
    <t>Item Name</t>
  </si>
  <si>
    <t>Current Budget Amt</t>
  </si>
  <si>
    <t>Requested Budget Amt</t>
  </si>
  <si>
    <t>Rationale</t>
  </si>
  <si>
    <t>4703  E-rate (50% of Internet ONLY)</t>
  </si>
  <si>
    <t xml:space="preserve">3115  Special Education portion to DSA </t>
  </si>
  <si>
    <t>1110  Ad Valorem Taxes</t>
  </si>
  <si>
    <t>1120  Sales and Use Taxes</t>
  </si>
  <si>
    <t>1191  Franchise Fees</t>
  </si>
  <si>
    <t>1192  General Gov. Services Tax</t>
  </si>
  <si>
    <t>3110  Basic Support</t>
  </si>
  <si>
    <t>325/352</t>
  </si>
  <si>
    <t>661/633/709/658</t>
  </si>
  <si>
    <t>NOTES:</t>
  </si>
  <si>
    <t>Requires external data (Actual cash balance)</t>
  </si>
  <si>
    <t>OK</t>
  </si>
  <si>
    <t>Requires external data (List of debts and assets)</t>
  </si>
  <si>
    <t>Requires external data (Debt listing)</t>
  </si>
  <si>
    <t>FY25</t>
  </si>
  <si>
    <t>Program Number</t>
  </si>
  <si>
    <t>Program Name</t>
  </si>
  <si>
    <t>021</t>
  </si>
  <si>
    <t>Sunrise HS Internal</t>
  </si>
  <si>
    <t>022</t>
  </si>
  <si>
    <t>Meadowood HS Internal</t>
  </si>
  <si>
    <t>294</t>
  </si>
  <si>
    <t>CCR HS Diploma</t>
  </si>
  <si>
    <t>325</t>
  </si>
  <si>
    <t>Teacher Supply Reimbursement</t>
  </si>
  <si>
    <t>352</t>
  </si>
  <si>
    <t>CCR - Dual Enrollment</t>
  </si>
  <si>
    <t>390</t>
  </si>
  <si>
    <t>AB 309 Block Grant</t>
  </si>
  <si>
    <t>633</t>
  </si>
  <si>
    <t>Title IA - Helping Disadvantaged Students</t>
  </si>
  <si>
    <t>639</t>
  </si>
  <si>
    <t>IDEA Part B Sp Ed Grants - Local Plan</t>
  </si>
  <si>
    <t>661</t>
  </si>
  <si>
    <t>Charter School Program Grant</t>
  </si>
  <si>
    <t>709</t>
  </si>
  <si>
    <t>Title II Part A - Improving Teacher Quality</t>
  </si>
  <si>
    <t>THIS IS A LIST OF PROGRAMS (MAINLY GRANTS) USED BY NSHS:</t>
  </si>
  <si>
    <t>Y/N</t>
  </si>
  <si>
    <t>Professional Development for EAC</t>
  </si>
  <si>
    <t>Professional Development for OM</t>
  </si>
  <si>
    <t>RTC Bus Passes for students</t>
  </si>
  <si>
    <t>Teacher Supplies Grant: $190/# of FTE teachers</t>
  </si>
  <si>
    <t>Unemployment (SUI &amp; CEP) $32,500 cap</t>
  </si>
  <si>
    <t>GENERAL OVERVIEW</t>
  </si>
  <si>
    <t>I</t>
  </si>
  <si>
    <t>Consists of several worksheets, each are color-coded.</t>
  </si>
  <si>
    <t>A</t>
  </si>
  <si>
    <t>Yellow tabs - these are the ones that we will be working on to complete the budget builder process.</t>
  </si>
  <si>
    <t>B</t>
  </si>
  <si>
    <t>Blue tabs - these are informational.  They show the summaries.</t>
  </si>
  <si>
    <t xml:space="preserve">C </t>
  </si>
  <si>
    <t>Green tab - Only one.  This is where all of the information we are filling in is summarized.</t>
  </si>
  <si>
    <t>D</t>
  </si>
  <si>
    <t>Black tabs - These are not really necessary for the preparation of the budget builder.</t>
  </si>
  <si>
    <t xml:space="preserve"> </t>
  </si>
  <si>
    <t xml:space="preserve">   They list various future years and the import to Aptafund</t>
  </si>
  <si>
    <t>II</t>
  </si>
  <si>
    <t>Highlights</t>
  </si>
  <si>
    <t>What we are looking for is to complete the yellow tabs, and for the most part, internal items are highlighted.</t>
  </si>
  <si>
    <t>NEW ITEM:  We (CSO) are going to pre-fill in many of the numbers.  We will go over them as we come to them.</t>
  </si>
  <si>
    <t>III</t>
  </si>
  <si>
    <t>Rev &amp; Enroll Page</t>
  </si>
  <si>
    <t>School Name: Should be pre-filled for you.  If not, simply enter the name of your campus.</t>
  </si>
  <si>
    <t>Current Year Monthly Enrollment:</t>
  </si>
  <si>
    <t>This is the same format as for previous years.  Fill in the expected monthly enrollment</t>
  </si>
  <si>
    <t>If you fill in for only a month or two, the enrollment numbers will calculate incorrectly</t>
  </si>
  <si>
    <t>Fill in the demographic information (FRL #, SPED #, etc.)</t>
  </si>
  <si>
    <t>We have supplied the per pupil amount from the State.  It is subject to change, up or down.</t>
  </si>
  <si>
    <t>We (CSO) will pre-fill the amounts of grants available to be used for each school.</t>
  </si>
  <si>
    <t>Interesting factoid:  We can put in an expected growth rate for State funding; however, it's unpredictable</t>
  </si>
  <si>
    <t>These numbers show up in the black-tabbed future years for revenue growth</t>
  </si>
  <si>
    <t>The monthly enrollment numbers are not changeable.</t>
  </si>
  <si>
    <t>IV</t>
  </si>
  <si>
    <t>Payroll Page</t>
  </si>
  <si>
    <t>By far the most complicated page of the workbook</t>
  </si>
  <si>
    <t>You will once again fill out the items in yellow on the page, but if there are more than one individual, you will fill out</t>
  </si>
  <si>
    <t xml:space="preserve">  lines below it.</t>
  </si>
  <si>
    <t>C</t>
  </si>
  <si>
    <t>Line 6111 - Salaries - Teachers.  This is the line for EACs</t>
  </si>
  <si>
    <t>Name, Title are self-explanatory</t>
  </si>
  <si>
    <t>Annual rate is the contracted salary for the year.  ONLY BASE SALARY GOES ON THIS LINE</t>
  </si>
  <si>
    <t>EE/ER.  This is a referrence to PERS.  Employer paid (ER) or employee/employer paid (EE)</t>
  </si>
  <si>
    <t>The column that says "N".  Enter Y if the person will be counted as FTE.  N if they won't (student employees)</t>
  </si>
  <si>
    <t>Months column.  Enter a 1 for each month you expect the employee to be present.  Probably a 1 for each month.</t>
  </si>
  <si>
    <t>Line 6114 - Salaries: Licensed Admin.  This is for the DSAs</t>
  </si>
  <si>
    <t>Same process as for the EACs</t>
  </si>
  <si>
    <t>E</t>
  </si>
  <si>
    <t>Line 6117 - Salaries: Other Classified/Support Staff.  This line is for the Office Managers</t>
  </si>
  <si>
    <t>F</t>
  </si>
  <si>
    <t>Line 6127 - Temp Salaries: Other Classified/Support Staff.  This line is for student/hourly workers</t>
  </si>
  <si>
    <t>NOTE 1:  Put the hourly rate in the box</t>
  </si>
  <si>
    <t>NOTE 2: These are automatically calculated at 20 hours/wk.  If you want a different number of hours, you will need</t>
  </si>
  <si>
    <t>to make a request for change</t>
  </si>
  <si>
    <t>G</t>
  </si>
  <si>
    <t>Line 6151: Performance Incentives: Teachers.  Performance incentives for EACs</t>
  </si>
  <si>
    <t>Enter the individual incentive amount in the box.</t>
  </si>
  <si>
    <t>Enter a "1" in the months that you expect to get an incentive payment.  If you're not sure, just make sure that</t>
  </si>
  <si>
    <t>you get the right number of months (if you're going to get four, make sure that there are 4 months with a 1 in them.</t>
  </si>
  <si>
    <t>Sponsorship incentives.  If you are going to get a sponsorship incentive, you will need to put a separate line item</t>
  </si>
  <si>
    <t>for that payment.  It will have a different amount.</t>
  </si>
  <si>
    <t>H</t>
  </si>
  <si>
    <t>Line 6154 - Performance Incentives: Licensed Admin.  This is the line for PIs for DSAs</t>
  </si>
  <si>
    <t>Line 6157 - Performance Incentives: Other Classified/Support Staff.  PIs for Office Managers</t>
  </si>
  <si>
    <t>J</t>
  </si>
  <si>
    <t>Line 6161 - Extra Duties: Teachers.  This is for extra duty work expected to occur next year for EACs</t>
  </si>
  <si>
    <t>Make sure that you fill in the HOURLY rate in the appropriate column (column E)</t>
  </si>
  <si>
    <t>Make sure that you fill in the NUMBER OF HOURS for each month that extra duties is expected to occur.</t>
  </si>
  <si>
    <t>Line 6164 - Extra Duties: Licensed Admin.  This is the line for DSAs</t>
  </si>
  <si>
    <t>L</t>
  </si>
  <si>
    <t>Line 6167 - Extra Duties: Other Classified/Support Staff.  This is the line for Office Managers</t>
  </si>
  <si>
    <t>M</t>
  </si>
  <si>
    <t>Fringe Benefits are calculated automatically.   Same as previous years.</t>
  </si>
  <si>
    <t>V</t>
  </si>
  <si>
    <t>Exp Details Page</t>
  </si>
  <si>
    <t>These are broken down by object code.  The process for completing each object code is the same.</t>
  </si>
  <si>
    <t>The name of each object code is listed (i.e., OBJ 6300 is "Purchased Professional and Technical Services)</t>
  </si>
  <si>
    <t>Enter the function and grant (if applicable) that will be used to pay for the item</t>
  </si>
  <si>
    <t>Enter the name of the individual spending category</t>
  </si>
  <si>
    <t>Enter the "Quantity."  If it's monthly, use 12.  If it's a one-time charge, put "1"</t>
  </si>
  <si>
    <t>Enter the Cost per unit.  For example, for monthly costs of cleaning at $50 per month, enter $50</t>
  </si>
  <si>
    <t>You will notice that several items are pre-filled.  The pre-filled items are items that you normally do not have control over.</t>
  </si>
  <si>
    <t>If you believe that the amounts that come up for each item are incorrect, submit a request for change</t>
  </si>
  <si>
    <t>VI</t>
  </si>
  <si>
    <t>Request for Change Page</t>
  </si>
  <si>
    <t>This is where you make a request for CSO to make a change to a pre-filled item.</t>
  </si>
  <si>
    <t>We recognize that for some schools, the numbers don't always add up correctly.  If you would like for us to make a change to</t>
  </si>
  <si>
    <t>a protected field, fill out the "Request for Change."</t>
  </si>
  <si>
    <t>This gives us a written record of major items that need to be changed.</t>
  </si>
  <si>
    <t>VII</t>
  </si>
  <si>
    <t>Where it all comes together</t>
  </si>
  <si>
    <t>FY21 Page</t>
  </si>
  <si>
    <t>This page shows, month by month, how your revenue will flow into the bank.</t>
  </si>
  <si>
    <t>It also shows the expenses broken down on a monthly basis</t>
  </si>
  <si>
    <t>At the bottom of the sheet is the "cash flow" section; it shows how our cash is doing month by month</t>
  </si>
  <si>
    <t>VIII</t>
  </si>
  <si>
    <t>Summary Page</t>
  </si>
  <si>
    <t>At this point, you have filled in the budget lines</t>
  </si>
  <si>
    <t>The annual/full year shows the summary of all of your revenue and expenses broken down by category</t>
  </si>
  <si>
    <t>This is the view that is shown to the Board</t>
  </si>
  <si>
    <t>IX</t>
  </si>
  <si>
    <t>Buddget Page</t>
  </si>
  <si>
    <t>Again, this it the form that is shown to the Board.</t>
  </si>
  <si>
    <t>It shows the current year's projected actual amounts with next year's budget.</t>
  </si>
  <si>
    <t>This helps us to see where there are "problems" with the preparation of the budget.  If there's a 10% variation, expect that we will</t>
  </si>
  <si>
    <t xml:space="preserve">   want an explanation as to why.</t>
  </si>
  <si>
    <t>X</t>
  </si>
  <si>
    <t>MYP.  This is the expectations for looking into the future.  It makes critical assumptions to arrive at its numbers.</t>
  </si>
  <si>
    <t>For the revenue, we have assumed a 2% growth rate every two years, with a 0 growth rate for each alternating year.</t>
  </si>
  <si>
    <t>b</t>
  </si>
  <si>
    <t>For expenses, we have assumed a 2% growth rate every year.</t>
  </si>
  <si>
    <t xml:space="preserve">   This eans that the expenses will eventually overtake the revenue, at least with this set of assumptions.</t>
  </si>
  <si>
    <t>XI</t>
  </si>
  <si>
    <t>This is of great value to CSO in that it categorizes each revenue and expense into categories that are used by the State</t>
  </si>
  <si>
    <t>EE</t>
  </si>
  <si>
    <t>Y</t>
  </si>
  <si>
    <t>REVISED</t>
  </si>
  <si>
    <t>Director of Site Administration</t>
  </si>
  <si>
    <t>Office Manager</t>
  </si>
  <si>
    <t>Enter additional special program services here</t>
  </si>
  <si>
    <t>Enter additional registration fees, conferences and events here</t>
  </si>
  <si>
    <t>Enter additional cleaning services here</t>
  </si>
  <si>
    <t>Annual Fire Extinguisher Inspection and Permit</t>
  </si>
  <si>
    <t>Enter additional repairs and maintenance here</t>
  </si>
  <si>
    <t>Building CAMS</t>
  </si>
  <si>
    <t>Enter additional transportation services here</t>
  </si>
  <si>
    <t>Enter additional postage here</t>
  </si>
  <si>
    <t>Enter printing services here</t>
  </si>
  <si>
    <t>Enter additional supplies here</t>
  </si>
  <si>
    <t>Electricity Monthly (NV Energy)</t>
  </si>
  <si>
    <t>Revised Budget</t>
  </si>
  <si>
    <t>Original Budget approved on the 4/25/2019 Board Meeting</t>
  </si>
  <si>
    <t>Revised Budget approved on the 10/17/2019 Board Meeting</t>
  </si>
  <si>
    <t>FINAL</t>
  </si>
  <si>
    <t>Actual YTD</t>
  </si>
  <si>
    <t>Budget YTD</t>
  </si>
  <si>
    <t>Monthly travel, hotel, car rental, and per diem for EAC</t>
  </si>
  <si>
    <t>Exp Details</t>
  </si>
  <si>
    <t>69</t>
  </si>
  <si>
    <t>6340</t>
  </si>
  <si>
    <t>NA</t>
  </si>
  <si>
    <t>Monthly Integrita IT support services ($100/hr)</t>
  </si>
  <si>
    <t>Adjusted Area</t>
  </si>
  <si>
    <t>Unit Cost Area</t>
  </si>
  <si>
    <t>Adjusted</t>
  </si>
  <si>
    <t>NO</t>
  </si>
  <si>
    <t>YES</t>
  </si>
  <si>
    <t>ACTUAL</t>
  </si>
  <si>
    <t>Issue with amortization over the year and actual expenses  (3/20/202 Issue Resolved by JH Adjusted Table)</t>
  </si>
  <si>
    <t>Goal 10% Cash (apprx. 30 days)</t>
  </si>
  <si>
    <t>Nevada State High School (Northwest)</t>
  </si>
  <si>
    <t>Cristal James</t>
  </si>
  <si>
    <t>Educational Advising Coordinator</t>
  </si>
  <si>
    <t>Dale Richardson</t>
  </si>
  <si>
    <t>Danielle Jones</t>
  </si>
  <si>
    <t>Enter additional marketing services here</t>
  </si>
  <si>
    <t>Trash/Sewer Monthly Bill (Tenaya Property Management)</t>
  </si>
  <si>
    <t>Cleaning Monthly Services (Ultimate Building Services)</t>
  </si>
  <si>
    <t>Cleaning Quarterly Supplies (Ultimate Building Services)</t>
  </si>
  <si>
    <t>Building Lease: 7240 W Azure Drive</t>
  </si>
  <si>
    <t>Monthly Interet (Cox)</t>
  </si>
  <si>
    <t>Monthly travel, hotel, car rental, and per diem for DSA</t>
  </si>
  <si>
    <t xml:space="preserve">Monthly travel, hotel, car rental, and per diem for OM  </t>
  </si>
  <si>
    <t>Fingerprinting fees for new EE's</t>
  </si>
  <si>
    <t>Sponsorship Fee (1.5%)</t>
  </si>
  <si>
    <t>monthly</t>
  </si>
  <si>
    <t>Board Approved: Proposed: 4/16/2020</t>
  </si>
  <si>
    <t>Year-to-Date</t>
  </si>
  <si>
    <t>SPCSA Enrollment CAP</t>
  </si>
  <si>
    <t>TENATIVE</t>
  </si>
  <si>
    <t>FY20</t>
  </si>
  <si>
    <t>manual</t>
  </si>
  <si>
    <t>1000-390</t>
  </si>
  <si>
    <t>1000-633</t>
  </si>
  <si>
    <t>1000-658</t>
  </si>
  <si>
    <t>1000-639</t>
  </si>
  <si>
    <t>CSO only</t>
  </si>
  <si>
    <t>3200  Reimb. for Teacher Supplies #FTE</t>
  </si>
  <si>
    <t>3200  Assembly Bill 309</t>
  </si>
  <si>
    <t>3200  College and Career Diploma (CCR)</t>
  </si>
  <si>
    <t>3200  College and Career Readiness (CCR)</t>
  </si>
  <si>
    <t>4500  CSP Dissemination</t>
  </si>
  <si>
    <t>4500  Title IA Grant</t>
  </si>
  <si>
    <t>4500  Title IIA Grant</t>
  </si>
  <si>
    <t>4500  Title III Grant</t>
  </si>
  <si>
    <t>4571  Special Education Part B</t>
  </si>
  <si>
    <t>1790  NSHS at Sunrise</t>
  </si>
  <si>
    <t>1790  NSHS at Meadowwood</t>
  </si>
  <si>
    <t>1790  Other Income</t>
  </si>
  <si>
    <t>Grants</t>
  </si>
  <si>
    <t>ER</t>
  </si>
  <si>
    <t>SW01</t>
  </si>
  <si>
    <t>Student Worker</t>
  </si>
  <si>
    <t>N</t>
  </si>
  <si>
    <t>Study skills support (Nevada Education Consultants at $60/hr) based off 5% of all students enrolled</t>
  </si>
  <si>
    <t>Legal services hired at a rate of $300 per hour</t>
  </si>
  <si>
    <t xml:space="preserve">Special Ed Consultants (Evaluations, IEP Nurse Reviews, Speech Path..) 50% of SPED count </t>
  </si>
  <si>
    <t>Enter other professional services here</t>
  </si>
  <si>
    <t>Renting facility for ACT state testing</t>
  </si>
  <si>
    <t>Enter additional advertising here</t>
  </si>
  <si>
    <t>NSHE Fall College Fees - Tuition $950/stu.</t>
  </si>
  <si>
    <t xml:space="preserve">NSHE Spring College Fees - Tuition $1100/stu. </t>
  </si>
  <si>
    <t>BYU: Fall and Spring Fees - Tuition</t>
  </si>
  <si>
    <t>CCR: Fall College Fees - Tuition $950/stu</t>
  </si>
  <si>
    <t>CCR: Spring College Fees - Tuition $1600/stu</t>
  </si>
  <si>
    <t xml:space="preserve">STUDENT REIMBURSEMENTS: Fall and Spring College Classes </t>
  </si>
  <si>
    <t xml:space="preserve">NSHE Fall College Fees - Textbook Fees $50/stu. </t>
  </si>
  <si>
    <t>Spring College Fees - Textbook Fees $65/stu.</t>
  </si>
  <si>
    <t xml:space="preserve">STUDENT Income verification form - Submission incentive $50/submission </t>
  </si>
  <si>
    <t>STUDENT Income verification form - FRL addt $50/eligible</t>
  </si>
  <si>
    <t>CCR: Fall College Fees - Textbook Fees $50/stu</t>
  </si>
  <si>
    <t>CCR: Spring College Fees - Textbook Fees $65/stu</t>
  </si>
  <si>
    <t>CCR: Student Stipends issued</t>
  </si>
  <si>
    <t xml:space="preserve">NSHE Fall College Fees - Technology Fees $100/stu.  </t>
  </si>
  <si>
    <t xml:space="preserve">NSHE Spring College Fees - Technology Fees $135/stu. </t>
  </si>
  <si>
    <t xml:space="preserve">CCR: Fall College Fees - Technology Fees $100/stu. </t>
  </si>
  <si>
    <t xml:space="preserve">CCR: Spring College Fees - Textbook Fees $135/stu. </t>
  </si>
  <si>
    <t>SNHD Annual Permit</t>
  </si>
  <si>
    <t>Money order fee (student stipends and staff reimbursement)</t>
  </si>
  <si>
    <t>NSHS Loan Repayment Year01</t>
  </si>
  <si>
    <t>Value</t>
  </si>
  <si>
    <t>00-06</t>
  </si>
  <si>
    <t>0000-294</t>
  </si>
  <si>
    <t>0000-390</t>
  </si>
  <si>
    <t>0000-633</t>
  </si>
  <si>
    <t>32-06</t>
  </si>
  <si>
    <t>Loan</t>
  </si>
  <si>
    <t>Fund Balance FY21</t>
  </si>
  <si>
    <t>Loan Payback</t>
  </si>
  <si>
    <t>Fund Balance FY2122 First Year</t>
  </si>
  <si>
    <t>Loan Repayment, Adjust EOY Fund Bal.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</si>
</sst>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&quot;$&quot;* #,##0_);_(&quot;$&quot;* \(#,##0\);_(&quot;$&quot;* &quot;-&quot;??_);_(@_)"/>
    <numFmt numFmtId="166" formatCode="0.0%"/>
    <numFmt numFmtId="167" formatCode="0.000%"/>
    <numFmt numFmtId="168" formatCode="_(* #,##0_);_(* \(#,##0\);_(* &quot;-&quot;??_);_(@_)"/>
    <numFmt numFmtId="169" formatCode="_(* #,##0.0_);_(* \(#,##0.0\);_(* &quot;-&quot;_);_(@_)"/>
    <numFmt numFmtId="170" formatCode="_(* #,##0.00_);_(* \(#,##0.00\);_(* &quot;-&quot;_);_(@_)"/>
  </numFmts>
  <fonts count="8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i/>
      <sz val="10"/>
      <name val="Calibri"/>
      <family val="2"/>
      <scheme val="minor"/>
    </font>
    <font>
      <sz val="9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b/>
      <sz val="9"/>
      <color theme="0"/>
      <name val="Calibri"/>
      <family val="2"/>
      <scheme val="minor"/>
    </font>
    <font>
      <u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4" tint="-0.249977111117893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u/>
      <sz val="8"/>
      <color rgb="FFFF0000"/>
      <name val="Calibri"/>
      <family val="2"/>
      <scheme val="minor"/>
    </font>
    <font>
      <i/>
      <sz val="9"/>
      <name val="Calibri"/>
      <family val="2"/>
      <scheme val="minor"/>
    </font>
    <font>
      <b/>
      <u/>
      <sz val="16"/>
      <name val="Calibri"/>
      <family val="2"/>
      <scheme val="minor"/>
    </font>
    <font>
      <b/>
      <u/>
      <sz val="11"/>
      <name val="Calibri"/>
      <family val="2"/>
      <scheme val="minor"/>
    </font>
    <font>
      <i/>
      <u/>
      <sz val="10"/>
      <name val="Calibri"/>
      <family val="2"/>
      <scheme val="minor"/>
    </font>
    <font>
      <b/>
      <u/>
      <sz val="9"/>
      <name val="Calibri"/>
      <family val="2"/>
      <scheme val="minor"/>
    </font>
    <font>
      <u/>
      <sz val="11"/>
      <name val="Calibri"/>
      <family val="2"/>
      <scheme val="minor"/>
    </font>
    <font>
      <sz val="8"/>
      <color theme="1"/>
      <name val="Tahoma"/>
      <family val="2"/>
    </font>
    <font>
      <sz val="10"/>
      <name val="Calibri"/>
      <family val="2"/>
      <scheme val="minor"/>
    </font>
    <font>
      <u val="singleAccounting"/>
      <sz val="10"/>
      <name val="Calibri"/>
      <family val="2"/>
      <scheme val="minor"/>
    </font>
    <font>
      <b/>
      <i/>
      <sz val="10"/>
      <color theme="8" tint="-0.499984740745262"/>
      <name val="Calibri"/>
      <family val="2"/>
      <scheme val="minor"/>
    </font>
    <font>
      <i/>
      <sz val="10"/>
      <color theme="8" tint="-0.499984740745262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u val="singleAccounting"/>
      <sz val="10"/>
      <name val="Calibri"/>
      <family val="2"/>
      <scheme val="minor"/>
    </font>
    <font>
      <u/>
      <sz val="10"/>
      <name val="Calibri"/>
      <family val="2"/>
      <scheme val="minor"/>
    </font>
    <font>
      <u val="doubleAccounting"/>
      <sz val="10"/>
      <name val="Calibri"/>
      <family val="2"/>
      <scheme val="minor"/>
    </font>
    <font>
      <b/>
      <u val="double"/>
      <sz val="10"/>
      <name val="Calibri"/>
      <family val="2"/>
      <scheme val="minor"/>
    </font>
    <font>
      <b/>
      <u val="doubleAccounting"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0"/>
      <name val="Calibri"/>
      <family val="2"/>
      <scheme val="minor"/>
    </font>
    <font>
      <i/>
      <sz val="9"/>
      <color theme="4" tint="-0.249977111117893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i/>
      <sz val="9"/>
      <color theme="0" tint="-0.34998626667073579"/>
      <name val="Calibri"/>
      <family val="2"/>
      <scheme val="minor"/>
    </font>
    <font>
      <i/>
      <sz val="9"/>
      <color theme="0" tint="-0.34998626667073579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b/>
      <u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u/>
      <sz val="8"/>
      <color theme="0" tint="-0.249977111117893"/>
      <name val="Arial"/>
      <family val="2"/>
    </font>
    <font>
      <i/>
      <sz val="8"/>
      <color theme="0" tint="-0.249977111117893"/>
      <name val="Arial"/>
      <family val="2"/>
    </font>
    <font>
      <sz val="9"/>
      <color theme="0" tint="-0.34998626667073579"/>
      <name val="Calibri"/>
      <family val="2"/>
      <scheme val="minor"/>
    </font>
    <font>
      <b/>
      <sz val="9"/>
      <color theme="0" tint="-0.34998626667073579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rgb="FFC00000"/>
      <name val="Calibri"/>
      <family val="2"/>
      <scheme val="minor"/>
    </font>
    <font>
      <b/>
      <sz val="9"/>
      <color indexed="81"/>
      <name val="Tahoma"/>
      <family val="2"/>
    </font>
    <font>
      <b/>
      <sz val="9"/>
      <color rgb="FFFF0000"/>
      <name val="Calibri"/>
      <family val="2"/>
      <scheme val="minor"/>
    </font>
  </fonts>
  <fills count="5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C7C9C8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0">
    <xf numFmtId="0" fontId="0" fillId="0" borderId="0"/>
    <xf numFmtId="0" fontId="2" fillId="0" borderId="0"/>
    <xf numFmtId="0" fontId="3" fillId="2" borderId="1">
      <alignment horizontal="left"/>
    </xf>
    <xf numFmtId="0" fontId="3" fillId="2" borderId="2">
      <alignment horizontal="left"/>
    </xf>
    <xf numFmtId="0" fontId="3" fillId="2" borderId="3">
      <alignment horizontal="left"/>
    </xf>
    <xf numFmtId="44" fontId="3" fillId="0" borderId="0" applyFont="0" applyFill="0" applyBorder="0" applyAlignment="0" applyProtection="0"/>
    <xf numFmtId="14" fontId="3" fillId="0" borderId="0" applyFont="0" applyFill="0" applyBorder="0" applyProtection="0">
      <alignment horizontal="left"/>
    </xf>
    <xf numFmtId="0" fontId="4" fillId="0" borderId="1">
      <alignment horizontal="left"/>
    </xf>
    <xf numFmtId="2" fontId="3" fillId="0" borderId="0" applyFill="0" applyProtection="0"/>
    <xf numFmtId="0" fontId="4" fillId="2" borderId="4">
      <alignment horizontal="left"/>
    </xf>
    <xf numFmtId="0" fontId="4" fillId="2" borderId="5">
      <alignment horizontal="left"/>
    </xf>
    <xf numFmtId="0" fontId="3" fillId="0" borderId="0" applyFont="0" applyFill="0" applyBorder="0" applyAlignment="0" applyProtection="0"/>
    <xf numFmtId="49" fontId="3" fillId="0" borderId="6" applyFont="0" applyFill="0" applyBorder="0" applyAlignment="0" applyProtection="0">
      <alignment horizontal="right"/>
    </xf>
    <xf numFmtId="0" fontId="3" fillId="0" borderId="0">
      <alignment horizontal="left"/>
    </xf>
    <xf numFmtId="0" fontId="4" fillId="2" borderId="7">
      <alignment horizontal="left"/>
    </xf>
    <xf numFmtId="0" fontId="3" fillId="0" borderId="1">
      <alignment horizontal="left"/>
    </xf>
    <xf numFmtId="0" fontId="4" fillId="2" borderId="8">
      <alignment horizontal="left"/>
    </xf>
    <xf numFmtId="0" fontId="4" fillId="2" borderId="9">
      <alignment horizontal="left"/>
    </xf>
    <xf numFmtId="0" fontId="4" fillId="2" borderId="10">
      <alignment horizontal="left"/>
    </xf>
    <xf numFmtId="0" fontId="3" fillId="0" borderId="6">
      <alignment horizontal="right"/>
    </xf>
    <xf numFmtId="0" fontId="5" fillId="0" borderId="0"/>
    <xf numFmtId="0" fontId="3" fillId="2" borderId="2">
      <alignment horizontal="left"/>
    </xf>
    <xf numFmtId="0" fontId="3" fillId="2" borderId="3">
      <alignment horizontal="left"/>
    </xf>
    <xf numFmtId="0" fontId="3" fillId="2" borderId="2">
      <alignment horizontal="left"/>
    </xf>
    <xf numFmtId="0" fontId="3" fillId="2" borderId="3">
      <alignment horizontal="left"/>
    </xf>
    <xf numFmtId="0" fontId="3" fillId="0" borderId="0"/>
    <xf numFmtId="2" fontId="3" fillId="0" borderId="0" applyFill="0" applyBorder="0" applyProtection="0"/>
    <xf numFmtId="49" fontId="3" fillId="0" borderId="6" applyFont="0" applyFill="0" applyBorder="0" applyAlignment="0" applyProtection="0">
      <alignment horizontal="right"/>
    </xf>
    <xf numFmtId="0" fontId="3" fillId="2" borderId="2">
      <alignment horizontal="left"/>
    </xf>
    <xf numFmtId="0" fontId="3" fillId="2" borderId="3">
      <alignment horizontal="left"/>
    </xf>
    <xf numFmtId="0" fontId="3" fillId="2" borderId="2">
      <alignment horizontal="left"/>
    </xf>
    <xf numFmtId="0" fontId="3" fillId="2" borderId="3">
      <alignment horizontal="left"/>
    </xf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4" fillId="0" borderId="17" applyNumberFormat="0" applyFill="0" applyAlignment="0" applyProtection="0"/>
    <xf numFmtId="0" fontId="15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7" borderId="20" applyNumberFormat="0" applyAlignment="0" applyProtection="0"/>
    <xf numFmtId="0" fontId="20" fillId="8" borderId="21" applyNumberFormat="0" applyAlignment="0" applyProtection="0"/>
    <xf numFmtId="0" fontId="21" fillId="8" borderId="20" applyNumberFormat="0" applyAlignment="0" applyProtection="0"/>
    <xf numFmtId="0" fontId="22" fillId="0" borderId="22" applyNumberFormat="0" applyFill="0" applyAlignment="0" applyProtection="0"/>
    <xf numFmtId="0" fontId="23" fillId="9" borderId="23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25" applyNumberFormat="0" applyFill="0" applyAlignment="0" applyProtection="0"/>
    <xf numFmtId="0" fontId="2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2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26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26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26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43" fontId="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26" fillId="14" borderId="0" applyNumberFormat="0" applyBorder="0" applyAlignment="0" applyProtection="0"/>
    <xf numFmtId="0" fontId="26" fillId="18" borderId="0" applyNumberFormat="0" applyBorder="0" applyAlignment="0" applyProtection="0"/>
    <xf numFmtId="0" fontId="26" fillId="22" borderId="0" applyNumberFormat="0" applyBorder="0" applyAlignment="0" applyProtection="0"/>
    <xf numFmtId="0" fontId="26" fillId="26" borderId="0" applyNumberFormat="0" applyBorder="0" applyAlignment="0" applyProtection="0"/>
    <xf numFmtId="0" fontId="26" fillId="30" borderId="0" applyNumberFormat="0" applyBorder="0" applyAlignment="0" applyProtection="0"/>
    <xf numFmtId="0" fontId="26" fillId="34" borderId="0" applyNumberFormat="0" applyBorder="0" applyAlignment="0" applyProtection="0"/>
    <xf numFmtId="0" fontId="7" fillId="0" borderId="0"/>
    <xf numFmtId="0" fontId="7" fillId="10" borderId="24" applyNumberFormat="0" applyFont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24" applyNumberFormat="0" applyFont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24" applyNumberFormat="0" applyFont="0" applyAlignment="0" applyProtection="0"/>
    <xf numFmtId="0" fontId="7" fillId="0" borderId="0"/>
    <xf numFmtId="0" fontId="46" fillId="0" borderId="0"/>
    <xf numFmtId="43" fontId="7" fillId="0" borderId="0" applyFont="0" applyFill="0" applyBorder="0" applyAlignment="0" applyProtection="0"/>
  </cellStyleXfs>
  <cellXfs count="714">
    <xf numFmtId="0" fontId="0" fillId="0" borderId="0" xfId="0"/>
    <xf numFmtId="0" fontId="8" fillId="3" borderId="0" xfId="20" applyFont="1" applyFill="1"/>
    <xf numFmtId="41" fontId="8" fillId="3" borderId="0" xfId="20" applyNumberFormat="1" applyFont="1" applyFill="1"/>
    <xf numFmtId="41" fontId="8" fillId="3" borderId="0" xfId="20" applyNumberFormat="1" applyFont="1" applyFill="1" applyAlignment="1">
      <alignment wrapText="1"/>
    </xf>
    <xf numFmtId="41" fontId="8" fillId="3" borderId="0" xfId="20" applyNumberFormat="1" applyFont="1" applyFill="1" applyAlignment="1">
      <alignment horizontal="right"/>
    </xf>
    <xf numFmtId="0" fontId="9" fillId="3" borderId="0" xfId="20" applyFont="1" applyFill="1"/>
    <xf numFmtId="0" fontId="10" fillId="3" borderId="0" xfId="20" applyFont="1" applyFill="1"/>
    <xf numFmtId="41" fontId="8" fillId="3" borderId="0" xfId="20" applyNumberFormat="1" applyFont="1" applyFill="1" applyAlignment="1">
      <alignment horizontal="center"/>
    </xf>
    <xf numFmtId="41" fontId="10" fillId="3" borderId="0" xfId="20" applyNumberFormat="1" applyFont="1" applyFill="1"/>
    <xf numFmtId="0" fontId="10" fillId="3" borderId="0" xfId="20" applyFont="1" applyFill="1" applyAlignment="1">
      <alignment vertical="center" wrapText="1"/>
    </xf>
    <xf numFmtId="0" fontId="8" fillId="3" borderId="0" xfId="20" applyFont="1" applyFill="1" applyAlignment="1">
      <alignment horizontal="right" vertical="top"/>
    </xf>
    <xf numFmtId="0" fontId="11" fillId="3" borderId="0" xfId="20" applyFont="1" applyFill="1"/>
    <xf numFmtId="0" fontId="6" fillId="3" borderId="0" xfId="20" applyFont="1" applyFill="1" applyAlignment="1">
      <alignment horizontal="left"/>
    </xf>
    <xf numFmtId="0" fontId="8" fillId="3" borderId="0" xfId="20" applyFont="1" applyFill="1" applyAlignment="1">
      <alignment horizontal="left"/>
    </xf>
    <xf numFmtId="0" fontId="12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  <xf numFmtId="0" fontId="8" fillId="3" borderId="0" xfId="20" applyFont="1" applyFill="1" applyAlignment="1">
      <alignment horizontal="center"/>
    </xf>
    <xf numFmtId="41" fontId="10" fillId="3" borderId="0" xfId="20" applyNumberFormat="1" applyFont="1" applyFill="1" applyAlignment="1">
      <alignment horizontal="center"/>
    </xf>
    <xf numFmtId="0" fontId="10" fillId="3" borderId="0" xfId="2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/>
    </xf>
    <xf numFmtId="0" fontId="6" fillId="3" borderId="0" xfId="0" applyFont="1" applyFill="1"/>
    <xf numFmtId="41" fontId="12" fillId="3" borderId="0" xfId="0" applyNumberFormat="1" applyFont="1" applyFill="1"/>
    <xf numFmtId="41" fontId="6" fillId="3" borderId="0" xfId="0" applyNumberFormat="1" applyFont="1" applyFill="1"/>
    <xf numFmtId="41" fontId="8" fillId="3" borderId="0" xfId="20" applyNumberFormat="1" applyFont="1" applyFill="1" applyBorder="1" applyAlignment="1">
      <alignment wrapText="1"/>
    </xf>
    <xf numFmtId="41" fontId="8" fillId="3" borderId="0" xfId="20" applyNumberFormat="1" applyFont="1" applyFill="1" applyBorder="1"/>
    <xf numFmtId="41" fontId="8" fillId="3" borderId="0" xfId="20" applyNumberFormat="1" applyFont="1" applyFill="1" applyBorder="1" applyAlignment="1">
      <alignment horizontal="center" vertical="center" wrapText="1"/>
    </xf>
    <xf numFmtId="41" fontId="12" fillId="3" borderId="0" xfId="0" applyNumberFormat="1" applyFont="1" applyFill="1" applyBorder="1"/>
    <xf numFmtId="0" fontId="12" fillId="3" borderId="0" xfId="0" applyFont="1" applyFill="1" applyBorder="1"/>
    <xf numFmtId="0" fontId="8" fillId="3" borderId="0" xfId="20" applyFont="1" applyFill="1" applyBorder="1"/>
    <xf numFmtId="41" fontId="10" fillId="3" borderId="0" xfId="20" applyNumberFormat="1" applyFont="1" applyFill="1" applyBorder="1"/>
    <xf numFmtId="0" fontId="10" fillId="3" borderId="0" xfId="20" applyFont="1" applyFill="1" applyBorder="1"/>
    <xf numFmtId="0" fontId="10" fillId="3" borderId="0" xfId="20" applyFont="1" applyFill="1" applyBorder="1" applyAlignment="1">
      <alignment vertical="center" wrapText="1"/>
    </xf>
    <xf numFmtId="164" fontId="30" fillId="36" borderId="11" xfId="20" applyNumberFormat="1" applyFont="1" applyFill="1" applyBorder="1" applyAlignment="1">
      <alignment horizontal="center" vertical="center" wrapText="1"/>
    </xf>
    <xf numFmtId="41" fontId="10" fillId="3" borderId="0" xfId="20" applyNumberFormat="1" applyFont="1" applyFill="1" applyAlignment="1">
      <alignment wrapText="1"/>
    </xf>
    <xf numFmtId="41" fontId="8" fillId="37" borderId="11" xfId="20" applyNumberFormat="1" applyFont="1" applyFill="1" applyBorder="1" applyAlignment="1">
      <alignment horizontal="center" vertical="center" wrapText="1"/>
    </xf>
    <xf numFmtId="41" fontId="10" fillId="38" borderId="0" xfId="20" applyNumberFormat="1" applyFont="1" applyFill="1" applyBorder="1" applyAlignment="1">
      <alignment horizontal="center" vertical="center" wrapText="1"/>
    </xf>
    <xf numFmtId="0" fontId="10" fillId="3" borderId="0" xfId="0" applyFont="1" applyFill="1"/>
    <xf numFmtId="0" fontId="10" fillId="3" borderId="0" xfId="0" applyFont="1" applyFill="1" applyAlignment="1">
      <alignment horizontal="center"/>
    </xf>
    <xf numFmtId="41" fontId="10" fillId="3" borderId="0" xfId="0" applyNumberFormat="1" applyFont="1" applyFill="1"/>
    <xf numFmtId="41" fontId="8" fillId="3" borderId="0" xfId="0" applyNumberFormat="1" applyFont="1" applyFill="1"/>
    <xf numFmtId="41" fontId="10" fillId="3" borderId="0" xfId="0" applyNumberFormat="1" applyFont="1" applyFill="1" applyBorder="1"/>
    <xf numFmtId="41" fontId="10" fillId="3" borderId="1" xfId="0" applyNumberFormat="1" applyFont="1" applyFill="1" applyBorder="1"/>
    <xf numFmtId="41" fontId="8" fillId="3" borderId="1" xfId="0" applyNumberFormat="1" applyFont="1" applyFill="1" applyBorder="1"/>
    <xf numFmtId="41" fontId="10" fillId="38" borderId="0" xfId="0" applyNumberFormat="1" applyFont="1" applyFill="1"/>
    <xf numFmtId="0" fontId="8" fillId="3" borderId="0" xfId="0" applyFont="1" applyFill="1"/>
    <xf numFmtId="0" fontId="8" fillId="3" borderId="0" xfId="0" applyFont="1" applyFill="1" applyAlignment="1">
      <alignment horizontal="center"/>
    </xf>
    <xf numFmtId="41" fontId="10" fillId="38" borderId="1" xfId="0" applyNumberFormat="1" applyFont="1" applyFill="1" applyBorder="1"/>
    <xf numFmtId="41" fontId="8" fillId="3" borderId="0" xfId="0" applyNumberFormat="1" applyFont="1" applyFill="1" applyBorder="1"/>
    <xf numFmtId="0" fontId="31" fillId="3" borderId="0" xfId="0" applyFont="1" applyFill="1" applyAlignment="1">
      <alignment horizontal="left"/>
    </xf>
    <xf numFmtId="41" fontId="10" fillId="3" borderId="5" xfId="0" applyNumberFormat="1" applyFont="1" applyFill="1" applyBorder="1"/>
    <xf numFmtId="41" fontId="10" fillId="38" borderId="5" xfId="0" applyNumberFormat="1" applyFont="1" applyFill="1" applyBorder="1"/>
    <xf numFmtId="41" fontId="10" fillId="38" borderId="0" xfId="0" applyNumberFormat="1" applyFont="1" applyFill="1" applyBorder="1"/>
    <xf numFmtId="0" fontId="8" fillId="3" borderId="0" xfId="20" applyFont="1" applyFill="1" applyAlignment="1">
      <alignment vertical="center"/>
    </xf>
    <xf numFmtId="0" fontId="10" fillId="3" borderId="0" xfId="20" applyFont="1" applyFill="1" applyAlignment="1">
      <alignment vertical="center"/>
    </xf>
    <xf numFmtId="0" fontId="32" fillId="3" borderId="0" xfId="20" applyFont="1" applyFill="1" applyAlignment="1">
      <alignment horizontal="left" vertical="center"/>
    </xf>
    <xf numFmtId="164" fontId="30" fillId="36" borderId="4" xfId="20" applyNumberFormat="1" applyFont="1" applyFill="1" applyBorder="1" applyAlignment="1">
      <alignment horizontal="center" vertical="center" wrapText="1"/>
    </xf>
    <xf numFmtId="41" fontId="10" fillId="3" borderId="26" xfId="0" applyNumberFormat="1" applyFont="1" applyFill="1" applyBorder="1"/>
    <xf numFmtId="41" fontId="8" fillId="39" borderId="11" xfId="20" applyNumberFormat="1" applyFont="1" applyFill="1" applyBorder="1" applyAlignment="1">
      <alignment horizontal="center" vertical="center" wrapText="1"/>
    </xf>
    <xf numFmtId="41" fontId="8" fillId="39" borderId="0" xfId="0" applyNumberFormat="1" applyFont="1" applyFill="1"/>
    <xf numFmtId="41" fontId="8" fillId="39" borderId="1" xfId="0" applyNumberFormat="1" applyFont="1" applyFill="1" applyBorder="1"/>
    <xf numFmtId="41" fontId="8" fillId="39" borderId="5" xfId="0" applyNumberFormat="1" applyFont="1" applyFill="1" applyBorder="1"/>
    <xf numFmtId="41" fontId="8" fillId="39" borderId="0" xfId="0" applyNumberFormat="1" applyFont="1" applyFill="1" applyBorder="1"/>
    <xf numFmtId="0" fontId="33" fillId="3" borderId="0" xfId="0" applyFont="1" applyFill="1"/>
    <xf numFmtId="0" fontId="33" fillId="3" borderId="0" xfId="0" applyFont="1" applyFill="1" applyAlignment="1">
      <alignment horizontal="center"/>
    </xf>
    <xf numFmtId="0" fontId="34" fillId="35" borderId="11" xfId="0" applyFont="1" applyFill="1" applyBorder="1" applyAlignment="1">
      <alignment horizontal="center" vertical="center"/>
    </xf>
    <xf numFmtId="0" fontId="37" fillId="3" borderId="0" xfId="0" applyFont="1" applyFill="1" applyAlignment="1">
      <alignment horizontal="left"/>
    </xf>
    <xf numFmtId="41" fontId="10" fillId="35" borderId="0" xfId="0" applyNumberFormat="1" applyFont="1" applyFill="1"/>
    <xf numFmtId="41" fontId="10" fillId="35" borderId="0" xfId="20" applyNumberFormat="1" applyFont="1" applyFill="1" applyBorder="1" applyAlignment="1">
      <alignment horizontal="center" vertical="center" wrapText="1"/>
    </xf>
    <xf numFmtId="41" fontId="10" fillId="35" borderId="1" xfId="0" applyNumberFormat="1" applyFont="1" applyFill="1" applyBorder="1"/>
    <xf numFmtId="41" fontId="10" fillId="35" borderId="1" xfId="20" applyNumberFormat="1" applyFont="1" applyFill="1" applyBorder="1" applyAlignment="1">
      <alignment horizontal="center" vertical="center" wrapText="1"/>
    </xf>
    <xf numFmtId="41" fontId="8" fillId="35" borderId="1" xfId="0" applyNumberFormat="1" applyFont="1" applyFill="1" applyBorder="1"/>
    <xf numFmtId="41" fontId="8" fillId="35" borderId="0" xfId="0" applyNumberFormat="1" applyFont="1" applyFill="1"/>
    <xf numFmtId="41" fontId="10" fillId="35" borderId="5" xfId="0" applyNumberFormat="1" applyFont="1" applyFill="1" applyBorder="1"/>
    <xf numFmtId="41" fontId="8" fillId="35" borderId="0" xfId="0" applyNumberFormat="1" applyFont="1" applyFill="1" applyBorder="1"/>
    <xf numFmtId="41" fontId="10" fillId="35" borderId="0" xfId="0" applyNumberFormat="1" applyFont="1" applyFill="1" applyBorder="1"/>
    <xf numFmtId="0" fontId="38" fillId="3" borderId="0" xfId="0" applyFont="1" applyFill="1" applyAlignment="1">
      <alignment horizontal="right"/>
    </xf>
    <xf numFmtId="41" fontId="38" fillId="3" borderId="0" xfId="0" applyNumberFormat="1" applyFont="1" applyFill="1" applyAlignment="1">
      <alignment horizontal="right"/>
    </xf>
    <xf numFmtId="0" fontId="39" fillId="3" borderId="0" xfId="0" applyFont="1" applyFill="1" applyAlignment="1">
      <alignment horizontal="right"/>
    </xf>
    <xf numFmtId="0" fontId="10" fillId="3" borderId="0" xfId="20" applyFont="1" applyFill="1" applyAlignment="1">
      <alignment horizontal="center" vertical="center"/>
    </xf>
    <xf numFmtId="41" fontId="10" fillId="3" borderId="0" xfId="0" applyNumberFormat="1" applyFont="1" applyFill="1" applyAlignment="1"/>
    <xf numFmtId="0" fontId="41" fillId="3" borderId="0" xfId="20" applyFont="1" applyFill="1"/>
    <xf numFmtId="0" fontId="42" fillId="3" borderId="0" xfId="20" applyFont="1" applyFill="1" applyAlignment="1">
      <alignment horizontal="left"/>
    </xf>
    <xf numFmtId="0" fontId="43" fillId="3" borderId="0" xfId="20" applyFont="1" applyFill="1"/>
    <xf numFmtId="0" fontId="31" fillId="3" borderId="0" xfId="20" applyFont="1" applyFill="1" applyAlignment="1">
      <alignment vertical="center" wrapText="1"/>
    </xf>
    <xf numFmtId="0" fontId="31" fillId="3" borderId="0" xfId="20" applyFont="1" applyFill="1" applyAlignment="1">
      <alignment vertical="center"/>
    </xf>
    <xf numFmtId="0" fontId="31" fillId="3" borderId="0" xfId="0" applyFont="1" applyFill="1"/>
    <xf numFmtId="0" fontId="44" fillId="3" borderId="0" xfId="0" applyFont="1" applyFill="1"/>
    <xf numFmtId="0" fontId="45" fillId="3" borderId="0" xfId="0" applyFont="1" applyFill="1"/>
    <xf numFmtId="0" fontId="8" fillId="35" borderId="9" xfId="20" applyFont="1" applyFill="1" applyBorder="1" applyAlignment="1">
      <alignment horizontal="right" vertical="top"/>
    </xf>
    <xf numFmtId="41" fontId="10" fillId="35" borderId="8" xfId="0" applyNumberFormat="1" applyFont="1" applyFill="1" applyBorder="1" applyAlignment="1"/>
    <xf numFmtId="41" fontId="10" fillId="35" borderId="10" xfId="0" applyNumberFormat="1" applyFont="1" applyFill="1" applyBorder="1" applyAlignment="1"/>
    <xf numFmtId="0" fontId="8" fillId="3" borderId="27" xfId="20" applyFont="1" applyFill="1" applyBorder="1" applyAlignment="1">
      <alignment horizontal="right" vertical="top"/>
    </xf>
    <xf numFmtId="41" fontId="10" fillId="3" borderId="0" xfId="0" applyNumberFormat="1" applyFont="1" applyFill="1" applyBorder="1" applyAlignment="1"/>
    <xf numFmtId="41" fontId="10" fillId="3" borderId="28" xfId="0" applyNumberFormat="1" applyFont="1" applyFill="1" applyBorder="1" applyAlignment="1"/>
    <xf numFmtId="0" fontId="8" fillId="35" borderId="27" xfId="20" applyFont="1" applyFill="1" applyBorder="1" applyAlignment="1">
      <alignment horizontal="right" vertical="top"/>
    </xf>
    <xf numFmtId="0" fontId="40" fillId="35" borderId="0" xfId="20" applyFont="1" applyFill="1" applyBorder="1" applyAlignment="1">
      <alignment horizontal="right" vertical="center"/>
    </xf>
    <xf numFmtId="41" fontId="10" fillId="35" borderId="0" xfId="0" applyNumberFormat="1" applyFont="1" applyFill="1" applyBorder="1" applyAlignment="1"/>
    <xf numFmtId="41" fontId="10" fillId="41" borderId="0" xfId="20" applyNumberFormat="1" applyFont="1" applyFill="1" applyBorder="1" applyAlignment="1">
      <alignment horizontal="center" vertical="center" wrapText="1"/>
    </xf>
    <xf numFmtId="41" fontId="10" fillId="41" borderId="5" xfId="0" applyNumberFormat="1" applyFont="1" applyFill="1" applyBorder="1"/>
    <xf numFmtId="41" fontId="10" fillId="41" borderId="0" xfId="0" applyNumberFormat="1" applyFont="1" applyFill="1"/>
    <xf numFmtId="41" fontId="10" fillId="41" borderId="0" xfId="0" applyNumberFormat="1" applyFont="1" applyFill="1" applyBorder="1"/>
    <xf numFmtId="42" fontId="47" fillId="43" borderId="27" xfId="66" quotePrefix="1" applyNumberFormat="1" applyFont="1" applyFill="1" applyBorder="1"/>
    <xf numFmtId="42" fontId="47" fillId="43" borderId="28" xfId="66" quotePrefix="1" applyNumberFormat="1" applyFont="1" applyFill="1" applyBorder="1"/>
    <xf numFmtId="42" fontId="47" fillId="3" borderId="0" xfId="66" quotePrefix="1" applyNumberFormat="1" applyFont="1" applyFill="1"/>
    <xf numFmtId="41" fontId="47" fillId="43" borderId="27" xfId="66" quotePrefix="1" applyNumberFormat="1" applyFont="1" applyFill="1" applyBorder="1"/>
    <xf numFmtId="41" fontId="47" fillId="43" borderId="28" xfId="66" quotePrefix="1" applyNumberFormat="1" applyFont="1" applyFill="1" applyBorder="1"/>
    <xf numFmtId="41" fontId="47" fillId="3" borderId="0" xfId="66" quotePrefix="1" applyNumberFormat="1" applyFont="1" applyFill="1"/>
    <xf numFmtId="41" fontId="47" fillId="43" borderId="27" xfId="20" applyNumberFormat="1" applyFont="1" applyFill="1" applyBorder="1"/>
    <xf numFmtId="41" fontId="47" fillId="43" borderId="28" xfId="20" applyNumberFormat="1" applyFont="1" applyFill="1" applyBorder="1"/>
    <xf numFmtId="41" fontId="47" fillId="3" borderId="0" xfId="20" applyNumberFormat="1" applyFont="1" applyFill="1"/>
    <xf numFmtId="41" fontId="48" fillId="43" borderId="27" xfId="20" applyNumberFormat="1" applyFont="1" applyFill="1" applyBorder="1"/>
    <xf numFmtId="41" fontId="48" fillId="43" borderId="28" xfId="20" applyNumberFormat="1" applyFont="1" applyFill="1" applyBorder="1"/>
    <xf numFmtId="41" fontId="48" fillId="3" borderId="0" xfId="20" applyNumberFormat="1" applyFont="1" applyFill="1"/>
    <xf numFmtId="42" fontId="47" fillId="43" borderId="27" xfId="20" applyNumberFormat="1" applyFont="1" applyFill="1" applyBorder="1"/>
    <xf numFmtId="42" fontId="47" fillId="43" borderId="28" xfId="20" applyNumberFormat="1" applyFont="1" applyFill="1" applyBorder="1"/>
    <xf numFmtId="42" fontId="47" fillId="3" borderId="0" xfId="20" applyNumberFormat="1" applyFont="1" applyFill="1"/>
    <xf numFmtId="38" fontId="49" fillId="3" borderId="0" xfId="20" applyNumberFormat="1" applyFont="1" applyFill="1"/>
    <xf numFmtId="38" fontId="50" fillId="3" borderId="0" xfId="20" applyNumberFormat="1" applyFont="1" applyFill="1"/>
    <xf numFmtId="0" fontId="47" fillId="3" borderId="0" xfId="20" applyFont="1" applyFill="1"/>
    <xf numFmtId="0" fontId="51" fillId="3" borderId="0" xfId="20" applyFont="1" applyFill="1"/>
    <xf numFmtId="0" fontId="51" fillId="3" borderId="0" xfId="20" applyFont="1" applyFill="1" applyAlignment="1">
      <alignment horizontal="left"/>
    </xf>
    <xf numFmtId="0" fontId="47" fillId="3" borderId="0" xfId="20" applyFont="1" applyFill="1" applyAlignment="1">
      <alignment horizontal="left"/>
    </xf>
    <xf numFmtId="0" fontId="52" fillId="3" borderId="0" xfId="20" applyFont="1" applyFill="1" applyAlignment="1">
      <alignment horizontal="center"/>
    </xf>
    <xf numFmtId="49" fontId="51" fillId="3" borderId="0" xfId="20" applyNumberFormat="1" applyFont="1" applyFill="1"/>
    <xf numFmtId="49" fontId="47" fillId="3" borderId="0" xfId="20" applyNumberFormat="1" applyFont="1" applyFill="1"/>
    <xf numFmtId="0" fontId="51" fillId="42" borderId="11" xfId="20" applyFont="1" applyFill="1" applyBorder="1" applyAlignment="1">
      <alignment horizontal="center"/>
    </xf>
    <xf numFmtId="0" fontId="51" fillId="3" borderId="0" xfId="20" applyFont="1" applyFill="1" applyAlignment="1">
      <alignment horizontal="center"/>
    </xf>
    <xf numFmtId="0" fontId="47" fillId="43" borderId="9" xfId="20" applyFont="1" applyFill="1" applyBorder="1"/>
    <xf numFmtId="0" fontId="47" fillId="43" borderId="8" xfId="20" applyFont="1" applyFill="1" applyBorder="1"/>
    <xf numFmtId="0" fontId="47" fillId="43" borderId="10" xfId="20" applyFont="1" applyFill="1" applyBorder="1"/>
    <xf numFmtId="0" fontId="47" fillId="3" borderId="0" xfId="108" applyFont="1" applyFill="1"/>
    <xf numFmtId="49" fontId="47" fillId="3" borderId="0" xfId="20" applyNumberFormat="1" applyFont="1" applyFill="1" applyAlignment="1">
      <alignment horizontal="left" vertical="center"/>
    </xf>
    <xf numFmtId="42" fontId="53" fillId="43" borderId="27" xfId="20" applyNumberFormat="1" applyFont="1" applyFill="1" applyBorder="1"/>
    <xf numFmtId="42" fontId="53" fillId="43" borderId="28" xfId="20" applyNumberFormat="1" applyFont="1" applyFill="1" applyBorder="1"/>
    <xf numFmtId="42" fontId="53" fillId="3" borderId="0" xfId="20" applyNumberFormat="1" applyFont="1" applyFill="1"/>
    <xf numFmtId="41" fontId="51" fillId="3" borderId="0" xfId="20" applyNumberFormat="1" applyFont="1" applyFill="1"/>
    <xf numFmtId="0" fontId="47" fillId="3" borderId="0" xfId="20" applyFont="1" applyFill="1" applyAlignment="1">
      <alignment vertical="center"/>
    </xf>
    <xf numFmtId="42" fontId="51" fillId="43" borderId="27" xfId="20" applyNumberFormat="1" applyFont="1" applyFill="1" applyBorder="1"/>
    <xf numFmtId="42" fontId="51" fillId="43" borderId="28" xfId="20" applyNumberFormat="1" applyFont="1" applyFill="1" applyBorder="1"/>
    <xf numFmtId="42" fontId="51" fillId="3" borderId="0" xfId="20" applyNumberFormat="1" applyFont="1" applyFill="1"/>
    <xf numFmtId="38" fontId="51" fillId="3" borderId="0" xfId="20" applyNumberFormat="1" applyFont="1" applyFill="1"/>
    <xf numFmtId="38" fontId="51" fillId="43" borderId="27" xfId="20" applyNumberFormat="1" applyFont="1" applyFill="1" applyBorder="1"/>
    <xf numFmtId="38" fontId="51" fillId="43" borderId="28" xfId="20" applyNumberFormat="1" applyFont="1" applyFill="1" applyBorder="1"/>
    <xf numFmtId="38" fontId="47" fillId="3" borderId="0" xfId="20" applyNumberFormat="1" applyFont="1" applyFill="1" applyAlignment="1">
      <alignment horizontal="left"/>
    </xf>
    <xf numFmtId="41" fontId="54" fillId="43" borderId="27" xfId="20" applyNumberFormat="1" applyFont="1" applyFill="1" applyBorder="1"/>
    <xf numFmtId="42" fontId="55" fillId="3" borderId="0" xfId="20" applyNumberFormat="1" applyFont="1" applyFill="1"/>
    <xf numFmtId="38" fontId="51" fillId="3" borderId="0" xfId="20" applyNumberFormat="1" applyFont="1" applyFill="1" applyAlignment="1">
      <alignment horizontal="left"/>
    </xf>
    <xf numFmtId="42" fontId="56" fillId="43" borderId="27" xfId="20" applyNumberFormat="1" applyFont="1" applyFill="1" applyBorder="1"/>
    <xf numFmtId="42" fontId="57" fillId="3" borderId="0" xfId="20" applyNumberFormat="1" applyFont="1" applyFill="1"/>
    <xf numFmtId="0" fontId="47" fillId="43" borderId="3" xfId="20" applyFont="1" applyFill="1" applyBorder="1"/>
    <xf numFmtId="0" fontId="58" fillId="3" borderId="0" xfId="20" applyFont="1" applyFill="1" applyAlignment="1">
      <alignment vertical="center"/>
    </xf>
    <xf numFmtId="41" fontId="47" fillId="43" borderId="0" xfId="20" applyNumberFormat="1" applyFont="1" applyFill="1" applyBorder="1"/>
    <xf numFmtId="42" fontId="47" fillId="43" borderId="0" xfId="20" applyNumberFormat="1" applyFont="1" applyFill="1" applyBorder="1"/>
    <xf numFmtId="42" fontId="47" fillId="43" borderId="0" xfId="20" applyNumberFormat="1" applyFont="1" applyFill="1" applyBorder="1" applyAlignment="1">
      <alignment horizontal="right"/>
    </xf>
    <xf numFmtId="42" fontId="47" fillId="3" borderId="0" xfId="20" applyNumberFormat="1" applyFont="1" applyFill="1" applyBorder="1"/>
    <xf numFmtId="0" fontId="59" fillId="3" borderId="0" xfId="0" applyFont="1" applyFill="1"/>
    <xf numFmtId="0" fontId="47" fillId="35" borderId="9" xfId="20" applyFont="1" applyFill="1" applyBorder="1" applyAlignment="1">
      <alignment vertical="center"/>
    </xf>
    <xf numFmtId="41" fontId="47" fillId="35" borderId="8" xfId="20" applyNumberFormat="1" applyFont="1" applyFill="1" applyBorder="1" applyAlignment="1">
      <alignment vertical="center"/>
    </xf>
    <xf numFmtId="0" fontId="60" fillId="3" borderId="0" xfId="0" applyFont="1" applyFill="1"/>
    <xf numFmtId="0" fontId="51" fillId="35" borderId="27" xfId="20" applyFont="1" applyFill="1" applyBorder="1" applyAlignment="1">
      <alignment vertical="center"/>
    </xf>
    <xf numFmtId="42" fontId="51" fillId="35" borderId="29" xfId="20" applyNumberFormat="1" applyFont="1" applyFill="1" applyBorder="1" applyAlignment="1">
      <alignment vertical="center"/>
    </xf>
    <xf numFmtId="0" fontId="10" fillId="35" borderId="2" xfId="20" applyFont="1" applyFill="1" applyBorder="1" applyAlignment="1">
      <alignment vertical="center"/>
    </xf>
    <xf numFmtId="166" fontId="61" fillId="35" borderId="1" xfId="33" applyNumberFormat="1" applyFont="1" applyFill="1" applyBorder="1" applyAlignment="1">
      <alignment vertical="center"/>
    </xf>
    <xf numFmtId="0" fontId="10" fillId="35" borderId="1" xfId="20" applyFont="1" applyFill="1" applyBorder="1" applyAlignment="1">
      <alignment vertical="center"/>
    </xf>
    <xf numFmtId="41" fontId="10" fillId="35" borderId="1" xfId="20" applyNumberFormat="1" applyFont="1" applyFill="1" applyBorder="1" applyAlignment="1">
      <alignment vertical="center"/>
    </xf>
    <xf numFmtId="166" fontId="61" fillId="35" borderId="3" xfId="33" applyNumberFormat="1" applyFont="1" applyFill="1" applyBorder="1" applyAlignment="1">
      <alignment vertical="center"/>
    </xf>
    <xf numFmtId="166" fontId="61" fillId="3" borderId="0" xfId="33" applyNumberFormat="1" applyFont="1" applyFill="1" applyAlignment="1">
      <alignment vertical="center"/>
    </xf>
    <xf numFmtId="41" fontId="10" fillId="3" borderId="0" xfId="20" applyNumberFormat="1" applyFont="1" applyFill="1" applyAlignment="1">
      <alignment vertical="center"/>
    </xf>
    <xf numFmtId="0" fontId="51" fillId="35" borderId="0" xfId="20" applyFont="1" applyFill="1" applyBorder="1" applyAlignment="1">
      <alignment vertical="center"/>
    </xf>
    <xf numFmtId="41" fontId="51" fillId="35" borderId="0" xfId="20" applyNumberFormat="1" applyFont="1" applyFill="1" applyBorder="1" applyAlignment="1">
      <alignment vertical="center"/>
    </xf>
    <xf numFmtId="42" fontId="47" fillId="43" borderId="0" xfId="66" quotePrefix="1" applyNumberFormat="1" applyFont="1" applyFill="1" applyBorder="1"/>
    <xf numFmtId="41" fontId="47" fillId="43" borderId="0" xfId="66" quotePrefix="1" applyNumberFormat="1" applyFont="1" applyFill="1" applyBorder="1"/>
    <xf numFmtId="41" fontId="48" fillId="43" borderId="0" xfId="20" applyNumberFormat="1" applyFont="1" applyFill="1" applyBorder="1"/>
    <xf numFmtId="42" fontId="53" fillId="43" borderId="0" xfId="20" applyNumberFormat="1" applyFont="1" applyFill="1" applyBorder="1"/>
    <xf numFmtId="41" fontId="47" fillId="43" borderId="0" xfId="20" applyNumberFormat="1" applyFont="1" applyFill="1" applyBorder="1" applyAlignment="1">
      <alignment horizontal="right"/>
    </xf>
    <xf numFmtId="41" fontId="48" fillId="43" borderId="0" xfId="20" applyNumberFormat="1" applyFont="1" applyFill="1" applyBorder="1" applyAlignment="1">
      <alignment horizontal="right"/>
    </xf>
    <xf numFmtId="0" fontId="34" fillId="3" borderId="11" xfId="0" applyFont="1" applyFill="1" applyBorder="1" applyAlignment="1">
      <alignment horizontal="center" vertical="center"/>
    </xf>
    <xf numFmtId="41" fontId="33" fillId="35" borderId="11" xfId="0" applyNumberFormat="1" applyFont="1" applyFill="1" applyBorder="1"/>
    <xf numFmtId="41" fontId="34" fillId="35" borderId="11" xfId="0" applyNumberFormat="1" applyFont="1" applyFill="1" applyBorder="1"/>
    <xf numFmtId="42" fontId="10" fillId="3" borderId="0" xfId="0" applyNumberFormat="1" applyFont="1" applyFill="1"/>
    <xf numFmtId="42" fontId="8" fillId="3" borderId="26" xfId="0" applyNumberFormat="1" applyFont="1" applyFill="1" applyBorder="1"/>
    <xf numFmtId="42" fontId="8" fillId="3" borderId="0" xfId="0" applyNumberFormat="1" applyFont="1" applyFill="1"/>
    <xf numFmtId="41" fontId="47" fillId="35" borderId="5" xfId="20" applyNumberFormat="1" applyFont="1" applyFill="1" applyBorder="1" applyAlignment="1">
      <alignment vertical="center"/>
    </xf>
    <xf numFmtId="41" fontId="47" fillId="35" borderId="7" xfId="20" applyNumberFormat="1" applyFont="1" applyFill="1" applyBorder="1" applyAlignment="1">
      <alignment vertical="center"/>
    </xf>
    <xf numFmtId="42" fontId="10" fillId="38" borderId="0" xfId="20" applyNumberFormat="1" applyFont="1" applyFill="1" applyBorder="1" applyAlignment="1">
      <alignment horizontal="center" vertical="center" wrapText="1"/>
    </xf>
    <xf numFmtId="42" fontId="10" fillId="3" borderId="0" xfId="0" applyNumberFormat="1" applyFont="1" applyFill="1" applyBorder="1"/>
    <xf numFmtId="42" fontId="8" fillId="39" borderId="0" xfId="0" applyNumberFormat="1" applyFont="1" applyFill="1"/>
    <xf numFmtId="42" fontId="10" fillId="35" borderId="0" xfId="0" applyNumberFormat="1" applyFont="1" applyFill="1"/>
    <xf numFmtId="42" fontId="10" fillId="35" borderId="0" xfId="20" applyNumberFormat="1" applyFont="1" applyFill="1" applyBorder="1" applyAlignment="1">
      <alignment horizontal="center" vertical="center" wrapText="1"/>
    </xf>
    <xf numFmtId="42" fontId="8" fillId="38" borderId="26" xfId="0" applyNumberFormat="1" applyFont="1" applyFill="1" applyBorder="1"/>
    <xf numFmtId="42" fontId="8" fillId="3" borderId="0" xfId="0" applyNumberFormat="1" applyFont="1" applyFill="1" applyBorder="1"/>
    <xf numFmtId="42" fontId="8" fillId="39" borderId="26" xfId="0" applyNumberFormat="1" applyFont="1" applyFill="1" applyBorder="1"/>
    <xf numFmtId="42" fontId="8" fillId="35" borderId="26" xfId="0" applyNumberFormat="1" applyFont="1" applyFill="1" applyBorder="1"/>
    <xf numFmtId="42" fontId="10" fillId="3" borderId="26" xfId="0" applyNumberFormat="1" applyFont="1" applyFill="1" applyBorder="1"/>
    <xf numFmtId="42" fontId="10" fillId="35" borderId="26" xfId="0" applyNumberFormat="1" applyFont="1" applyFill="1" applyBorder="1"/>
    <xf numFmtId="41" fontId="10" fillId="41" borderId="1" xfId="0" applyNumberFormat="1" applyFont="1" applyFill="1" applyBorder="1"/>
    <xf numFmtId="0" fontId="63" fillId="3" borderId="0" xfId="20" applyFont="1" applyFill="1"/>
    <xf numFmtId="0" fontId="64" fillId="3" borderId="0" xfId="20" applyFont="1" applyFill="1" applyAlignment="1">
      <alignment horizontal="left"/>
    </xf>
    <xf numFmtId="0" fontId="10" fillId="3" borderId="0" xfId="0" applyNumberFormat="1" applyFont="1" applyFill="1" applyAlignment="1">
      <alignment horizontal="center"/>
    </xf>
    <xf numFmtId="41" fontId="8" fillId="3" borderId="0" xfId="0" applyNumberFormat="1" applyFont="1" applyFill="1" applyAlignment="1">
      <alignment horizontal="center"/>
    </xf>
    <xf numFmtId="0" fontId="10" fillId="3" borderId="0" xfId="0" applyFont="1" applyFill="1" applyAlignment="1">
      <alignment horizontal="right" indent="1"/>
    </xf>
    <xf numFmtId="0" fontId="8" fillId="3" borderId="0" xfId="0" applyFont="1" applyFill="1" applyAlignment="1">
      <alignment horizontal="right" indent="1"/>
    </xf>
    <xf numFmtId="10" fontId="30" fillId="42" borderId="0" xfId="20" applyNumberFormat="1" applyFont="1" applyFill="1" applyBorder="1" applyAlignment="1">
      <alignment horizontal="center" vertical="center" wrapText="1"/>
    </xf>
    <xf numFmtId="9" fontId="8" fillId="37" borderId="0" xfId="20" applyNumberFormat="1" applyFont="1" applyFill="1" applyBorder="1" applyAlignment="1">
      <alignment horizontal="center" vertical="center" wrapText="1"/>
    </xf>
    <xf numFmtId="49" fontId="10" fillId="3" borderId="0" xfId="0" applyNumberFormat="1" applyFont="1" applyFill="1" applyAlignment="1">
      <alignment horizontal="center"/>
    </xf>
    <xf numFmtId="0" fontId="10" fillId="3" borderId="0" xfId="0" quotePrefix="1" applyNumberFormat="1" applyFont="1" applyFill="1" applyAlignment="1">
      <alignment horizontal="center"/>
    </xf>
    <xf numFmtId="0" fontId="33" fillId="3" borderId="0" xfId="0" applyNumberFormat="1" applyFont="1" applyFill="1" applyAlignment="1">
      <alignment horizontal="center"/>
    </xf>
    <xf numFmtId="0" fontId="8" fillId="0" borderId="0" xfId="20" applyFont="1" applyFill="1" applyAlignment="1">
      <alignment horizontal="right" vertical="top"/>
    </xf>
    <xf numFmtId="0" fontId="40" fillId="3" borderId="0" xfId="20" applyFont="1" applyFill="1" applyBorder="1" applyAlignment="1">
      <alignment horizontal="right" vertical="center"/>
    </xf>
    <xf numFmtId="10" fontId="40" fillId="3" borderId="0" xfId="33" applyNumberFormat="1" applyFont="1" applyFill="1" applyBorder="1" applyAlignment="1">
      <alignment horizontal="right" vertical="center"/>
    </xf>
    <xf numFmtId="10" fontId="10" fillId="3" borderId="0" xfId="33" applyNumberFormat="1" applyFont="1" applyFill="1" applyBorder="1" applyAlignment="1"/>
    <xf numFmtId="10" fontId="40" fillId="3" borderId="28" xfId="33" applyNumberFormat="1" applyFont="1" applyFill="1" applyBorder="1" applyAlignment="1">
      <alignment horizontal="right" vertical="center"/>
    </xf>
    <xf numFmtId="10" fontId="10" fillId="35" borderId="0" xfId="0" applyNumberFormat="1" applyFont="1" applyFill="1" applyBorder="1" applyAlignment="1"/>
    <xf numFmtId="10" fontId="10" fillId="35" borderId="28" xfId="0" applyNumberFormat="1" applyFont="1" applyFill="1" applyBorder="1" applyAlignment="1"/>
    <xf numFmtId="0" fontId="8" fillId="35" borderId="2" xfId="20" applyFont="1" applyFill="1" applyBorder="1" applyAlignment="1">
      <alignment horizontal="right" vertical="top"/>
    </xf>
    <xf numFmtId="0" fontId="40" fillId="35" borderId="1" xfId="20" applyFont="1" applyFill="1" applyBorder="1" applyAlignment="1">
      <alignment horizontal="right" vertical="center"/>
    </xf>
    <xf numFmtId="41" fontId="10" fillId="35" borderId="1" xfId="0" applyNumberFormat="1" applyFont="1" applyFill="1" applyBorder="1" applyAlignment="1"/>
    <xf numFmtId="10" fontId="40" fillId="35" borderId="1" xfId="33" applyNumberFormat="1" applyFont="1" applyFill="1" applyBorder="1" applyAlignment="1">
      <alignment horizontal="right" vertical="center"/>
    </xf>
    <xf numFmtId="10" fontId="10" fillId="35" borderId="1" xfId="33" applyNumberFormat="1" applyFont="1" applyFill="1" applyBorder="1" applyAlignment="1"/>
    <xf numFmtId="10" fontId="40" fillId="35" borderId="3" xfId="33" applyNumberFormat="1" applyFont="1" applyFill="1" applyBorder="1" applyAlignment="1">
      <alignment horizontal="right" vertical="center"/>
    </xf>
    <xf numFmtId="9" fontId="67" fillId="3" borderId="0" xfId="33" applyFont="1" applyFill="1"/>
    <xf numFmtId="9" fontId="10" fillId="38" borderId="0" xfId="33" applyFont="1" applyFill="1" applyBorder="1" applyAlignment="1">
      <alignment horizontal="center" vertical="center" wrapText="1"/>
    </xf>
    <xf numFmtId="0" fontId="30" fillId="36" borderId="30" xfId="20" applyNumberFormat="1" applyFont="1" applyFill="1" applyBorder="1" applyAlignment="1">
      <alignment horizontal="center" vertical="center" wrapText="1"/>
    </xf>
    <xf numFmtId="166" fontId="50" fillId="3" borderId="0" xfId="33" applyNumberFormat="1" applyFont="1" applyFill="1" applyAlignment="1">
      <alignment horizontal="center"/>
    </xf>
    <xf numFmtId="0" fontId="51" fillId="3" borderId="0" xfId="20" applyFont="1" applyFill="1" applyAlignment="1"/>
    <xf numFmtId="0" fontId="69" fillId="36" borderId="11" xfId="20" applyFont="1" applyFill="1" applyBorder="1" applyAlignment="1">
      <alignment horizontal="center"/>
    </xf>
    <xf numFmtId="0" fontId="47" fillId="3" borderId="0" xfId="20" applyFont="1" applyFill="1" applyAlignment="1"/>
    <xf numFmtId="0" fontId="52" fillId="3" borderId="0" xfId="20" applyFont="1" applyFill="1" applyBorder="1" applyAlignment="1">
      <alignment horizontal="left"/>
    </xf>
    <xf numFmtId="0" fontId="52" fillId="3" borderId="0" xfId="20" applyFont="1" applyFill="1" applyAlignment="1">
      <alignment horizontal="left"/>
    </xf>
    <xf numFmtId="0" fontId="52" fillId="3" borderId="0" xfId="20" applyFont="1" applyFill="1"/>
    <xf numFmtId="0" fontId="52" fillId="3" borderId="0" xfId="20" applyFont="1" applyFill="1" applyBorder="1"/>
    <xf numFmtId="41" fontId="52" fillId="3" borderId="11" xfId="20" applyNumberFormat="1" applyFont="1" applyFill="1" applyBorder="1"/>
    <xf numFmtId="38" fontId="51" fillId="3" borderId="0" xfId="20" applyNumberFormat="1" applyFont="1" applyFill="1" applyBorder="1"/>
    <xf numFmtId="42" fontId="56" fillId="43" borderId="0" xfId="20" applyNumberFormat="1" applyFont="1" applyFill="1" applyBorder="1"/>
    <xf numFmtId="38" fontId="51" fillId="43" borderId="0" xfId="20" applyNumberFormat="1" applyFont="1" applyFill="1" applyBorder="1"/>
    <xf numFmtId="42" fontId="56" fillId="3" borderId="0" xfId="20" applyNumberFormat="1" applyFont="1" applyFill="1" applyBorder="1"/>
    <xf numFmtId="42" fontId="51" fillId="43" borderId="0" xfId="20" applyNumberFormat="1" applyFont="1" applyFill="1" applyBorder="1"/>
    <xf numFmtId="41" fontId="54" fillId="43" borderId="0" xfId="20" applyNumberFormat="1" applyFont="1" applyFill="1" applyBorder="1"/>
    <xf numFmtId="42" fontId="56" fillId="43" borderId="2" xfId="20" applyNumberFormat="1" applyFont="1" applyFill="1" applyBorder="1"/>
    <xf numFmtId="42" fontId="56" fillId="43" borderId="1" xfId="20" applyNumberFormat="1" applyFont="1" applyFill="1" applyBorder="1"/>
    <xf numFmtId="38" fontId="51" fillId="43" borderId="3" xfId="20" applyNumberFormat="1" applyFont="1" applyFill="1" applyBorder="1"/>
    <xf numFmtId="0" fontId="65" fillId="3" borderId="0" xfId="20" applyFont="1" applyFill="1"/>
    <xf numFmtId="0" fontId="47" fillId="3" borderId="0" xfId="20" applyFont="1" applyFill="1" applyAlignment="1">
      <alignment horizontal="left" indent="1"/>
    </xf>
    <xf numFmtId="166" fontId="50" fillId="43" borderId="2" xfId="33" applyNumberFormat="1" applyFont="1" applyFill="1" applyBorder="1" applyAlignment="1">
      <alignment horizontal="center"/>
    </xf>
    <xf numFmtId="166" fontId="50" fillId="43" borderId="1" xfId="33" applyNumberFormat="1" applyFont="1" applyFill="1" applyBorder="1" applyAlignment="1">
      <alignment horizontal="center"/>
    </xf>
    <xf numFmtId="166" fontId="50" fillId="43" borderId="3" xfId="33" applyNumberFormat="1" applyFont="1" applyFill="1" applyBorder="1" applyAlignment="1">
      <alignment horizontal="center"/>
    </xf>
    <xf numFmtId="166" fontId="49" fillId="43" borderId="3" xfId="33" applyNumberFormat="1" applyFont="1" applyFill="1" applyBorder="1"/>
    <xf numFmtId="41" fontId="10" fillId="43" borderId="0" xfId="0" applyNumberFormat="1" applyFont="1" applyFill="1"/>
    <xf numFmtId="42" fontId="10" fillId="43" borderId="0" xfId="0" applyNumberFormat="1" applyFont="1" applyFill="1"/>
    <xf numFmtId="41" fontId="10" fillId="43" borderId="5" xfId="0" applyNumberFormat="1" applyFont="1" applyFill="1" applyBorder="1"/>
    <xf numFmtId="41" fontId="10" fillId="43" borderId="0" xfId="0" applyNumberFormat="1" applyFont="1" applyFill="1" applyBorder="1"/>
    <xf numFmtId="41" fontId="8" fillId="43" borderId="1" xfId="0" applyNumberFormat="1" applyFont="1" applyFill="1" applyBorder="1"/>
    <xf numFmtId="41" fontId="8" fillId="43" borderId="0" xfId="0" applyNumberFormat="1" applyFont="1" applyFill="1"/>
    <xf numFmtId="41" fontId="8" fillId="43" borderId="0" xfId="0" applyNumberFormat="1" applyFont="1" applyFill="1" applyBorder="1"/>
    <xf numFmtId="42" fontId="8" fillId="43" borderId="26" xfId="0" applyNumberFormat="1" applyFont="1" applyFill="1" applyBorder="1"/>
    <xf numFmtId="43" fontId="73" fillId="3" borderId="0" xfId="20" applyNumberFormat="1" applyFont="1" applyFill="1" applyAlignment="1">
      <alignment horizontal="right"/>
    </xf>
    <xf numFmtId="43" fontId="74" fillId="3" borderId="0" xfId="20" applyNumberFormat="1" applyFont="1" applyFill="1" applyAlignment="1">
      <alignment horizontal="right"/>
    </xf>
    <xf numFmtId="43" fontId="74" fillId="3" borderId="0" xfId="20" applyNumberFormat="1" applyFont="1" applyFill="1" applyAlignment="1">
      <alignment horizontal="right" vertical="center" wrapText="1"/>
    </xf>
    <xf numFmtId="43" fontId="74" fillId="3" borderId="0" xfId="0" applyNumberFormat="1" applyFont="1" applyFill="1" applyAlignment="1">
      <alignment horizontal="right"/>
    </xf>
    <xf numFmtId="43" fontId="75" fillId="3" borderId="0" xfId="0" applyNumberFormat="1" applyFont="1" applyFill="1" applyAlignment="1">
      <alignment horizontal="right"/>
    </xf>
    <xf numFmtId="49" fontId="76" fillId="46" borderId="33" xfId="0" applyNumberFormat="1" applyFont="1" applyFill="1" applyBorder="1"/>
    <xf numFmtId="49" fontId="76" fillId="46" borderId="34" xfId="0" applyNumberFormat="1" applyFont="1" applyFill="1" applyBorder="1"/>
    <xf numFmtId="49" fontId="76" fillId="0" borderId="34" xfId="0" applyNumberFormat="1" applyFont="1" applyBorder="1"/>
    <xf numFmtId="49" fontId="77" fillId="46" borderId="35" xfId="0" applyNumberFormat="1" applyFont="1" applyFill="1" applyBorder="1" applyAlignment="1">
      <alignment horizontal="center"/>
    </xf>
    <xf numFmtId="49" fontId="77" fillId="46" borderId="11" xfId="0" applyNumberFormat="1" applyFont="1" applyFill="1" applyBorder="1" applyAlignment="1">
      <alignment horizontal="center"/>
    </xf>
    <xf numFmtId="49" fontId="77" fillId="0" borderId="11" xfId="0" applyNumberFormat="1" applyFont="1" applyBorder="1" applyAlignment="1">
      <alignment horizontal="center"/>
    </xf>
    <xf numFmtId="49" fontId="76" fillId="0" borderId="11" xfId="0" applyNumberFormat="1" applyFont="1" applyBorder="1"/>
    <xf numFmtId="49" fontId="77" fillId="46" borderId="36" xfId="0" applyNumberFormat="1" applyFont="1" applyFill="1" applyBorder="1" applyAlignment="1">
      <alignment wrapText="1"/>
    </xf>
    <xf numFmtId="49" fontId="77" fillId="46" borderId="37" xfId="0" applyNumberFormat="1" applyFont="1" applyFill="1" applyBorder="1" applyAlignment="1">
      <alignment wrapText="1"/>
    </xf>
    <xf numFmtId="49" fontId="77" fillId="0" borderId="37" xfId="0" applyNumberFormat="1" applyFont="1" applyBorder="1" applyAlignment="1">
      <alignment wrapText="1"/>
    </xf>
    <xf numFmtId="49" fontId="3" fillId="46" borderId="32" xfId="0" applyNumberFormat="1" applyFont="1" applyFill="1" applyBorder="1"/>
    <xf numFmtId="49" fontId="3" fillId="0" borderId="11" xfId="0" applyNumberFormat="1" applyFont="1" applyBorder="1"/>
    <xf numFmtId="49" fontId="3" fillId="46" borderId="11" xfId="0" applyNumberFormat="1" applyFont="1" applyFill="1" applyBorder="1"/>
    <xf numFmtId="49" fontId="79" fillId="0" borderId="34" xfId="0" applyNumberFormat="1" applyFont="1" applyBorder="1"/>
    <xf numFmtId="49" fontId="79" fillId="0" borderId="11" xfId="0" applyNumberFormat="1" applyFont="1" applyBorder="1"/>
    <xf numFmtId="49" fontId="80" fillId="0" borderId="37" xfId="0" applyNumberFormat="1" applyFont="1" applyBorder="1" applyAlignment="1">
      <alignment wrapText="1"/>
    </xf>
    <xf numFmtId="49" fontId="80" fillId="0" borderId="11" xfId="0" applyNumberFormat="1" applyFont="1" applyBorder="1"/>
    <xf numFmtId="168" fontId="8" fillId="3" borderId="0" xfId="109" applyNumberFormat="1" applyFont="1" applyFill="1"/>
    <xf numFmtId="168" fontId="8" fillId="3" borderId="0" xfId="109" applyNumberFormat="1" applyFont="1" applyFill="1" applyAlignment="1">
      <alignment horizontal="center"/>
    </xf>
    <xf numFmtId="168" fontId="33" fillId="3" borderId="0" xfId="109" applyNumberFormat="1" applyFont="1" applyFill="1"/>
    <xf numFmtId="168" fontId="34" fillId="35" borderId="11" xfId="109" applyNumberFormat="1" applyFont="1" applyFill="1" applyBorder="1" applyAlignment="1">
      <alignment horizontal="center" vertical="center"/>
    </xf>
    <xf numFmtId="168" fontId="33" fillId="3" borderId="0" xfId="109" applyNumberFormat="1" applyFont="1" applyFill="1" applyBorder="1"/>
    <xf numFmtId="168" fontId="34" fillId="3" borderId="0" xfId="109" applyNumberFormat="1" applyFont="1" applyFill="1" applyAlignment="1">
      <alignment horizontal="right"/>
    </xf>
    <xf numFmtId="168" fontId="0" fillId="3" borderId="0" xfId="109" applyNumberFormat="1" applyFont="1" applyFill="1"/>
    <xf numFmtId="44" fontId="70" fillId="3" borderId="0" xfId="32" applyFont="1" applyFill="1"/>
    <xf numFmtId="44" fontId="70" fillId="3" borderId="0" xfId="32" applyFont="1" applyFill="1" applyAlignment="1">
      <alignment wrapText="1"/>
    </xf>
    <xf numFmtId="44" fontId="70" fillId="3" borderId="0" xfId="32" applyFont="1" applyFill="1" applyAlignment="1">
      <alignment horizontal="center"/>
    </xf>
    <xf numFmtId="44" fontId="71" fillId="3" borderId="0" xfId="32" applyFont="1" applyFill="1"/>
    <xf numFmtId="44" fontId="70" fillId="45" borderId="11" xfId="32" applyFont="1" applyFill="1" applyBorder="1" applyAlignment="1">
      <alignment horizontal="center" vertical="center"/>
    </xf>
    <xf numFmtId="44" fontId="72" fillId="3" borderId="0" xfId="32" applyFont="1" applyFill="1"/>
    <xf numFmtId="49" fontId="8" fillId="3" borderId="0" xfId="20" applyNumberFormat="1" applyFont="1" applyFill="1" applyAlignment="1">
      <alignment horizontal="center"/>
    </xf>
    <xf numFmtId="49" fontId="10" fillId="3" borderId="0" xfId="20" applyNumberFormat="1" applyFont="1" applyFill="1" applyAlignment="1">
      <alignment horizontal="center"/>
    </xf>
    <xf numFmtId="49" fontId="33" fillId="3" borderId="0" xfId="0" applyNumberFormat="1" applyFont="1" applyFill="1" applyAlignment="1">
      <alignment horizontal="center"/>
    </xf>
    <xf numFmtId="49" fontId="34" fillId="35" borderId="11" xfId="0" applyNumberFormat="1" applyFont="1" applyFill="1" applyBorder="1" applyAlignment="1">
      <alignment horizontal="center" vertical="center"/>
    </xf>
    <xf numFmtId="49" fontId="33" fillId="3" borderId="0" xfId="0" applyNumberFormat="1" applyFont="1" applyFill="1" applyBorder="1" applyAlignment="1">
      <alignment horizontal="center"/>
    </xf>
    <xf numFmtId="49" fontId="0" fillId="3" borderId="0" xfId="0" applyNumberFormat="1" applyFill="1" applyAlignment="1">
      <alignment horizontal="center"/>
    </xf>
    <xf numFmtId="49" fontId="8" fillId="3" borderId="0" xfId="20" applyNumberFormat="1" applyFont="1" applyFill="1"/>
    <xf numFmtId="49" fontId="8" fillId="3" borderId="0" xfId="20" applyNumberFormat="1" applyFont="1" applyFill="1" applyAlignment="1">
      <alignment horizontal="left"/>
    </xf>
    <xf numFmtId="49" fontId="10" fillId="3" borderId="0" xfId="20" applyNumberFormat="1" applyFont="1" applyFill="1"/>
    <xf numFmtId="49" fontId="33" fillId="3" borderId="0" xfId="0" applyNumberFormat="1" applyFont="1" applyFill="1"/>
    <xf numFmtId="49" fontId="33" fillId="3" borderId="0" xfId="0" applyNumberFormat="1" applyFont="1" applyFill="1" applyBorder="1"/>
    <xf numFmtId="49" fontId="33" fillId="3" borderId="0" xfId="0" applyNumberFormat="1" applyFont="1" applyFill="1" applyAlignment="1">
      <alignment horizontal="left"/>
    </xf>
    <xf numFmtId="49" fontId="0" fillId="3" borderId="0" xfId="0" applyNumberFormat="1" applyFill="1"/>
    <xf numFmtId="0" fontId="33" fillId="3" borderId="0" xfId="0" applyFont="1" applyFill="1" applyProtection="1"/>
    <xf numFmtId="0" fontId="34" fillId="3" borderId="0" xfId="0" applyFont="1" applyFill="1" applyAlignment="1" applyProtection="1">
      <alignment horizontal="center"/>
    </xf>
    <xf numFmtId="0" fontId="33" fillId="3" borderId="0" xfId="0" applyFont="1" applyFill="1" applyAlignment="1" applyProtection="1">
      <alignment horizontal="center"/>
    </xf>
    <xf numFmtId="44" fontId="33" fillId="3" borderId="0" xfId="32" applyFont="1" applyFill="1" applyBorder="1" applyProtection="1"/>
    <xf numFmtId="0" fontId="33" fillId="3" borderId="0" xfId="0" applyFont="1" applyFill="1" applyBorder="1" applyProtection="1"/>
    <xf numFmtId="0" fontId="33" fillId="3" borderId="0" xfId="0" applyFont="1" applyFill="1" applyBorder="1" applyAlignment="1" applyProtection="1">
      <alignment horizontal="center"/>
    </xf>
    <xf numFmtId="0" fontId="34" fillId="3" borderId="0" xfId="0" applyFont="1" applyFill="1" applyAlignment="1" applyProtection="1">
      <alignment horizontal="left" indent="2"/>
    </xf>
    <xf numFmtId="44" fontId="34" fillId="3" borderId="0" xfId="0" applyNumberFormat="1" applyFont="1" applyFill="1" applyBorder="1" applyProtection="1"/>
    <xf numFmtId="44" fontId="34" fillId="3" borderId="0" xfId="0" applyNumberFormat="1" applyFont="1" applyFill="1" applyProtection="1"/>
    <xf numFmtId="0" fontId="34" fillId="3" borderId="0" xfId="0" applyFont="1" applyFill="1" applyProtection="1"/>
    <xf numFmtId="10" fontId="10" fillId="3" borderId="11" xfId="33" applyNumberFormat="1" applyFont="1" applyFill="1" applyBorder="1" applyProtection="1"/>
    <xf numFmtId="10" fontId="33" fillId="3" borderId="0" xfId="33" applyNumberFormat="1" applyFont="1" applyFill="1" applyBorder="1" applyProtection="1"/>
    <xf numFmtId="10" fontId="33" fillId="3" borderId="11" xfId="0" applyNumberFormat="1" applyFont="1" applyFill="1" applyBorder="1" applyProtection="1"/>
    <xf numFmtId="10" fontId="33" fillId="3" borderId="0" xfId="0" applyNumberFormat="1" applyFont="1" applyFill="1" applyBorder="1" applyProtection="1"/>
    <xf numFmtId="0" fontId="36" fillId="3" borderId="0" xfId="0" applyFont="1" applyFill="1" applyProtection="1"/>
    <xf numFmtId="0" fontId="36" fillId="3" borderId="0" xfId="0" applyFont="1" applyFill="1" applyAlignment="1" applyProtection="1">
      <alignment horizontal="center"/>
    </xf>
    <xf numFmtId="0" fontId="66" fillId="3" borderId="0" xfId="0" applyFont="1" applyFill="1" applyProtection="1"/>
    <xf numFmtId="0" fontId="66" fillId="3" borderId="0" xfId="0" applyFont="1" applyFill="1" applyAlignment="1" applyProtection="1">
      <alignment horizontal="center"/>
    </xf>
    <xf numFmtId="10" fontId="66" fillId="3" borderId="11" xfId="0" applyNumberFormat="1" applyFont="1" applyFill="1" applyBorder="1" applyProtection="1"/>
    <xf numFmtId="44" fontId="33" fillId="3" borderId="0" xfId="32" applyFont="1" applyFill="1" applyProtection="1"/>
    <xf numFmtId="44" fontId="66" fillId="3" borderId="0" xfId="32" applyFont="1" applyFill="1" applyProtection="1"/>
    <xf numFmtId="0" fontId="33" fillId="3" borderId="11" xfId="33" applyNumberFormat="1" applyFont="1" applyFill="1" applyBorder="1" applyProtection="1"/>
    <xf numFmtId="167" fontId="33" fillId="3" borderId="11" xfId="33" applyNumberFormat="1" applyFont="1" applyFill="1" applyBorder="1" applyProtection="1"/>
    <xf numFmtId="10" fontId="30" fillId="42" borderId="0" xfId="33" applyNumberFormat="1" applyFont="1" applyFill="1" applyBorder="1" applyAlignment="1">
      <alignment horizontal="center" vertical="center" wrapText="1"/>
    </xf>
    <xf numFmtId="170" fontId="8" fillId="3" borderId="0" xfId="20" applyNumberFormat="1" applyFont="1" applyFill="1" applyAlignment="1">
      <alignment wrapText="1"/>
    </xf>
    <xf numFmtId="170" fontId="8" fillId="3" borderId="0" xfId="20" applyNumberFormat="1" applyFont="1" applyFill="1"/>
    <xf numFmtId="170" fontId="8" fillId="3" borderId="0" xfId="20" applyNumberFormat="1" applyFont="1" applyFill="1" applyAlignment="1">
      <alignment horizontal="center"/>
    </xf>
    <xf numFmtId="170" fontId="8" fillId="39" borderId="11" xfId="20" applyNumberFormat="1" applyFont="1" applyFill="1" applyBorder="1" applyAlignment="1">
      <alignment horizontal="center" vertical="center" wrapText="1"/>
    </xf>
    <xf numFmtId="170" fontId="8" fillId="39" borderId="0" xfId="0" applyNumberFormat="1" applyFont="1" applyFill="1"/>
    <xf numFmtId="170" fontId="8" fillId="39" borderId="5" xfId="0" applyNumberFormat="1" applyFont="1" applyFill="1" applyBorder="1"/>
    <xf numFmtId="170" fontId="8" fillId="39" borderId="0" xfId="0" applyNumberFormat="1" applyFont="1" applyFill="1" applyBorder="1"/>
    <xf numFmtId="170" fontId="8" fillId="39" borderId="1" xfId="0" applyNumberFormat="1" applyFont="1" applyFill="1" applyBorder="1"/>
    <xf numFmtId="170" fontId="8" fillId="39" borderId="26" xfId="0" applyNumberFormat="1" applyFont="1" applyFill="1" applyBorder="1"/>
    <xf numFmtId="170" fontId="8" fillId="3" borderId="0" xfId="0" applyNumberFormat="1" applyFont="1" applyFill="1"/>
    <xf numFmtId="170" fontId="6" fillId="3" borderId="0" xfId="0" applyNumberFormat="1" applyFont="1" applyFill="1"/>
    <xf numFmtId="170" fontId="8" fillId="39" borderId="0" xfId="20" applyNumberFormat="1" applyFont="1" applyFill="1" applyBorder="1" applyAlignment="1">
      <alignment horizontal="center" vertical="center" wrapText="1"/>
    </xf>
    <xf numFmtId="41" fontId="10" fillId="3" borderId="0" xfId="32" applyNumberFormat="1" applyFont="1" applyFill="1" applyBorder="1" applyProtection="1"/>
    <xf numFmtId="41" fontId="8" fillId="3" borderId="0" xfId="0" applyNumberFormat="1" applyFont="1" applyFill="1" applyBorder="1" applyProtection="1"/>
    <xf numFmtId="41" fontId="8" fillId="3" borderId="0" xfId="0" applyNumberFormat="1" applyFont="1" applyFill="1" applyProtection="1"/>
    <xf numFmtId="41" fontId="10" fillId="3" borderId="0" xfId="0" applyNumberFormat="1" applyFont="1" applyFill="1" applyAlignment="1" applyProtection="1">
      <alignment horizontal="right"/>
    </xf>
    <xf numFmtId="41" fontId="10" fillId="3" borderId="0" xfId="0" applyNumberFormat="1" applyFont="1" applyFill="1" applyProtection="1"/>
    <xf numFmtId="169" fontId="33" fillId="3" borderId="0" xfId="0" applyNumberFormat="1" applyFont="1" applyFill="1" applyAlignment="1" applyProtection="1">
      <alignment horizontal="center"/>
    </xf>
    <xf numFmtId="169" fontId="66" fillId="3" borderId="0" xfId="0" applyNumberFormat="1" applyFont="1" applyFill="1" applyAlignment="1" applyProtection="1">
      <alignment horizontal="center"/>
    </xf>
    <xf numFmtId="0" fontId="83" fillId="0" borderId="0" xfId="0" applyFont="1"/>
    <xf numFmtId="168" fontId="0" fillId="0" borderId="0" xfId="109" applyNumberFormat="1" applyFont="1"/>
    <xf numFmtId="168" fontId="83" fillId="0" borderId="0" xfId="109" applyNumberFormat="1" applyFont="1"/>
    <xf numFmtId="49" fontId="0" fillId="0" borderId="0" xfId="0" applyNumberFormat="1"/>
    <xf numFmtId="49" fontId="83" fillId="0" borderId="0" xfId="0" applyNumberFormat="1" applyFont="1"/>
    <xf numFmtId="168" fontId="8" fillId="3" borderId="0" xfId="109" applyNumberFormat="1" applyFont="1" applyFill="1" applyAlignment="1">
      <alignment wrapText="1"/>
    </xf>
    <xf numFmtId="168" fontId="8" fillId="39" borderId="11" xfId="109" applyNumberFormat="1" applyFont="1" applyFill="1" applyBorder="1" applyAlignment="1">
      <alignment horizontal="center" vertical="center" wrapText="1"/>
    </xf>
    <xf numFmtId="168" fontId="8" fillId="39" borderId="0" xfId="109" applyNumberFormat="1" applyFont="1" applyFill="1"/>
    <xf numFmtId="168" fontId="8" fillId="39" borderId="5" xfId="109" applyNumberFormat="1" applyFont="1" applyFill="1" applyBorder="1"/>
    <xf numFmtId="168" fontId="8" fillId="39" borderId="0" xfId="109" applyNumberFormat="1" applyFont="1" applyFill="1" applyBorder="1"/>
    <xf numFmtId="168" fontId="8" fillId="39" borderId="1" xfId="109" applyNumberFormat="1" applyFont="1" applyFill="1" applyBorder="1"/>
    <xf numFmtId="168" fontId="8" fillId="39" borderId="26" xfId="109" applyNumberFormat="1" applyFont="1" applyFill="1" applyBorder="1"/>
    <xf numFmtId="168" fontId="6" fillId="3" borderId="0" xfId="109" applyNumberFormat="1" applyFont="1" applyFill="1"/>
    <xf numFmtId="168" fontId="8" fillId="3" borderId="0" xfId="109" applyNumberFormat="1" applyFont="1" applyFill="1" applyAlignment="1">
      <alignment horizontal="right"/>
    </xf>
    <xf numFmtId="168" fontId="30" fillId="36" borderId="11" xfId="109" applyNumberFormat="1" applyFont="1" applyFill="1" applyBorder="1" applyAlignment="1">
      <alignment horizontal="center" vertical="center" wrapText="1"/>
    </xf>
    <xf numFmtId="168" fontId="10" fillId="3" borderId="0" xfId="109" applyNumberFormat="1" applyFont="1" applyFill="1"/>
    <xf numFmtId="168" fontId="10" fillId="3" borderId="5" xfId="109" applyNumberFormat="1" applyFont="1" applyFill="1" applyBorder="1"/>
    <xf numFmtId="168" fontId="10" fillId="3" borderId="0" xfId="109" applyNumberFormat="1" applyFont="1" applyFill="1" applyBorder="1"/>
    <xf numFmtId="168" fontId="8" fillId="3" borderId="1" xfId="109" applyNumberFormat="1" applyFont="1" applyFill="1" applyBorder="1"/>
    <xf numFmtId="168" fontId="8" fillId="3" borderId="0" xfId="109" applyNumberFormat="1" applyFont="1" applyFill="1" applyBorder="1"/>
    <xf numFmtId="168" fontId="8" fillId="3" borderId="26" xfId="109" applyNumberFormat="1" applyFont="1" applyFill="1" applyBorder="1"/>
    <xf numFmtId="168" fontId="12" fillId="3" borderId="0" xfId="109" applyNumberFormat="1" applyFont="1" applyFill="1"/>
    <xf numFmtId="42" fontId="10" fillId="48" borderId="0" xfId="0" applyNumberFormat="1" applyFont="1" applyFill="1"/>
    <xf numFmtId="41" fontId="10" fillId="48" borderId="0" xfId="0" applyNumberFormat="1" applyFont="1" applyFill="1"/>
    <xf numFmtId="41" fontId="10" fillId="48" borderId="0" xfId="0" applyNumberFormat="1" applyFont="1" applyFill="1" applyBorder="1"/>
    <xf numFmtId="0" fontId="47" fillId="3" borderId="0" xfId="20" quotePrefix="1" applyFont="1" applyFill="1"/>
    <xf numFmtId="168" fontId="52" fillId="3" borderId="11" xfId="109" applyNumberFormat="1" applyFont="1" applyFill="1" applyBorder="1"/>
    <xf numFmtId="0" fontId="84" fillId="0" borderId="0" xfId="0" applyFont="1"/>
    <xf numFmtId="0" fontId="33" fillId="3" borderId="0" xfId="0" applyNumberFormat="1" applyFont="1" applyFill="1" applyBorder="1" applyAlignment="1" applyProtection="1">
      <alignment horizontal="center"/>
    </xf>
    <xf numFmtId="0" fontId="33" fillId="3" borderId="0" xfId="0" applyNumberFormat="1" applyFont="1" applyFill="1" applyAlignment="1" applyProtection="1">
      <alignment horizontal="center"/>
    </xf>
    <xf numFmtId="0" fontId="66" fillId="3" borderId="0" xfId="0" applyNumberFormat="1" applyFont="1" applyFill="1" applyAlignment="1" applyProtection="1">
      <alignment horizontal="center"/>
    </xf>
    <xf numFmtId="0" fontId="33" fillId="3" borderId="0" xfId="0" applyNumberFormat="1" applyFont="1" applyFill="1" applyBorder="1" applyAlignment="1" applyProtection="1"/>
    <xf numFmtId="0" fontId="33" fillId="3" borderId="0" xfId="0" applyNumberFormat="1" applyFont="1" applyFill="1" applyAlignment="1" applyProtection="1"/>
    <xf numFmtId="44" fontId="33" fillId="3" borderId="11" xfId="32" applyFont="1" applyFill="1" applyBorder="1" applyAlignment="1" applyProtection="1">
      <alignment horizontal="center" vertical="center"/>
    </xf>
    <xf numFmtId="0" fontId="33" fillId="3" borderId="0" xfId="0" applyFont="1" applyFill="1" applyAlignment="1" applyProtection="1">
      <alignment horizontal="center" vertical="center"/>
    </xf>
    <xf numFmtId="0" fontId="66" fillId="3" borderId="0" xfId="0" applyFont="1" applyFill="1" applyAlignment="1" applyProtection="1">
      <alignment horizontal="center" vertical="center"/>
    </xf>
    <xf numFmtId="165" fontId="33" fillId="3" borderId="11" xfId="32" applyNumberFormat="1" applyFont="1" applyFill="1" applyBorder="1" applyAlignment="1" applyProtection="1">
      <alignment horizontal="center" vertical="center"/>
    </xf>
    <xf numFmtId="0" fontId="11" fillId="3" borderId="0" xfId="20" applyFont="1" applyFill="1" applyProtection="1"/>
    <xf numFmtId="0" fontId="8" fillId="3" borderId="0" xfId="20" applyFont="1" applyFill="1" applyProtection="1"/>
    <xf numFmtId="0" fontId="8" fillId="3" borderId="0" xfId="20" applyFont="1" applyFill="1" applyBorder="1" applyProtection="1"/>
    <xf numFmtId="41" fontId="8" fillId="3" borderId="0" xfId="20" applyNumberFormat="1" applyFont="1" applyFill="1" applyProtection="1"/>
    <xf numFmtId="41" fontId="8" fillId="3" borderId="0" xfId="20" applyNumberFormat="1" applyFont="1" applyFill="1" applyBorder="1" applyProtection="1"/>
    <xf numFmtId="41" fontId="8" fillId="3" borderId="0" xfId="20" applyNumberFormat="1" applyFont="1" applyFill="1" applyAlignment="1" applyProtection="1">
      <alignment wrapText="1"/>
    </xf>
    <xf numFmtId="0" fontId="6" fillId="3" borderId="0" xfId="20" applyFont="1" applyFill="1" applyAlignment="1" applyProtection="1">
      <alignment horizontal="left"/>
    </xf>
    <xf numFmtId="0" fontId="8" fillId="3" borderId="0" xfId="20" applyFont="1" applyFill="1" applyAlignment="1" applyProtection="1">
      <alignment horizontal="left"/>
    </xf>
    <xf numFmtId="0" fontId="8" fillId="3" borderId="0" xfId="20" applyFont="1" applyFill="1" applyBorder="1" applyAlignment="1" applyProtection="1">
      <alignment horizontal="left"/>
    </xf>
    <xf numFmtId="41" fontId="8" fillId="3" borderId="0" xfId="20" applyNumberFormat="1" applyFont="1" applyFill="1" applyAlignment="1" applyProtection="1">
      <alignment horizontal="right"/>
    </xf>
    <xf numFmtId="0" fontId="9" fillId="3" borderId="0" xfId="20" applyFont="1" applyFill="1" applyProtection="1"/>
    <xf numFmtId="0" fontId="10" fillId="3" borderId="0" xfId="20" applyFont="1" applyFill="1" applyProtection="1"/>
    <xf numFmtId="0" fontId="10" fillId="3" borderId="0" xfId="20" applyFont="1" applyFill="1" applyBorder="1" applyProtection="1"/>
    <xf numFmtId="41" fontId="8" fillId="3" borderId="0" xfId="20" applyNumberFormat="1" applyFont="1" applyFill="1" applyAlignment="1" applyProtection="1">
      <alignment horizontal="center"/>
    </xf>
    <xf numFmtId="41" fontId="8" fillId="3" borderId="0" xfId="20" applyNumberFormat="1" applyFont="1" applyFill="1" applyBorder="1" applyAlignment="1" applyProtection="1">
      <alignment horizontal="center"/>
    </xf>
    <xf numFmtId="41" fontId="10" fillId="3" borderId="0" xfId="20" applyNumberFormat="1" applyFont="1" applyFill="1" applyProtection="1"/>
    <xf numFmtId="0" fontId="34" fillId="3" borderId="0" xfId="0" applyFont="1" applyFill="1" applyAlignment="1" applyProtection="1">
      <alignment horizontal="right"/>
    </xf>
    <xf numFmtId="0" fontId="34" fillId="3" borderId="0" xfId="0" applyFont="1" applyFill="1" applyAlignment="1" applyProtection="1">
      <alignment horizontal="center" vertical="center"/>
    </xf>
    <xf numFmtId="0" fontId="34" fillId="3" borderId="0" xfId="0" applyFont="1" applyFill="1" applyBorder="1" applyAlignment="1" applyProtection="1">
      <alignment horizontal="center" vertical="center"/>
    </xf>
    <xf numFmtId="0" fontId="34" fillId="3" borderId="11" xfId="0" applyFont="1" applyFill="1" applyBorder="1" applyAlignment="1" applyProtection="1">
      <alignment horizontal="center" vertical="center"/>
    </xf>
    <xf numFmtId="0" fontId="33" fillId="44" borderId="0" xfId="0" applyNumberFormat="1" applyFont="1" applyFill="1" applyAlignment="1" applyProtection="1">
      <alignment horizontal="center" vertical="center"/>
    </xf>
    <xf numFmtId="41" fontId="33" fillId="44" borderId="0" xfId="0" applyNumberFormat="1" applyFont="1" applyFill="1" applyBorder="1" applyProtection="1"/>
    <xf numFmtId="41" fontId="33" fillId="3" borderId="0" xfId="0" applyNumberFormat="1" applyFont="1" applyFill="1" applyProtection="1"/>
    <xf numFmtId="41" fontId="33" fillId="44" borderId="11" xfId="0" applyNumberFormat="1" applyFont="1" applyFill="1" applyBorder="1" applyProtection="1"/>
    <xf numFmtId="0" fontId="33" fillId="3" borderId="0" xfId="0" applyNumberFormat="1" applyFont="1" applyFill="1" applyAlignment="1" applyProtection="1">
      <alignment horizontal="center" vertical="center"/>
    </xf>
    <xf numFmtId="41" fontId="33" fillId="3" borderId="0" xfId="0" applyNumberFormat="1" applyFont="1" applyFill="1" applyBorder="1" applyProtection="1"/>
    <xf numFmtId="41" fontId="33" fillId="3" borderId="11" xfId="0" applyNumberFormat="1" applyFont="1" applyFill="1" applyBorder="1" applyProtection="1"/>
    <xf numFmtId="41" fontId="33" fillId="3" borderId="1" xfId="0" applyNumberFormat="1" applyFont="1" applyFill="1" applyBorder="1" applyProtection="1"/>
    <xf numFmtId="0" fontId="34" fillId="3" borderId="0" xfId="0" applyFont="1" applyFill="1" applyAlignment="1" applyProtection="1">
      <alignment horizontal="left" indent="11"/>
    </xf>
    <xf numFmtId="41" fontId="34" fillId="3" borderId="29" xfId="0" applyNumberFormat="1" applyFont="1" applyFill="1" applyBorder="1" applyProtection="1"/>
    <xf numFmtId="41" fontId="34" fillId="3" borderId="0" xfId="0" applyNumberFormat="1" applyFont="1" applyFill="1" applyBorder="1" applyProtection="1"/>
    <xf numFmtId="41" fontId="34" fillId="3" borderId="11" xfId="0" applyNumberFormat="1" applyFont="1" applyFill="1" applyBorder="1" applyProtection="1"/>
    <xf numFmtId="0" fontId="33" fillId="3" borderId="0" xfId="0" applyFont="1" applyFill="1" applyAlignment="1" applyProtection="1">
      <alignment horizontal="left" indent="11"/>
    </xf>
    <xf numFmtId="0" fontId="33" fillId="3" borderId="11" xfId="0" applyFont="1" applyFill="1" applyBorder="1" applyProtection="1"/>
    <xf numFmtId="9" fontId="33" fillId="3" borderId="0" xfId="0" quotePrefix="1" applyNumberFormat="1" applyFont="1" applyFill="1" applyAlignment="1" applyProtection="1">
      <alignment horizontal="left" indent="11"/>
    </xf>
    <xf numFmtId="44" fontId="33" fillId="3" borderId="0" xfId="32" applyFont="1" applyFill="1" applyBorder="1" applyAlignment="1" applyProtection="1">
      <alignment horizontal="right"/>
    </xf>
    <xf numFmtId="10" fontId="33" fillId="3" borderId="11" xfId="32" applyNumberFormat="1" applyFont="1" applyFill="1" applyBorder="1" applyProtection="1"/>
    <xf numFmtId="10" fontId="33" fillId="3" borderId="0" xfId="32" applyNumberFormat="1" applyFont="1" applyFill="1" applyBorder="1" applyProtection="1"/>
    <xf numFmtId="9" fontId="33" fillId="3" borderId="0" xfId="0" applyNumberFormat="1" applyFont="1" applyFill="1" applyProtection="1"/>
    <xf numFmtId="0" fontId="37" fillId="3" borderId="0" xfId="0" applyFont="1" applyFill="1" applyProtection="1"/>
    <xf numFmtId="0" fontId="33" fillId="3" borderId="0" xfId="0" applyFont="1" applyFill="1" applyAlignment="1" applyProtection="1">
      <alignment horizontal="left" indent="1"/>
    </xf>
    <xf numFmtId="10" fontId="33" fillId="3" borderId="11" xfId="33" applyNumberFormat="1" applyFont="1" applyFill="1" applyBorder="1" applyProtection="1"/>
    <xf numFmtId="10" fontId="33" fillId="3" borderId="0" xfId="0" applyNumberFormat="1" applyFont="1" applyFill="1" applyProtection="1"/>
    <xf numFmtId="0" fontId="0" fillId="3" borderId="0" xfId="0" applyFill="1" applyProtection="1"/>
    <xf numFmtId="0" fontId="0" fillId="3" borderId="0" xfId="0" applyFill="1" applyBorder="1" applyProtection="1"/>
    <xf numFmtId="44" fontId="8" fillId="3" borderId="0" xfId="32" applyFont="1" applyFill="1" applyAlignment="1" applyProtection="1">
      <alignment wrapText="1"/>
    </xf>
    <xf numFmtId="41" fontId="8" fillId="3" borderId="0" xfId="20" applyNumberFormat="1" applyFont="1" applyFill="1" applyAlignment="1" applyProtection="1">
      <alignment horizontal="center" vertical="center" wrapText="1"/>
    </xf>
    <xf numFmtId="169" fontId="8" fillId="3" borderId="0" xfId="20" applyNumberFormat="1" applyFont="1" applyFill="1" applyAlignment="1" applyProtection="1">
      <alignment horizontal="center" wrapText="1"/>
    </xf>
    <xf numFmtId="41" fontId="8" fillId="3" borderId="0" xfId="20" applyNumberFormat="1" applyFont="1" applyFill="1" applyAlignment="1" applyProtection="1">
      <alignment horizontal="center" wrapText="1"/>
    </xf>
    <xf numFmtId="0" fontId="8" fillId="3" borderId="0" xfId="20" applyNumberFormat="1" applyFont="1" applyFill="1" applyAlignment="1" applyProtection="1">
      <alignment horizontal="center"/>
    </xf>
    <xf numFmtId="41" fontId="70" fillId="3" borderId="0" xfId="20" applyNumberFormat="1" applyFont="1" applyFill="1" applyProtection="1"/>
    <xf numFmtId="41" fontId="70" fillId="3" borderId="0" xfId="20" applyNumberFormat="1" applyFont="1" applyFill="1" applyAlignment="1" applyProtection="1">
      <alignment wrapText="1"/>
    </xf>
    <xf numFmtId="0" fontId="8" fillId="3" borderId="0" xfId="20" applyFont="1" applyFill="1" applyAlignment="1" applyProtection="1">
      <alignment horizontal="center"/>
    </xf>
    <xf numFmtId="44" fontId="8" fillId="3" borderId="0" xfId="32" applyFont="1" applyFill="1" applyProtection="1"/>
    <xf numFmtId="0" fontId="8" fillId="3" borderId="0" xfId="20" applyFont="1" applyFill="1" applyAlignment="1" applyProtection="1">
      <alignment horizontal="center" vertical="center"/>
    </xf>
    <xf numFmtId="169" fontId="8" fillId="3" borderId="0" xfId="20" applyNumberFormat="1" applyFont="1" applyFill="1" applyAlignment="1" applyProtection="1">
      <alignment horizontal="center"/>
    </xf>
    <xf numFmtId="0" fontId="70" fillId="3" borderId="0" xfId="20" applyFont="1" applyFill="1" applyProtection="1"/>
    <xf numFmtId="44" fontId="8" fillId="3" borderId="0" xfId="32" applyFont="1" applyFill="1" applyAlignment="1" applyProtection="1">
      <alignment horizontal="center"/>
    </xf>
    <xf numFmtId="41" fontId="8" fillId="3" borderId="0" xfId="20" applyNumberFormat="1" applyFont="1" applyFill="1" applyAlignment="1" applyProtection="1">
      <alignment horizontal="center" vertical="center"/>
    </xf>
    <xf numFmtId="41" fontId="10" fillId="3" borderId="0" xfId="20" applyNumberFormat="1" applyFont="1" applyFill="1" applyAlignment="1" applyProtection="1">
      <alignment horizontal="center"/>
    </xf>
    <xf numFmtId="41" fontId="70" fillId="3" borderId="0" xfId="20" applyNumberFormat="1" applyFont="1" applyFill="1" applyAlignment="1" applyProtection="1">
      <alignment horizontal="center"/>
    </xf>
    <xf numFmtId="41" fontId="10" fillId="3" borderId="0" xfId="0" applyNumberFormat="1" applyFont="1" applyFill="1" applyAlignment="1" applyProtection="1">
      <alignment horizontal="center"/>
    </xf>
    <xf numFmtId="0" fontId="71" fillId="3" borderId="0" xfId="0" applyFont="1" applyFill="1" applyProtection="1"/>
    <xf numFmtId="0" fontId="70" fillId="45" borderId="11" xfId="0" applyFont="1" applyFill="1" applyBorder="1" applyAlignment="1" applyProtection="1">
      <alignment horizontal="center" vertical="center"/>
    </xf>
    <xf numFmtId="0" fontId="33" fillId="3" borderId="0" xfId="0" applyFont="1" applyFill="1" applyAlignment="1" applyProtection="1">
      <alignment horizontal="center" vertical="center" wrapText="1"/>
    </xf>
    <xf numFmtId="169" fontId="34" fillId="35" borderId="11" xfId="0" applyNumberFormat="1" applyFont="1" applyFill="1" applyBorder="1" applyAlignment="1" applyProtection="1">
      <alignment vertical="center" wrapText="1"/>
    </xf>
    <xf numFmtId="0" fontId="68" fillId="35" borderId="11" xfId="0" applyFont="1" applyFill="1" applyBorder="1" applyAlignment="1" applyProtection="1">
      <alignment horizontal="center" vertical="center" wrapText="1"/>
    </xf>
    <xf numFmtId="41" fontId="8" fillId="35" borderId="11" xfId="0" applyNumberFormat="1" applyFont="1" applyFill="1" applyBorder="1" applyAlignment="1" applyProtection="1">
      <alignment horizontal="center" vertical="center" wrapText="1"/>
    </xf>
    <xf numFmtId="0" fontId="35" fillId="3" borderId="0" xfId="0" applyFont="1" applyFill="1" applyAlignment="1" applyProtection="1">
      <alignment horizontal="center" vertical="center"/>
    </xf>
    <xf numFmtId="44" fontId="35" fillId="3" borderId="0" xfId="32" applyFont="1" applyFill="1" applyAlignment="1" applyProtection="1">
      <alignment horizontal="center" vertical="center"/>
    </xf>
    <xf numFmtId="169" fontId="35" fillId="3" borderId="0" xfId="0" applyNumberFormat="1" applyFont="1" applyFill="1" applyAlignment="1" applyProtection="1">
      <alignment horizontal="center" vertical="center"/>
    </xf>
    <xf numFmtId="0" fontId="68" fillId="3" borderId="0" xfId="0" applyFont="1" applyFill="1" applyAlignment="1" applyProtection="1">
      <alignment horizontal="center" vertical="center"/>
    </xf>
    <xf numFmtId="41" fontId="35" fillId="3" borderId="0" xfId="0" applyNumberFormat="1" applyFont="1" applyFill="1" applyAlignment="1" applyProtection="1">
      <alignment horizontal="center" vertical="center"/>
    </xf>
    <xf numFmtId="0" fontId="35" fillId="3" borderId="0" xfId="0" applyNumberFormat="1" applyFont="1" applyFill="1" applyAlignment="1" applyProtection="1">
      <alignment horizontal="center" vertical="center"/>
    </xf>
    <xf numFmtId="10" fontId="35" fillId="49" borderId="0" xfId="0" applyNumberFormat="1" applyFont="1" applyFill="1" applyAlignment="1" applyProtection="1">
      <alignment horizontal="center" vertical="center"/>
    </xf>
    <xf numFmtId="10" fontId="35" fillId="3" borderId="0" xfId="0" applyNumberFormat="1" applyFont="1" applyFill="1" applyAlignment="1" applyProtection="1">
      <alignment horizontal="center" vertical="center"/>
    </xf>
    <xf numFmtId="0" fontId="68" fillId="3" borderId="0" xfId="0" applyFont="1" applyFill="1" applyProtection="1"/>
    <xf numFmtId="0" fontId="34" fillId="47" borderId="11" xfId="0" applyFont="1" applyFill="1" applyBorder="1" applyAlignment="1" applyProtection="1">
      <alignment horizontal="center"/>
    </xf>
    <xf numFmtId="44" fontId="34" fillId="47" borderId="11" xfId="32" applyFont="1" applyFill="1" applyBorder="1" applyAlignment="1" applyProtection="1">
      <alignment horizontal="center"/>
    </xf>
    <xf numFmtId="169" fontId="34" fillId="47" borderId="11" xfId="32" applyNumberFormat="1" applyFont="1" applyFill="1" applyBorder="1" applyAlignment="1" applyProtection="1">
      <alignment horizontal="center"/>
    </xf>
    <xf numFmtId="0" fontId="33" fillId="3" borderId="11" xfId="0" applyNumberFormat="1" applyFont="1" applyFill="1" applyBorder="1" applyAlignment="1" applyProtection="1">
      <alignment horizontal="center"/>
    </xf>
    <xf numFmtId="42" fontId="34" fillId="47" borderId="11" xfId="0" applyNumberFormat="1" applyFont="1" applyFill="1" applyBorder="1" applyAlignment="1" applyProtection="1">
      <alignment horizontal="center"/>
    </xf>
    <xf numFmtId="0" fontId="33" fillId="47" borderId="11" xfId="0" applyFont="1" applyFill="1" applyBorder="1" applyAlignment="1" applyProtection="1">
      <alignment horizontal="center"/>
    </xf>
    <xf numFmtId="42" fontId="68" fillId="3" borderId="11" xfId="0" applyNumberFormat="1" applyFont="1" applyFill="1" applyBorder="1" applyProtection="1"/>
    <xf numFmtId="41" fontId="10" fillId="3" borderId="11" xfId="0" applyNumberFormat="1" applyFont="1" applyFill="1" applyBorder="1" applyProtection="1"/>
    <xf numFmtId="42" fontId="33" fillId="3" borderId="11" xfId="0" applyNumberFormat="1" applyFont="1" applyFill="1" applyBorder="1" applyProtection="1"/>
    <xf numFmtId="0" fontId="33" fillId="3" borderId="11" xfId="0" applyFont="1" applyFill="1" applyBorder="1" applyAlignment="1" applyProtection="1">
      <alignment horizontal="center"/>
    </xf>
    <xf numFmtId="44" fontId="71" fillId="3" borderId="0" xfId="0" applyNumberFormat="1" applyFont="1" applyFill="1" applyProtection="1"/>
    <xf numFmtId="0" fontId="33" fillId="3" borderId="0" xfId="0" applyFont="1" applyFill="1" applyBorder="1" applyAlignment="1" applyProtection="1">
      <alignment horizontal="center" vertical="center"/>
    </xf>
    <xf numFmtId="169" fontId="33" fillId="3" borderId="0" xfId="0" applyNumberFormat="1" applyFont="1" applyFill="1" applyBorder="1" applyAlignment="1" applyProtection="1">
      <alignment horizontal="center"/>
    </xf>
    <xf numFmtId="42" fontId="68" fillId="3" borderId="0" xfId="0" applyNumberFormat="1" applyFont="1" applyFill="1" applyBorder="1" applyProtection="1"/>
    <xf numFmtId="41" fontId="10" fillId="3" borderId="0" xfId="0" applyNumberFormat="1" applyFont="1" applyFill="1" applyBorder="1" applyAlignment="1" applyProtection="1">
      <alignment horizontal="center"/>
    </xf>
    <xf numFmtId="42" fontId="33" fillId="3" borderId="0" xfId="0" applyNumberFormat="1" applyFont="1" applyFill="1" applyBorder="1" applyProtection="1"/>
    <xf numFmtId="0" fontId="34" fillId="3" borderId="0" xfId="0" applyFont="1" applyFill="1" applyBorder="1" applyAlignment="1" applyProtection="1">
      <alignment horizontal="center"/>
    </xf>
    <xf numFmtId="44" fontId="34" fillId="3" borderId="0" xfId="32" applyFont="1" applyFill="1" applyBorder="1" applyAlignment="1" applyProtection="1">
      <alignment horizontal="center"/>
    </xf>
    <xf numFmtId="0" fontId="34" fillId="3" borderId="4" xfId="0" applyNumberFormat="1" applyFont="1" applyFill="1" applyBorder="1" applyAlignment="1" applyProtection="1">
      <alignment horizontal="center"/>
    </xf>
    <xf numFmtId="42" fontId="34" fillId="3" borderId="7" xfId="32" applyNumberFormat="1" applyFont="1" applyFill="1" applyBorder="1" applyProtection="1"/>
    <xf numFmtId="0" fontId="34" fillId="3" borderId="4" xfId="0" applyFont="1" applyFill="1" applyBorder="1" applyAlignment="1" applyProtection="1">
      <alignment horizontal="center"/>
    </xf>
    <xf numFmtId="42" fontId="71" fillId="3" borderId="0" xfId="0" applyNumberFormat="1" applyFont="1" applyFill="1" applyProtection="1"/>
    <xf numFmtId="1" fontId="33" fillId="3" borderId="0" xfId="0" applyNumberFormat="1" applyFont="1" applyFill="1" applyAlignment="1" applyProtection="1">
      <alignment horizontal="center" vertical="center"/>
    </xf>
    <xf numFmtId="1" fontId="33" fillId="3" borderId="0" xfId="0" applyNumberFormat="1" applyFont="1" applyFill="1" applyBorder="1" applyAlignment="1" applyProtection="1">
      <alignment horizontal="center" vertical="center"/>
    </xf>
    <xf numFmtId="1" fontId="81" fillId="47" borderId="11" xfId="0" applyNumberFormat="1" applyFont="1" applyFill="1" applyBorder="1" applyAlignment="1" applyProtection="1">
      <alignment horizontal="center" vertical="center"/>
    </xf>
    <xf numFmtId="1" fontId="81" fillId="35" borderId="11" xfId="0" applyNumberFormat="1" applyFont="1" applyFill="1" applyBorder="1" applyAlignment="1" applyProtection="1">
      <alignment horizontal="center" vertical="center"/>
    </xf>
    <xf numFmtId="1" fontId="82" fillId="47" borderId="11" xfId="0" applyNumberFormat="1" applyFont="1" applyFill="1" applyBorder="1" applyAlignment="1" applyProtection="1">
      <alignment horizontal="center" vertical="center"/>
    </xf>
    <xf numFmtId="0" fontId="33" fillId="47" borderId="11" xfId="0" applyFont="1" applyFill="1" applyBorder="1" applyProtection="1"/>
    <xf numFmtId="44" fontId="33" fillId="47" borderId="11" xfId="32" applyFont="1" applyFill="1" applyBorder="1" applyProtection="1"/>
    <xf numFmtId="41" fontId="10" fillId="47" borderId="11" xfId="0" applyNumberFormat="1" applyFont="1" applyFill="1" applyBorder="1" applyProtection="1"/>
    <xf numFmtId="0" fontId="34" fillId="3" borderId="0" xfId="0" applyFont="1" applyFill="1" applyBorder="1" applyProtection="1"/>
    <xf numFmtId="44" fontId="34" fillId="3" borderId="0" xfId="32" applyFont="1" applyFill="1" applyBorder="1" applyProtection="1"/>
    <xf numFmtId="169" fontId="34" fillId="3" borderId="0" xfId="0" applyNumberFormat="1" applyFont="1" applyFill="1" applyBorder="1" applyAlignment="1" applyProtection="1">
      <alignment horizontal="center"/>
    </xf>
    <xf numFmtId="42" fontId="34" fillId="3" borderId="0" xfId="0" applyNumberFormat="1" applyFont="1" applyFill="1" applyBorder="1" applyProtection="1"/>
    <xf numFmtId="0" fontId="34" fillId="3" borderId="0" xfId="0" applyNumberFormat="1" applyFont="1" applyFill="1" applyBorder="1" applyAlignment="1" applyProtection="1">
      <alignment horizontal="center"/>
    </xf>
    <xf numFmtId="41" fontId="8" fillId="3" borderId="0" xfId="0" applyNumberFormat="1" applyFont="1" applyFill="1" applyBorder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44" fontId="0" fillId="3" borderId="0" xfId="32" applyFont="1" applyFill="1" applyProtection="1"/>
    <xf numFmtId="0" fontId="0" fillId="3" borderId="0" xfId="0" applyFill="1" applyAlignment="1" applyProtection="1">
      <alignment horizontal="center" vertical="center"/>
    </xf>
    <xf numFmtId="169" fontId="0" fillId="3" borderId="0" xfId="0" applyNumberFormat="1" applyFill="1" applyAlignment="1" applyProtection="1">
      <alignment horizontal="center"/>
    </xf>
    <xf numFmtId="41" fontId="12" fillId="3" borderId="0" xfId="0" applyNumberFormat="1" applyFont="1" applyFill="1" applyProtection="1"/>
    <xf numFmtId="0" fontId="0" fillId="3" borderId="0" xfId="0" applyNumberFormat="1" applyFill="1" applyAlignment="1" applyProtection="1">
      <alignment horizontal="center"/>
    </xf>
    <xf numFmtId="0" fontId="33" fillId="35" borderId="0" xfId="0" applyNumberFormat="1" applyFont="1" applyFill="1" applyAlignment="1" applyProtection="1">
      <alignment horizontal="center"/>
    </xf>
    <xf numFmtId="0" fontId="33" fillId="35" borderId="0" xfId="0" applyFont="1" applyFill="1" applyProtection="1"/>
    <xf numFmtId="0" fontId="0" fillId="35" borderId="0" xfId="0" applyFill="1" applyProtection="1"/>
    <xf numFmtId="44" fontId="0" fillId="35" borderId="0" xfId="32" applyFont="1" applyFill="1" applyProtection="1"/>
    <xf numFmtId="0" fontId="0" fillId="35" borderId="0" xfId="0" applyFill="1" applyAlignment="1" applyProtection="1">
      <alignment horizontal="center" vertical="center"/>
    </xf>
    <xf numFmtId="169" fontId="0" fillId="35" borderId="0" xfId="0" applyNumberFormat="1" applyFill="1" applyAlignment="1" applyProtection="1">
      <alignment horizontal="center"/>
    </xf>
    <xf numFmtId="41" fontId="10" fillId="35" borderId="0" xfId="32" applyNumberFormat="1" applyFont="1" applyFill="1" applyBorder="1" applyProtection="1"/>
    <xf numFmtId="165" fontId="33" fillId="35" borderId="0" xfId="32" applyNumberFormat="1" applyFont="1" applyFill="1" applyBorder="1" applyProtection="1"/>
    <xf numFmtId="0" fontId="33" fillId="35" borderId="0" xfId="0" applyNumberFormat="1" applyFont="1" applyFill="1" applyAlignment="1" applyProtection="1"/>
    <xf numFmtId="165" fontId="33" fillId="35" borderId="0" xfId="0" applyNumberFormat="1" applyFont="1" applyFill="1" applyBorder="1" applyProtection="1"/>
    <xf numFmtId="165" fontId="33" fillId="35" borderId="0" xfId="0" applyNumberFormat="1" applyFont="1" applyFill="1" applyBorder="1" applyAlignment="1" applyProtection="1">
      <alignment horizontal="center"/>
    </xf>
    <xf numFmtId="41" fontId="33" fillId="35" borderId="0" xfId="32" applyNumberFormat="1" applyFont="1" applyFill="1" applyBorder="1" applyProtection="1"/>
    <xf numFmtId="41" fontId="33" fillId="35" borderId="0" xfId="0" applyNumberFormat="1" applyFont="1" applyFill="1" applyBorder="1" applyProtection="1"/>
    <xf numFmtId="41" fontId="33" fillId="35" borderId="0" xfId="0" applyNumberFormat="1" applyFont="1" applyFill="1" applyBorder="1" applyAlignment="1" applyProtection="1">
      <alignment horizontal="center"/>
    </xf>
    <xf numFmtId="0" fontId="33" fillId="35" borderId="0" xfId="0" applyFont="1" applyFill="1" applyAlignment="1" applyProtection="1">
      <alignment horizontal="center"/>
    </xf>
    <xf numFmtId="0" fontId="34" fillId="35" borderId="0" xfId="0" applyFont="1" applyFill="1" applyProtection="1"/>
    <xf numFmtId="41" fontId="34" fillId="35" borderId="0" xfId="32" applyNumberFormat="1" applyFont="1" applyFill="1" applyBorder="1" applyProtection="1"/>
    <xf numFmtId="41" fontId="0" fillId="3" borderId="0" xfId="0" applyNumberFormat="1" applyFill="1" applyProtection="1"/>
    <xf numFmtId="170" fontId="33" fillId="3" borderId="0" xfId="32" applyNumberFormat="1" applyFont="1" applyFill="1" applyBorder="1" applyProtection="1"/>
    <xf numFmtId="41" fontId="33" fillId="3" borderId="0" xfId="32" applyNumberFormat="1" applyFont="1" applyFill="1" applyBorder="1" applyProtection="1"/>
    <xf numFmtId="41" fontId="33" fillId="3" borderId="0" xfId="0" applyNumberFormat="1" applyFont="1" applyFill="1" applyBorder="1" applyAlignment="1" applyProtection="1">
      <alignment horizontal="center"/>
    </xf>
    <xf numFmtId="41" fontId="34" fillId="3" borderId="0" xfId="32" applyNumberFormat="1" applyFont="1" applyFill="1" applyBorder="1" applyProtection="1"/>
    <xf numFmtId="165" fontId="33" fillId="3" borderId="0" xfId="32" applyNumberFormat="1" applyFont="1" applyFill="1" applyBorder="1" applyProtection="1"/>
    <xf numFmtId="165" fontId="33" fillId="3" borderId="0" xfId="0" applyNumberFormat="1" applyFont="1" applyFill="1" applyBorder="1" applyProtection="1"/>
    <xf numFmtId="165" fontId="33" fillId="3" borderId="0" xfId="0" applyNumberFormat="1" applyFont="1" applyFill="1" applyBorder="1" applyAlignment="1" applyProtection="1">
      <alignment horizontal="center"/>
    </xf>
    <xf numFmtId="170" fontId="12" fillId="3" borderId="0" xfId="0" applyNumberFormat="1" applyFont="1" applyFill="1" applyAlignment="1" applyProtection="1">
      <alignment horizontal="center"/>
    </xf>
    <xf numFmtId="41" fontId="12" fillId="3" borderId="0" xfId="0" applyNumberFormat="1" applyFont="1" applyFill="1" applyAlignment="1" applyProtection="1">
      <alignment horizontal="center"/>
    </xf>
    <xf numFmtId="0" fontId="72" fillId="3" borderId="0" xfId="0" applyFont="1" applyFill="1" applyProtection="1"/>
    <xf numFmtId="0" fontId="33" fillId="0" borderId="11" xfId="0" applyFont="1" applyFill="1" applyBorder="1" applyProtection="1"/>
    <xf numFmtId="41" fontId="33" fillId="50" borderId="11" xfId="0" applyNumberFormat="1" applyFont="1" applyFill="1" applyBorder="1" applyProtection="1">
      <protection locked="0"/>
    </xf>
    <xf numFmtId="0" fontId="33" fillId="50" borderId="11" xfId="0" applyFont="1" applyFill="1" applyBorder="1" applyProtection="1">
      <protection locked="0"/>
    </xf>
    <xf numFmtId="44" fontId="33" fillId="50" borderId="11" xfId="32" applyFont="1" applyFill="1" applyBorder="1" applyProtection="1">
      <protection locked="0"/>
    </xf>
    <xf numFmtId="44" fontId="33" fillId="50" borderId="11" xfId="32" applyFont="1" applyFill="1" applyBorder="1" applyAlignment="1" applyProtection="1">
      <alignment horizontal="center" vertical="center"/>
      <protection locked="0"/>
    </xf>
    <xf numFmtId="0" fontId="33" fillId="50" borderId="11" xfId="0" applyFont="1" applyFill="1" applyBorder="1" applyAlignment="1" applyProtection="1">
      <alignment horizontal="center"/>
      <protection locked="0"/>
    </xf>
    <xf numFmtId="0" fontId="33" fillId="0" borderId="11" xfId="0" applyFont="1" applyFill="1" applyBorder="1" applyProtection="1">
      <protection locked="0"/>
    </xf>
    <xf numFmtId="44" fontId="33" fillId="0" borderId="11" xfId="32" applyFont="1" applyFill="1" applyBorder="1" applyProtection="1">
      <protection locked="0"/>
    </xf>
    <xf numFmtId="44" fontId="33" fillId="0" borderId="11" xfId="32" applyFont="1" applyFill="1" applyBorder="1" applyAlignment="1" applyProtection="1">
      <alignment horizontal="center" vertical="center"/>
      <protection locked="0"/>
    </xf>
    <xf numFmtId="0" fontId="33" fillId="0" borderId="11" xfId="0" applyFont="1" applyFill="1" applyBorder="1" applyAlignment="1" applyProtection="1">
      <alignment horizontal="center"/>
      <protection locked="0"/>
    </xf>
    <xf numFmtId="42" fontId="34" fillId="3" borderId="11" xfId="32" applyNumberFormat="1" applyFont="1" applyFill="1" applyBorder="1" applyProtection="1"/>
    <xf numFmtId="0" fontId="34" fillId="3" borderId="11" xfId="0" applyFont="1" applyFill="1" applyBorder="1" applyAlignment="1" applyProtection="1">
      <alignment horizontal="center"/>
    </xf>
    <xf numFmtId="0" fontId="34" fillId="3" borderId="11" xfId="0" applyNumberFormat="1" applyFont="1" applyFill="1" applyBorder="1" applyAlignment="1" applyProtection="1">
      <alignment horizontal="center"/>
    </xf>
    <xf numFmtId="0" fontId="34" fillId="0" borderId="11" xfId="0" applyNumberFormat="1" applyFont="1" applyFill="1" applyBorder="1" applyAlignment="1" applyProtection="1">
      <alignment horizontal="center"/>
    </xf>
    <xf numFmtId="42" fontId="34" fillId="0" borderId="11" xfId="32" applyNumberFormat="1" applyFont="1" applyFill="1" applyBorder="1" applyProtection="1"/>
    <xf numFmtId="0" fontId="34" fillId="0" borderId="11" xfId="0" applyFont="1" applyFill="1" applyBorder="1" applyAlignment="1" applyProtection="1">
      <alignment horizontal="center"/>
    </xf>
    <xf numFmtId="44" fontId="8" fillId="3" borderId="0" xfId="32" applyFont="1" applyFill="1"/>
    <xf numFmtId="44" fontId="8" fillId="3" borderId="0" xfId="32" applyFont="1" applyFill="1" applyAlignment="1">
      <alignment horizontal="center"/>
    </xf>
    <xf numFmtId="44" fontId="33" fillId="3" borderId="0" xfId="32" applyFont="1" applyFill="1"/>
    <xf numFmtId="44" fontId="34" fillId="35" borderId="11" xfId="32" applyFont="1" applyFill="1" applyBorder="1" applyAlignment="1">
      <alignment horizontal="center" vertical="center"/>
    </xf>
    <xf numFmtId="44" fontId="33" fillId="3" borderId="11" xfId="32" applyFont="1" applyFill="1" applyBorder="1"/>
    <xf numFmtId="44" fontId="33" fillId="3" borderId="0" xfId="32" applyFont="1" applyFill="1" applyBorder="1"/>
    <xf numFmtId="44" fontId="34" fillId="3" borderId="13" xfId="32" applyFont="1" applyFill="1" applyBorder="1"/>
    <xf numFmtId="44" fontId="0" fillId="3" borderId="0" xfId="32" applyFont="1" applyFill="1"/>
    <xf numFmtId="0" fontId="8" fillId="3" borderId="0" xfId="32" applyNumberFormat="1" applyFont="1" applyFill="1"/>
    <xf numFmtId="0" fontId="8" fillId="3" borderId="0" xfId="32" applyNumberFormat="1" applyFont="1" applyFill="1" applyAlignment="1">
      <alignment horizontal="center"/>
    </xf>
    <xf numFmtId="0" fontId="33" fillId="3" borderId="0" xfId="32" applyNumberFormat="1" applyFont="1" applyFill="1"/>
    <xf numFmtId="0" fontId="34" fillId="35" borderId="11" xfId="32" applyNumberFormat="1" applyFont="1" applyFill="1" applyBorder="1" applyAlignment="1">
      <alignment horizontal="center" vertical="center"/>
    </xf>
    <xf numFmtId="0" fontId="33" fillId="3" borderId="0" xfId="32" applyNumberFormat="1" applyFont="1" applyFill="1" applyBorder="1"/>
    <xf numFmtId="0" fontId="30" fillId="40" borderId="12" xfId="32" applyNumberFormat="1" applyFont="1" applyFill="1" applyBorder="1" applyAlignment="1">
      <alignment horizontal="center"/>
    </xf>
    <xf numFmtId="0" fontId="0" fillId="3" borderId="0" xfId="32" applyNumberFormat="1" applyFont="1" applyFill="1"/>
    <xf numFmtId="49" fontId="33" fillId="50" borderId="11" xfId="0" quotePrefix="1" applyNumberFormat="1" applyFont="1" applyFill="1" applyBorder="1" applyAlignment="1" applyProtection="1">
      <alignment horizontal="center"/>
      <protection locked="0"/>
    </xf>
    <xf numFmtId="49" fontId="33" fillId="50" borderId="11" xfId="0" applyNumberFormat="1" applyFont="1" applyFill="1" applyBorder="1" applyProtection="1">
      <protection locked="0"/>
    </xf>
    <xf numFmtId="168" fontId="33" fillId="50" borderId="11" xfId="109" applyNumberFormat="1" applyFont="1" applyFill="1" applyBorder="1" applyProtection="1">
      <protection locked="0"/>
    </xf>
    <xf numFmtId="49" fontId="33" fillId="44" borderId="11" xfId="0" quotePrefix="1" applyNumberFormat="1" applyFont="1" applyFill="1" applyBorder="1" applyAlignment="1">
      <alignment horizontal="center"/>
    </xf>
    <xf numFmtId="49" fontId="33" fillId="44" borderId="11" xfId="0" applyNumberFormat="1" applyFont="1" applyFill="1" applyBorder="1"/>
    <xf numFmtId="168" fontId="33" fillId="44" borderId="11" xfId="109" applyNumberFormat="1" applyFont="1" applyFill="1" applyBorder="1"/>
    <xf numFmtId="49" fontId="33" fillId="44" borderId="11" xfId="0" quotePrefix="1" applyNumberFormat="1" applyFont="1" applyFill="1" applyBorder="1" applyAlignment="1" applyProtection="1">
      <alignment horizontal="center"/>
      <protection locked="0"/>
    </xf>
    <xf numFmtId="49" fontId="33" fillId="44" borderId="11" xfId="0" applyNumberFormat="1" applyFont="1" applyFill="1" applyBorder="1" applyProtection="1">
      <protection locked="0"/>
    </xf>
    <xf numFmtId="49" fontId="33" fillId="50" borderId="11" xfId="0" quotePrefix="1" applyNumberFormat="1" applyFont="1" applyFill="1" applyBorder="1" applyAlignment="1">
      <alignment horizontal="center"/>
    </xf>
    <xf numFmtId="49" fontId="33" fillId="50" borderId="11" xfId="0" applyNumberFormat="1" applyFont="1" applyFill="1" applyBorder="1"/>
    <xf numFmtId="49" fontId="33" fillId="51" borderId="11" xfId="0" quotePrefix="1" applyNumberFormat="1" applyFont="1" applyFill="1" applyBorder="1" applyAlignment="1">
      <alignment horizontal="center"/>
    </xf>
    <xf numFmtId="49" fontId="33" fillId="51" borderId="11" xfId="0" applyNumberFormat="1" applyFont="1" applyFill="1" applyBorder="1"/>
    <xf numFmtId="168" fontId="33" fillId="44" borderId="11" xfId="109" applyNumberFormat="1" applyFont="1" applyFill="1" applyBorder="1" applyProtection="1"/>
    <xf numFmtId="168" fontId="33" fillId="51" borderId="11" xfId="109" applyNumberFormat="1" applyFont="1" applyFill="1" applyBorder="1" applyProtection="1"/>
    <xf numFmtId="166" fontId="33" fillId="44" borderId="11" xfId="33" applyNumberFormat="1" applyFont="1" applyFill="1" applyBorder="1" applyProtection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70" fontId="8" fillId="3" borderId="0" xfId="20" applyNumberFormat="1" applyFont="1" applyFill="1" applyAlignment="1" applyProtection="1">
      <alignment wrapText="1"/>
    </xf>
    <xf numFmtId="170" fontId="8" fillId="3" borderId="0" xfId="20" applyNumberFormat="1" applyFont="1" applyFill="1" applyProtection="1"/>
    <xf numFmtId="170" fontId="33" fillId="3" borderId="0" xfId="0" applyNumberFormat="1" applyFont="1" applyFill="1" applyProtection="1"/>
    <xf numFmtId="170" fontId="30" fillId="40" borderId="11" xfId="0" applyNumberFormat="1" applyFont="1" applyFill="1" applyBorder="1" applyAlignment="1" applyProtection="1">
      <alignment horizontal="center" vertical="center" wrapText="1"/>
    </xf>
    <xf numFmtId="170" fontId="35" fillId="3" borderId="0" xfId="0" applyNumberFormat="1" applyFont="1" applyFill="1" applyAlignment="1" applyProtection="1">
      <alignment horizontal="center" vertical="center"/>
    </xf>
    <xf numFmtId="170" fontId="33" fillId="35" borderId="11" xfId="0" applyNumberFormat="1" applyFont="1" applyFill="1" applyBorder="1" applyProtection="1"/>
    <xf numFmtId="170" fontId="33" fillId="50" borderId="11" xfId="0" applyNumberFormat="1" applyFont="1" applyFill="1" applyBorder="1" applyProtection="1">
      <protection locked="0"/>
    </xf>
    <xf numFmtId="170" fontId="33" fillId="0" borderId="11" xfId="0" applyNumberFormat="1" applyFont="1" applyFill="1" applyBorder="1" applyProtection="1">
      <protection locked="0"/>
    </xf>
    <xf numFmtId="170" fontId="33" fillId="3" borderId="0" xfId="0" applyNumberFormat="1" applyFont="1" applyFill="1" applyBorder="1" applyProtection="1"/>
    <xf numFmtId="170" fontId="34" fillId="3" borderId="0" xfId="0" applyNumberFormat="1" applyFont="1" applyFill="1" applyBorder="1" applyProtection="1"/>
    <xf numFmtId="170" fontId="34" fillId="3" borderId="0" xfId="0" applyNumberFormat="1" applyFont="1" applyFill="1" applyBorder="1" applyAlignment="1" applyProtection="1">
      <alignment horizontal="center"/>
    </xf>
    <xf numFmtId="170" fontId="34" fillId="3" borderId="0" xfId="0" applyNumberFormat="1" applyFont="1" applyFill="1" applyProtection="1"/>
    <xf numFmtId="170" fontId="33" fillId="3" borderId="0" xfId="33" applyNumberFormat="1" applyFont="1" applyFill="1" applyBorder="1" applyProtection="1"/>
    <xf numFmtId="170" fontId="66" fillId="3" borderId="0" xfId="0" applyNumberFormat="1" applyFont="1" applyFill="1" applyAlignment="1" applyProtection="1">
      <alignment horizontal="right"/>
    </xf>
    <xf numFmtId="170" fontId="0" fillId="3" borderId="0" xfId="0" applyNumberFormat="1" applyFill="1" applyProtection="1"/>
    <xf numFmtId="49" fontId="33" fillId="0" borderId="11" xfId="0" quotePrefix="1" applyNumberFormat="1" applyFont="1" applyBorder="1" applyAlignment="1" applyProtection="1">
      <alignment horizontal="center"/>
      <protection locked="0"/>
    </xf>
    <xf numFmtId="49" fontId="33" fillId="0" borderId="11" xfId="0" applyNumberFormat="1" applyFont="1" applyBorder="1" applyProtection="1">
      <protection locked="0"/>
    </xf>
    <xf numFmtId="168" fontId="33" fillId="0" borderId="11" xfId="109" applyNumberFormat="1" applyFont="1" applyFill="1" applyBorder="1" applyProtection="1">
      <protection locked="0"/>
    </xf>
    <xf numFmtId="49" fontId="85" fillId="44" borderId="11" xfId="0" quotePrefix="1" applyNumberFormat="1" applyFont="1" applyFill="1" applyBorder="1" applyAlignment="1">
      <alignment horizontal="center"/>
    </xf>
    <xf numFmtId="49" fontId="33" fillId="0" borderId="11" xfId="0" quotePrefix="1" applyNumberFormat="1" applyFont="1" applyBorder="1" applyAlignment="1">
      <alignment horizontal="center"/>
    </xf>
    <xf numFmtId="49" fontId="33" fillId="0" borderId="11" xfId="0" applyNumberFormat="1" applyFont="1" applyBorder="1"/>
    <xf numFmtId="43" fontId="9" fillId="43" borderId="30" xfId="20" applyNumberFormat="1" applyFont="1" applyFill="1" applyBorder="1" applyAlignment="1">
      <alignment horizontal="right"/>
    </xf>
    <xf numFmtId="164" fontId="30" fillId="52" borderId="11" xfId="20" applyNumberFormat="1" applyFont="1" applyFill="1" applyBorder="1" applyAlignment="1">
      <alignment horizontal="center" vertical="center" wrapText="1"/>
    </xf>
    <xf numFmtId="9" fontId="9" fillId="43" borderId="30" xfId="33" applyNumberFormat="1" applyFont="1" applyFill="1" applyBorder="1" applyAlignment="1">
      <alignment horizontal="right"/>
    </xf>
    <xf numFmtId="168" fontId="9" fillId="43" borderId="31" xfId="20" applyNumberFormat="1" applyFont="1" applyFill="1" applyBorder="1" applyAlignment="1">
      <alignment horizontal="right"/>
    </xf>
    <xf numFmtId="9" fontId="9" fillId="43" borderId="28" xfId="33" applyNumberFormat="1" applyFont="1" applyFill="1" applyBorder="1" applyAlignment="1">
      <alignment horizontal="right"/>
    </xf>
    <xf numFmtId="43" fontId="9" fillId="43" borderId="28" xfId="20" applyNumberFormat="1" applyFont="1" applyFill="1" applyBorder="1" applyAlignment="1">
      <alignment horizontal="right"/>
    </xf>
    <xf numFmtId="0" fontId="47" fillId="43" borderId="32" xfId="20" applyFont="1" applyFill="1" applyBorder="1"/>
    <xf numFmtId="41" fontId="48" fillId="43" borderId="27" xfId="20" applyNumberFormat="1" applyFont="1" applyFill="1" applyBorder="1" applyAlignment="1">
      <alignment horizontal="right"/>
    </xf>
    <xf numFmtId="44" fontId="33" fillId="3" borderId="0" xfId="0" applyNumberFormat="1" applyFont="1" applyFill="1"/>
    <xf numFmtId="165" fontId="10" fillId="44" borderId="11" xfId="32" applyNumberFormat="1" applyFont="1" applyFill="1" applyBorder="1" applyProtection="1"/>
    <xf numFmtId="165" fontId="33" fillId="50" borderId="11" xfId="32" applyNumberFormat="1" applyFont="1" applyFill="1" applyBorder="1" applyProtection="1">
      <protection locked="0"/>
    </xf>
    <xf numFmtId="165" fontId="33" fillId="44" borderId="11" xfId="32" applyNumberFormat="1" applyFont="1" applyFill="1" applyBorder="1" applyProtection="1"/>
    <xf numFmtId="165" fontId="33" fillId="0" borderId="11" xfId="32" applyNumberFormat="1" applyFont="1" applyFill="1" applyBorder="1" applyProtection="1">
      <protection locked="0"/>
    </xf>
    <xf numFmtId="165" fontId="33" fillId="51" borderId="11" xfId="32" applyNumberFormat="1" applyFont="1" applyFill="1" applyBorder="1" applyProtection="1"/>
    <xf numFmtId="165" fontId="33" fillId="44" borderId="11" xfId="32" applyNumberFormat="1" applyFont="1" applyFill="1" applyBorder="1"/>
    <xf numFmtId="165" fontId="34" fillId="3" borderId="13" xfId="32" applyNumberFormat="1" applyFont="1" applyFill="1" applyBorder="1"/>
    <xf numFmtId="165" fontId="33" fillId="3" borderId="11" xfId="32" applyNumberFormat="1" applyFont="1" applyFill="1" applyBorder="1"/>
    <xf numFmtId="165" fontId="33" fillId="3" borderId="0" xfId="32" applyNumberFormat="1" applyFont="1" applyFill="1" applyBorder="1"/>
    <xf numFmtId="165" fontId="8" fillId="3" borderId="0" xfId="32" applyNumberFormat="1" applyFont="1" applyFill="1"/>
    <xf numFmtId="0" fontId="33" fillId="3" borderId="0" xfId="32" applyNumberFormat="1" applyFont="1" applyFill="1" applyAlignment="1">
      <alignment horizontal="center"/>
    </xf>
    <xf numFmtId="165" fontId="34" fillId="3" borderId="38" xfId="32" applyNumberFormat="1" applyFont="1" applyFill="1" applyBorder="1"/>
    <xf numFmtId="44" fontId="8" fillId="3" borderId="0" xfId="32" applyNumberFormat="1" applyFont="1" applyFill="1" applyAlignment="1">
      <alignment horizontal="center"/>
    </xf>
    <xf numFmtId="165" fontId="10" fillId="44" borderId="11" xfId="32" applyNumberFormat="1" applyFont="1" applyFill="1" applyBorder="1" applyAlignment="1" applyProtection="1">
      <alignment horizontal="center"/>
    </xf>
    <xf numFmtId="165" fontId="33" fillId="50" borderId="11" xfId="32" applyNumberFormat="1" applyFont="1" applyFill="1" applyBorder="1" applyAlignment="1" applyProtection="1">
      <alignment horizontal="center"/>
      <protection locked="0"/>
    </xf>
    <xf numFmtId="0" fontId="33" fillId="3" borderId="0" xfId="32" applyNumberFormat="1" applyFont="1" applyFill="1" applyBorder="1" applyAlignment="1">
      <alignment horizontal="center"/>
    </xf>
    <xf numFmtId="165" fontId="34" fillId="3" borderId="0" xfId="32" applyNumberFormat="1" applyFont="1" applyFill="1" applyBorder="1" applyAlignment="1">
      <alignment horizontal="center"/>
    </xf>
    <xf numFmtId="165" fontId="34" fillId="3" borderId="13" xfId="32" applyNumberFormat="1" applyFont="1" applyFill="1" applyBorder="1" applyAlignment="1">
      <alignment horizontal="center"/>
    </xf>
    <xf numFmtId="165" fontId="33" fillId="44" borderId="11" xfId="32" applyNumberFormat="1" applyFont="1" applyFill="1" applyBorder="1" applyAlignment="1" applyProtection="1">
      <alignment horizontal="center"/>
    </xf>
    <xf numFmtId="165" fontId="33" fillId="0" borderId="11" xfId="32" applyNumberFormat="1" applyFont="1" applyFill="1" applyBorder="1" applyAlignment="1" applyProtection="1">
      <alignment horizontal="center"/>
      <protection locked="0"/>
    </xf>
    <xf numFmtId="0" fontId="0" fillId="3" borderId="0" xfId="32" applyNumberFormat="1" applyFont="1" applyFill="1" applyAlignment="1">
      <alignment horizontal="center"/>
    </xf>
    <xf numFmtId="165" fontId="33" fillId="3" borderId="0" xfId="0" applyNumberFormat="1" applyFont="1" applyFill="1"/>
    <xf numFmtId="165" fontId="33" fillId="3" borderId="13" xfId="32" applyNumberFormat="1" applyFont="1" applyFill="1" applyBorder="1" applyAlignment="1">
      <alignment horizontal="center"/>
    </xf>
    <xf numFmtId="165" fontId="33" fillId="3" borderId="38" xfId="32" applyNumberFormat="1" applyFont="1" applyFill="1" applyBorder="1"/>
    <xf numFmtId="49" fontId="33" fillId="0" borderId="11" xfId="0" quotePrefix="1" applyNumberFormat="1" applyFont="1" applyFill="1" applyBorder="1" applyAlignment="1" applyProtection="1">
      <alignment horizontal="center"/>
      <protection locked="0"/>
    </xf>
    <xf numFmtId="49" fontId="33" fillId="0" borderId="11" xfId="0" applyNumberFormat="1" applyFont="1" applyFill="1" applyBorder="1" applyProtection="1">
      <protection locked="0"/>
    </xf>
    <xf numFmtId="165" fontId="33" fillId="0" borderId="11" xfId="32" applyNumberFormat="1" applyFont="1" applyFill="1" applyBorder="1"/>
    <xf numFmtId="0" fontId="33" fillId="0" borderId="0" xfId="0" applyFont="1" applyFill="1"/>
    <xf numFmtId="6" fontId="47" fillId="3" borderId="0" xfId="20" applyNumberFormat="1" applyFont="1" applyFill="1"/>
    <xf numFmtId="16" fontId="47" fillId="3" borderId="0" xfId="20" applyNumberFormat="1" applyFont="1" applyFill="1"/>
    <xf numFmtId="44" fontId="33" fillId="50" borderId="11" xfId="32" applyFont="1" applyFill="1" applyBorder="1" applyProtection="1"/>
    <xf numFmtId="41" fontId="47" fillId="53" borderId="5" xfId="20" applyNumberFormat="1" applyFont="1" applyFill="1" applyBorder="1" applyAlignment="1">
      <alignment vertical="center"/>
    </xf>
    <xf numFmtId="41" fontId="62" fillId="53" borderId="0" xfId="0" applyNumberFormat="1" applyFont="1" applyFill="1"/>
    <xf numFmtId="41" fontId="8" fillId="39" borderId="5" xfId="109" applyNumberFormat="1" applyFont="1" applyFill="1" applyBorder="1"/>
    <xf numFmtId="43" fontId="9" fillId="43" borderId="31" xfId="20" applyNumberFormat="1" applyFont="1" applyFill="1" applyBorder="1" applyAlignment="1">
      <alignment horizontal="right"/>
    </xf>
    <xf numFmtId="0" fontId="30" fillId="40" borderId="14" xfId="32" applyNumberFormat="1" applyFont="1" applyFill="1" applyBorder="1" applyAlignment="1">
      <alignment horizontal="center"/>
    </xf>
    <xf numFmtId="169" fontId="34" fillId="0" borderId="38" xfId="0" applyNumberFormat="1" applyFont="1" applyFill="1" applyBorder="1" applyAlignment="1" applyProtection="1">
      <alignment horizontal="center"/>
    </xf>
    <xf numFmtId="42" fontId="68" fillId="3" borderId="15" xfId="32" applyNumberFormat="1" applyFont="1" applyFill="1" applyBorder="1" applyProtection="1"/>
    <xf numFmtId="41" fontId="34" fillId="3" borderId="38" xfId="32" applyNumberFormat="1" applyFont="1" applyFill="1" applyBorder="1" applyProtection="1"/>
    <xf numFmtId="41" fontId="8" fillId="35" borderId="0" xfId="32" applyNumberFormat="1" applyFont="1" applyFill="1" applyBorder="1" applyProtection="1"/>
    <xf numFmtId="41" fontId="8" fillId="3" borderId="0" xfId="32" applyNumberFormat="1" applyFont="1" applyFill="1" applyBorder="1" applyProtection="1"/>
    <xf numFmtId="44" fontId="33" fillId="3" borderId="0" xfId="0" applyNumberFormat="1" applyFont="1" applyFill="1" applyAlignment="1" applyProtection="1">
      <alignment horizontal="center" vertical="center"/>
    </xf>
    <xf numFmtId="168" fontId="8" fillId="35" borderId="0" xfId="32" applyNumberFormat="1" applyFont="1" applyFill="1" applyBorder="1" applyProtection="1"/>
    <xf numFmtId="0" fontId="34" fillId="50" borderId="37" xfId="0" applyFont="1" applyFill="1" applyBorder="1" applyAlignment="1" applyProtection="1">
      <alignment horizontal="center" vertical="center"/>
    </xf>
    <xf numFmtId="0" fontId="33" fillId="35" borderId="11" xfId="0" applyNumberFormat="1" applyFont="1" applyFill="1" applyBorder="1" applyAlignment="1" applyProtection="1">
      <alignment horizontal="center"/>
    </xf>
    <xf numFmtId="0" fontId="69" fillId="36" borderId="31" xfId="20" applyFont="1" applyFill="1" applyBorder="1" applyAlignment="1">
      <alignment horizontal="center" wrapText="1"/>
    </xf>
    <xf numFmtId="0" fontId="69" fillId="36" borderId="2" xfId="20" applyFont="1" applyFill="1" applyBorder="1" applyAlignment="1">
      <alignment horizontal="center" wrapText="1"/>
    </xf>
    <xf numFmtId="168" fontId="9" fillId="43" borderId="30" xfId="20" applyNumberFormat="1" applyFont="1" applyFill="1" applyBorder="1" applyAlignment="1">
      <alignment horizontal="right"/>
    </xf>
    <xf numFmtId="9" fontId="9" fillId="43" borderId="30" xfId="33" applyFont="1" applyFill="1" applyBorder="1" applyAlignment="1">
      <alignment horizontal="right"/>
    </xf>
    <xf numFmtId="41" fontId="33" fillId="35" borderId="11" xfId="0" applyNumberFormat="1" applyFont="1" applyFill="1" applyBorder="1" applyAlignment="1" applyProtection="1">
      <alignment horizontal="center"/>
    </xf>
    <xf numFmtId="41" fontId="33" fillId="35" borderId="11" xfId="0" applyNumberFormat="1" applyFont="1" applyFill="1" applyBorder="1" applyProtection="1"/>
    <xf numFmtId="41" fontId="33" fillId="50" borderId="11" xfId="0" applyNumberFormat="1" applyFont="1" applyFill="1" applyBorder="1" applyProtection="1"/>
    <xf numFmtId="44" fontId="33" fillId="3" borderId="0" xfId="32" applyFont="1" applyFill="1" applyBorder="1" applyAlignment="1" applyProtection="1">
      <alignment horizontal="center" vertical="center"/>
    </xf>
    <xf numFmtId="165" fontId="33" fillId="3" borderId="0" xfId="32" applyNumberFormat="1" applyFont="1" applyFill="1" applyBorder="1" applyAlignment="1" applyProtection="1">
      <alignment horizontal="center" vertical="center"/>
    </xf>
    <xf numFmtId="42" fontId="68" fillId="35" borderId="11" xfId="0" applyNumberFormat="1" applyFont="1" applyFill="1" applyBorder="1"/>
    <xf numFmtId="1" fontId="67" fillId="35" borderId="11" xfId="0" applyNumberFormat="1" applyFont="1" applyFill="1" applyBorder="1" applyAlignment="1">
      <alignment horizontal="center" vertical="center"/>
    </xf>
    <xf numFmtId="41" fontId="10" fillId="53" borderId="0" xfId="0" applyNumberFormat="1" applyFont="1" applyFill="1"/>
    <xf numFmtId="0" fontId="33" fillId="0" borderId="11" xfId="0" applyFont="1" applyBorder="1" applyProtection="1">
      <protection locked="0"/>
    </xf>
    <xf numFmtId="44" fontId="33" fillId="44" borderId="11" xfId="32" applyFont="1" applyFill="1" applyBorder="1"/>
    <xf numFmtId="43" fontId="33" fillId="44" borderId="11" xfId="109" applyNumberFormat="1" applyFont="1" applyFill="1" applyBorder="1"/>
    <xf numFmtId="165" fontId="8" fillId="3" borderId="0" xfId="32" applyNumberFormat="1" applyFont="1" applyFill="1" applyAlignment="1">
      <alignment horizontal="center"/>
    </xf>
    <xf numFmtId="165" fontId="34" fillId="35" borderId="11" xfId="32" applyNumberFormat="1" applyFont="1" applyFill="1" applyBorder="1" applyAlignment="1">
      <alignment horizontal="center" vertical="center"/>
    </xf>
    <xf numFmtId="165" fontId="33" fillId="3" borderId="0" xfId="32" applyNumberFormat="1" applyFont="1" applyFill="1"/>
    <xf numFmtId="165" fontId="0" fillId="3" borderId="0" xfId="32" applyNumberFormat="1" applyFont="1" applyFill="1"/>
    <xf numFmtId="165" fontId="87" fillId="44" borderId="11" xfId="32" applyNumberFormat="1" applyFont="1" applyFill="1" applyBorder="1" applyProtection="1"/>
    <xf numFmtId="0" fontId="69" fillId="36" borderId="32" xfId="20" applyFont="1" applyFill="1" applyBorder="1" applyAlignment="1">
      <alignment horizontal="center" wrapText="1"/>
    </xf>
    <xf numFmtId="0" fontId="3" fillId="0" borderId="11" xfId="0" applyFont="1" applyBorder="1"/>
    <xf numFmtId="0" fontId="3" fillId="46" borderId="11" xfId="0" applyFont="1" applyFill="1" applyBorder="1"/>
    <xf numFmtId="0" fontId="80" fillId="0" borderId="11" xfId="0" applyFont="1" applyBorder="1"/>
    <xf numFmtId="0" fontId="9" fillId="35" borderId="11" xfId="20" applyFont="1" applyFill="1" applyBorder="1" applyAlignment="1">
      <alignment vertical="center"/>
    </xf>
    <xf numFmtId="42" fontId="10" fillId="35" borderId="11" xfId="0" applyNumberFormat="1" applyFont="1" applyFill="1" applyBorder="1"/>
    <xf numFmtId="41" fontId="47" fillId="35" borderId="11" xfId="20" applyNumberFormat="1" applyFont="1" applyFill="1" applyBorder="1" applyAlignment="1">
      <alignment vertical="center"/>
    </xf>
    <xf numFmtId="0" fontId="51" fillId="42" borderId="31" xfId="20" applyFont="1" applyFill="1" applyBorder="1" applyAlignment="1">
      <alignment horizontal="center" vertical="center"/>
    </xf>
    <xf numFmtId="0" fontId="51" fillId="42" borderId="32" xfId="20" applyFont="1" applyFill="1" applyBorder="1" applyAlignment="1">
      <alignment horizontal="center" vertical="center"/>
    </xf>
    <xf numFmtId="0" fontId="52" fillId="42" borderId="11" xfId="20" applyFont="1" applyFill="1" applyBorder="1" applyAlignment="1">
      <alignment horizontal="center"/>
    </xf>
    <xf numFmtId="0" fontId="51" fillId="3" borderId="0" xfId="20" applyFont="1" applyFill="1" applyAlignment="1">
      <alignment horizontal="center" vertical="top"/>
    </xf>
    <xf numFmtId="0" fontId="33" fillId="50" borderId="4" xfId="0" applyFont="1" applyFill="1" applyBorder="1" applyAlignment="1" applyProtection="1">
      <alignment horizontal="center"/>
      <protection locked="0"/>
    </xf>
    <xf numFmtId="0" fontId="33" fillId="50" borderId="5" xfId="0" applyFont="1" applyFill="1" applyBorder="1" applyAlignment="1" applyProtection="1">
      <alignment horizontal="center"/>
      <protection locked="0"/>
    </xf>
    <xf numFmtId="0" fontId="33" fillId="50" borderId="7" xfId="0" applyFont="1" applyFill="1" applyBorder="1" applyAlignment="1" applyProtection="1">
      <alignment horizontal="center"/>
      <protection locked="0"/>
    </xf>
    <xf numFmtId="0" fontId="34" fillId="35" borderId="14" xfId="0" applyFont="1" applyFill="1" applyBorder="1" applyAlignment="1" applyProtection="1">
      <alignment horizontal="center"/>
    </xf>
    <xf numFmtId="0" fontId="34" fillId="35" borderId="15" xfId="0" applyFont="1" applyFill="1" applyBorder="1" applyAlignment="1" applyProtection="1">
      <alignment horizontal="center"/>
    </xf>
    <xf numFmtId="0" fontId="34" fillId="35" borderId="16" xfId="0" applyFont="1" applyFill="1" applyBorder="1" applyAlignment="1" applyProtection="1">
      <alignment horizontal="center"/>
    </xf>
    <xf numFmtId="0" fontId="34" fillId="35" borderId="4" xfId="0" applyFont="1" applyFill="1" applyBorder="1" applyAlignment="1" applyProtection="1">
      <alignment horizontal="center"/>
    </xf>
    <xf numFmtId="0" fontId="34" fillId="35" borderId="5" xfId="0" applyFont="1" applyFill="1" applyBorder="1" applyAlignment="1" applyProtection="1">
      <alignment horizontal="center"/>
    </xf>
    <xf numFmtId="0" fontId="34" fillId="35" borderId="7" xfId="0" applyFont="1" applyFill="1" applyBorder="1" applyAlignment="1" applyProtection="1">
      <alignment horizontal="center"/>
    </xf>
    <xf numFmtId="0" fontId="34" fillId="35" borderId="11" xfId="0" applyFont="1" applyFill="1" applyBorder="1" applyAlignment="1" applyProtection="1">
      <alignment horizontal="center" vertical="center" wrapText="1"/>
    </xf>
    <xf numFmtId="0" fontId="34" fillId="35" borderId="4" xfId="0" applyFont="1" applyFill="1" applyBorder="1" applyAlignment="1" applyProtection="1">
      <alignment horizontal="center" vertical="center"/>
    </xf>
    <xf numFmtId="0" fontId="34" fillId="35" borderId="5" xfId="0" applyFont="1" applyFill="1" applyBorder="1" applyAlignment="1" applyProtection="1">
      <alignment horizontal="center" vertical="center"/>
    </xf>
    <xf numFmtId="0" fontId="34" fillId="35" borderId="7" xfId="0" applyFont="1" applyFill="1" applyBorder="1" applyAlignment="1" applyProtection="1">
      <alignment horizontal="center" vertical="center"/>
    </xf>
    <xf numFmtId="0" fontId="34" fillId="35" borderId="11" xfId="0" applyFont="1" applyFill="1" applyBorder="1" applyAlignment="1" applyProtection="1">
      <alignment horizontal="center" vertical="center"/>
    </xf>
    <xf numFmtId="44" fontId="34" fillId="35" borderId="31" xfId="32" applyFont="1" applyFill="1" applyBorder="1" applyAlignment="1" applyProtection="1">
      <alignment horizontal="center" vertical="center" wrapText="1"/>
    </xf>
    <xf numFmtId="44" fontId="34" fillId="35" borderId="32" xfId="32" applyFont="1" applyFill="1" applyBorder="1" applyAlignment="1" applyProtection="1">
      <alignment horizontal="center" vertical="center" wrapText="1"/>
    </xf>
    <xf numFmtId="0" fontId="34" fillId="35" borderId="9" xfId="0" applyFont="1" applyFill="1" applyBorder="1" applyAlignment="1" applyProtection="1">
      <alignment horizontal="center" vertical="center" wrapText="1"/>
    </xf>
    <xf numFmtId="0" fontId="34" fillId="35" borderId="10" xfId="0" applyFont="1" applyFill="1" applyBorder="1" applyAlignment="1" applyProtection="1">
      <alignment horizontal="center" vertical="center" wrapText="1"/>
    </xf>
    <xf numFmtId="0" fontId="34" fillId="35" borderId="2" xfId="0" applyFont="1" applyFill="1" applyBorder="1" applyAlignment="1" applyProtection="1">
      <alignment horizontal="center" vertical="center" wrapText="1"/>
    </xf>
    <xf numFmtId="0" fontId="34" fillId="35" borderId="3" xfId="0" applyFont="1" applyFill="1" applyBorder="1" applyAlignment="1" applyProtection="1">
      <alignment horizontal="center" vertical="center" wrapText="1"/>
    </xf>
    <xf numFmtId="165" fontId="33" fillId="3" borderId="4" xfId="32" applyNumberFormat="1" applyFont="1" applyFill="1" applyBorder="1" applyAlignment="1">
      <alignment horizontal="center"/>
    </xf>
    <xf numFmtId="165" fontId="33" fillId="3" borderId="5" xfId="32" applyNumberFormat="1" applyFont="1" applyFill="1" applyBorder="1" applyAlignment="1">
      <alignment horizontal="center"/>
    </xf>
    <xf numFmtId="165" fontId="33" fillId="3" borderId="7" xfId="32" applyNumberFormat="1" applyFont="1" applyFill="1" applyBorder="1" applyAlignment="1">
      <alignment horizontal="center"/>
    </xf>
    <xf numFmtId="168" fontId="33" fillId="3" borderId="4" xfId="109" applyNumberFormat="1" applyFont="1" applyFill="1" applyBorder="1" applyAlignment="1">
      <alignment horizontal="center"/>
    </xf>
    <xf numFmtId="168" fontId="33" fillId="3" borderId="5" xfId="109" applyNumberFormat="1" applyFont="1" applyFill="1" applyBorder="1" applyAlignment="1">
      <alignment horizontal="center"/>
    </xf>
    <xf numFmtId="168" fontId="33" fillId="3" borderId="7" xfId="109" applyNumberFormat="1" applyFont="1" applyFill="1" applyBorder="1" applyAlignment="1">
      <alignment horizontal="center"/>
    </xf>
    <xf numFmtId="0" fontId="34" fillId="35" borderId="14" xfId="0" applyFont="1" applyFill="1" applyBorder="1" applyAlignment="1">
      <alignment horizontal="center"/>
    </xf>
    <xf numFmtId="0" fontId="34" fillId="35" borderId="15" xfId="0" applyFont="1" applyFill="1" applyBorder="1" applyAlignment="1">
      <alignment horizontal="center"/>
    </xf>
    <xf numFmtId="0" fontId="34" fillId="35" borderId="16" xfId="0" applyFont="1" applyFill="1" applyBorder="1" applyAlignment="1">
      <alignment horizontal="center"/>
    </xf>
  </cellXfs>
  <cellStyles count="110">
    <cellStyle name="20% - Accent1" xfId="49" builtinId="30" customBuiltin="1"/>
    <cellStyle name="20% - Accent1 2" xfId="78" xr:uid="{00000000-0005-0000-0000-000001000000}"/>
    <cellStyle name="20% - Accent1 3" xfId="93" xr:uid="{00000000-0005-0000-0000-000002000000}"/>
    <cellStyle name="20% - Accent2" xfId="52" builtinId="34" customBuiltin="1"/>
    <cellStyle name="20% - Accent2 2" xfId="80" xr:uid="{00000000-0005-0000-0000-000004000000}"/>
    <cellStyle name="20% - Accent2 3" xfId="95" xr:uid="{00000000-0005-0000-0000-000005000000}"/>
    <cellStyle name="20% - Accent3" xfId="55" builtinId="38" customBuiltin="1"/>
    <cellStyle name="20% - Accent3 2" xfId="82" xr:uid="{00000000-0005-0000-0000-000007000000}"/>
    <cellStyle name="20% - Accent3 3" xfId="97" xr:uid="{00000000-0005-0000-0000-000008000000}"/>
    <cellStyle name="20% - Accent4" xfId="58" builtinId="42" customBuiltin="1"/>
    <cellStyle name="20% - Accent4 2" xfId="84" xr:uid="{00000000-0005-0000-0000-00000A000000}"/>
    <cellStyle name="20% - Accent4 3" xfId="99" xr:uid="{00000000-0005-0000-0000-00000B000000}"/>
    <cellStyle name="20% - Accent5" xfId="61" builtinId="46" customBuiltin="1"/>
    <cellStyle name="20% - Accent5 2" xfId="86" xr:uid="{00000000-0005-0000-0000-00000D000000}"/>
    <cellStyle name="20% - Accent5 3" xfId="101" xr:uid="{00000000-0005-0000-0000-00000E000000}"/>
    <cellStyle name="20% - Accent6" xfId="64" builtinId="50" customBuiltin="1"/>
    <cellStyle name="20% - Accent6 2" xfId="88" xr:uid="{00000000-0005-0000-0000-000010000000}"/>
    <cellStyle name="20% - Accent6 3" xfId="103" xr:uid="{00000000-0005-0000-0000-000011000000}"/>
    <cellStyle name="40% - Accent1" xfId="50" builtinId="31" customBuiltin="1"/>
    <cellStyle name="40% - Accent1 2" xfId="79" xr:uid="{00000000-0005-0000-0000-000013000000}"/>
    <cellStyle name="40% - Accent1 3" xfId="94" xr:uid="{00000000-0005-0000-0000-000014000000}"/>
    <cellStyle name="40% - Accent2" xfId="53" builtinId="35" customBuiltin="1"/>
    <cellStyle name="40% - Accent2 2" xfId="81" xr:uid="{00000000-0005-0000-0000-000016000000}"/>
    <cellStyle name="40% - Accent2 3" xfId="96" xr:uid="{00000000-0005-0000-0000-000017000000}"/>
    <cellStyle name="40% - Accent3" xfId="56" builtinId="39" customBuiltin="1"/>
    <cellStyle name="40% - Accent3 2" xfId="83" xr:uid="{00000000-0005-0000-0000-000019000000}"/>
    <cellStyle name="40% - Accent3 3" xfId="98" xr:uid="{00000000-0005-0000-0000-00001A000000}"/>
    <cellStyle name="40% - Accent4" xfId="59" builtinId="43" customBuiltin="1"/>
    <cellStyle name="40% - Accent4 2" xfId="85" xr:uid="{00000000-0005-0000-0000-00001C000000}"/>
    <cellStyle name="40% - Accent4 3" xfId="100" xr:uid="{00000000-0005-0000-0000-00001D000000}"/>
    <cellStyle name="40% - Accent5" xfId="62" builtinId="47" customBuiltin="1"/>
    <cellStyle name="40% - Accent5 2" xfId="87" xr:uid="{00000000-0005-0000-0000-00001F000000}"/>
    <cellStyle name="40% - Accent5 3" xfId="102" xr:uid="{00000000-0005-0000-0000-000020000000}"/>
    <cellStyle name="40% - Accent6" xfId="65" builtinId="51" customBuiltin="1"/>
    <cellStyle name="40% - Accent6 2" xfId="89" xr:uid="{00000000-0005-0000-0000-000022000000}"/>
    <cellStyle name="40% - Accent6 3" xfId="104" xr:uid="{00000000-0005-0000-0000-000023000000}"/>
    <cellStyle name="60% - Accent1 2" xfId="69" xr:uid="{00000000-0005-0000-0000-000024000000}"/>
    <cellStyle name="60% - Accent2 2" xfId="70" xr:uid="{00000000-0005-0000-0000-000025000000}"/>
    <cellStyle name="60% - Accent3 2" xfId="71" xr:uid="{00000000-0005-0000-0000-000026000000}"/>
    <cellStyle name="60% - Accent4 2" xfId="72" xr:uid="{00000000-0005-0000-0000-000027000000}"/>
    <cellStyle name="60% - Accent5 2" xfId="73" xr:uid="{00000000-0005-0000-0000-000028000000}"/>
    <cellStyle name="60% - Accent6 2" xfId="74" xr:uid="{00000000-0005-0000-0000-000029000000}"/>
    <cellStyle name="Accent1" xfId="48" builtinId="29" customBuiltin="1"/>
    <cellStyle name="Accent2" xfId="51" builtinId="33" customBuiltin="1"/>
    <cellStyle name="Accent3" xfId="54" builtinId="37" customBuiltin="1"/>
    <cellStyle name="Accent4" xfId="57" builtinId="41" customBuiltin="1"/>
    <cellStyle name="Accent5" xfId="60" builtinId="45" customBuiltin="1"/>
    <cellStyle name="Accent6" xfId="63" builtinId="49" customBuiltin="1"/>
    <cellStyle name="ALSTEC Bottom" xfId="2" xr:uid="{00000000-0005-0000-0000-000030000000}"/>
    <cellStyle name="ALSTEC Bottom Left" xfId="3" xr:uid="{00000000-0005-0000-0000-000031000000}"/>
    <cellStyle name="ALSTEC Bottom Left 2" xfId="21" xr:uid="{00000000-0005-0000-0000-000032000000}"/>
    <cellStyle name="ALSTEC Bottom Left 3" xfId="28" xr:uid="{00000000-0005-0000-0000-000033000000}"/>
    <cellStyle name="ALSTEC Bottom Left 4" xfId="30" xr:uid="{00000000-0005-0000-0000-000034000000}"/>
    <cellStyle name="ALSTEC Bottom Left_ActBRD" xfId="23" xr:uid="{00000000-0005-0000-0000-000035000000}"/>
    <cellStyle name="ALSTEC Bottom Right" xfId="4" xr:uid="{00000000-0005-0000-0000-000036000000}"/>
    <cellStyle name="ALSTEC Bottom Right 2" xfId="22" xr:uid="{00000000-0005-0000-0000-000037000000}"/>
    <cellStyle name="ALSTEC Bottom Right 3" xfId="29" xr:uid="{00000000-0005-0000-0000-000038000000}"/>
    <cellStyle name="ALSTEC Bottom Right 4" xfId="31" xr:uid="{00000000-0005-0000-0000-000039000000}"/>
    <cellStyle name="ALSTEC Bottom Right_ActBRD" xfId="24" xr:uid="{00000000-0005-0000-0000-00003A000000}"/>
    <cellStyle name="ALSTEC Currency" xfId="5" xr:uid="{00000000-0005-0000-0000-00003B000000}"/>
    <cellStyle name="ALSTEC Date" xfId="6" xr:uid="{00000000-0005-0000-0000-00003C000000}"/>
    <cellStyle name="ALSTEC Detail Header" xfId="7" xr:uid="{00000000-0005-0000-0000-00003D000000}"/>
    <cellStyle name="ALSTEC DOUBLE" xfId="8" xr:uid="{00000000-0005-0000-0000-00003E000000}"/>
    <cellStyle name="ALSTEC DOUBLE 2" xfId="26" xr:uid="{00000000-0005-0000-0000-00003F000000}"/>
    <cellStyle name="ALSTEC Left" xfId="9" xr:uid="{00000000-0005-0000-0000-000040000000}"/>
    <cellStyle name="ALSTEC Middle" xfId="10" xr:uid="{00000000-0005-0000-0000-000041000000}"/>
    <cellStyle name="ALSTEC Normal" xfId="11" xr:uid="{00000000-0005-0000-0000-000042000000}"/>
    <cellStyle name="ALSTEC Normal 2" xfId="27" xr:uid="{00000000-0005-0000-0000-000043000000}"/>
    <cellStyle name="ALSTEC Normal_ActBRD" xfId="12" xr:uid="{00000000-0005-0000-0000-000044000000}"/>
    <cellStyle name="ALSTEC Report Body" xfId="13" xr:uid="{00000000-0005-0000-0000-000045000000}"/>
    <cellStyle name="ALSTEC Right" xfId="14" xr:uid="{00000000-0005-0000-0000-000046000000}"/>
    <cellStyle name="ALSTEC Subtotal" xfId="15" xr:uid="{00000000-0005-0000-0000-000047000000}"/>
    <cellStyle name="ALSTEC Top" xfId="16" xr:uid="{00000000-0005-0000-0000-000048000000}"/>
    <cellStyle name="ALSTEC Top Left" xfId="17" xr:uid="{00000000-0005-0000-0000-000049000000}"/>
    <cellStyle name="ALSTEC Top Right" xfId="18" xr:uid="{00000000-0005-0000-0000-00004A000000}"/>
    <cellStyle name="ALSTEC Total" xfId="19" xr:uid="{00000000-0005-0000-0000-00004B000000}"/>
    <cellStyle name="Bad" xfId="39" builtinId="27" customBuiltin="1"/>
    <cellStyle name="Calculation" xfId="42" builtinId="22" customBuiltin="1"/>
    <cellStyle name="Check Cell" xfId="44" builtinId="23" customBuiltin="1"/>
    <cellStyle name="Comma" xfId="109" builtinId="3"/>
    <cellStyle name="Comma 2" xfId="66" xr:uid="{00000000-0005-0000-0000-000050000000}"/>
    <cellStyle name="Currency" xfId="32" builtinId="4"/>
    <cellStyle name="Explanatory Text" xfId="46" builtinId="53" customBuiltin="1"/>
    <cellStyle name="Good" xfId="38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40" builtinId="20" customBuiltin="1"/>
    <cellStyle name="Linked Cell" xfId="43" builtinId="24" customBuiltin="1"/>
    <cellStyle name="Neutral 2" xfId="68" xr:uid="{00000000-0005-0000-0000-00005A000000}"/>
    <cellStyle name="Normal" xfId="0" builtinId="0"/>
    <cellStyle name="Normal 2" xfId="20" xr:uid="{00000000-0005-0000-0000-00005C000000}"/>
    <cellStyle name="Normal 3" xfId="25" xr:uid="{00000000-0005-0000-0000-00005D000000}"/>
    <cellStyle name="Normal 3 2" xfId="90" xr:uid="{00000000-0005-0000-0000-00005E000000}"/>
    <cellStyle name="Normal 3 3" xfId="105" xr:uid="{00000000-0005-0000-0000-00005F000000}"/>
    <cellStyle name="Normal 3 4" xfId="75" xr:uid="{00000000-0005-0000-0000-000060000000}"/>
    <cellStyle name="Normal 4" xfId="1" xr:uid="{00000000-0005-0000-0000-000061000000}"/>
    <cellStyle name="Normal 4 2" xfId="92" xr:uid="{00000000-0005-0000-0000-000062000000}"/>
    <cellStyle name="Normal 4 3" xfId="107" xr:uid="{00000000-0005-0000-0000-000063000000}"/>
    <cellStyle name="Normal 4 4" xfId="77" xr:uid="{00000000-0005-0000-0000-000064000000}"/>
    <cellStyle name="Normal 4 5" xfId="108" xr:uid="{00000000-0005-0000-0000-000065000000}"/>
    <cellStyle name="Note 2" xfId="76" xr:uid="{00000000-0005-0000-0000-000066000000}"/>
    <cellStyle name="Note 2 2" xfId="91" xr:uid="{00000000-0005-0000-0000-000067000000}"/>
    <cellStyle name="Note 2 3" xfId="106" xr:uid="{00000000-0005-0000-0000-000068000000}"/>
    <cellStyle name="Output" xfId="41" builtinId="21" customBuiltin="1"/>
    <cellStyle name="Percent" xfId="33" builtinId="5"/>
    <cellStyle name="Title 2" xfId="67" xr:uid="{00000000-0005-0000-0000-00006B000000}"/>
    <cellStyle name="Total" xfId="47" builtinId="25" customBuiltin="1"/>
    <cellStyle name="Warning Text" xfId="45" builtinId="11" customBuiltin="1"/>
  </cellStyles>
  <dxfs count="17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9C9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57430715729441"/>
          <c:y val="0.20162948205748887"/>
          <c:w val="0.81893899937615655"/>
          <c:h val="0.51068696021621696"/>
        </c:manualLayout>
      </c:layout>
      <c:lineChart>
        <c:grouping val="standard"/>
        <c:varyColors val="0"/>
        <c:ser>
          <c:idx val="1"/>
          <c:order val="0"/>
          <c:tx>
            <c:v>Final Cash</c:v>
          </c:tx>
          <c:marker>
            <c:symbol val="none"/>
          </c:marker>
          <c:cat>
            <c:numRef>
              <c:f>'FY21'!$E$4:$P$4</c:f>
              <c:numCache>
                <c:formatCode>[$-409]mmm\-yy;@</c:formatCode>
                <c:ptCount val="12"/>
                <c:pt idx="0">
                  <c:v>44013</c:v>
                </c:pt>
                <c:pt idx="1">
                  <c:v>44044</c:v>
                </c:pt>
                <c:pt idx="2">
                  <c:v>44075</c:v>
                </c:pt>
                <c:pt idx="3">
                  <c:v>44106</c:v>
                </c:pt>
                <c:pt idx="4">
                  <c:v>44137</c:v>
                </c:pt>
                <c:pt idx="5">
                  <c:v>44168</c:v>
                </c:pt>
                <c:pt idx="6">
                  <c:v>44199</c:v>
                </c:pt>
                <c:pt idx="7">
                  <c:v>44230</c:v>
                </c:pt>
                <c:pt idx="8">
                  <c:v>44261</c:v>
                </c:pt>
                <c:pt idx="9">
                  <c:v>44292</c:v>
                </c:pt>
                <c:pt idx="10">
                  <c:v>44323</c:v>
                </c:pt>
                <c:pt idx="11">
                  <c:v>44354</c:v>
                </c:pt>
              </c:numCache>
            </c:numRef>
          </c:cat>
          <c:val>
            <c:numRef>
              <c:f>'FY21'!$E$141:$P$141</c:f>
              <c:numCache>
                <c:formatCode>_("$"* #,##0_);_("$"* \(#,##0\);_("$"* "-"_);_(@_)</c:formatCode>
                <c:ptCount val="12"/>
                <c:pt idx="0">
                  <c:v>17012.886878166657</c:v>
                </c:pt>
                <c:pt idx="1">
                  <c:v>32352.718756333314</c:v>
                </c:pt>
                <c:pt idx="2">
                  <c:v>47302.550634499974</c:v>
                </c:pt>
                <c:pt idx="3">
                  <c:v>15921.257512666627</c:v>
                </c:pt>
                <c:pt idx="4">
                  <c:v>-24665.855609166712</c:v>
                </c:pt>
                <c:pt idx="5">
                  <c:v>-6812.9687310000554</c:v>
                </c:pt>
                <c:pt idx="6">
                  <c:v>29839.043147166598</c:v>
                </c:pt>
                <c:pt idx="7">
                  <c:v>45148.875025333255</c:v>
                </c:pt>
                <c:pt idx="8">
                  <c:v>18499.401903499915</c:v>
                </c:pt>
                <c:pt idx="9">
                  <c:v>-41212.711218333425</c:v>
                </c:pt>
                <c:pt idx="10">
                  <c:v>-699.82434016675688</c:v>
                </c:pt>
                <c:pt idx="11">
                  <c:v>15452.1875379999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91-4F21-951B-0220FA957A02}"/>
            </c:ext>
          </c:extLst>
        </c:ser>
        <c:ser>
          <c:idx val="2"/>
          <c:order val="1"/>
          <c:tx>
            <c:v>Original Cash</c:v>
          </c:tx>
          <c:marker>
            <c:symbol val="none"/>
          </c:marker>
          <c:cat>
            <c:numRef>
              <c:f>'FY21'!$E$4:$P$4</c:f>
              <c:numCache>
                <c:formatCode>[$-409]mmm\-yy;@</c:formatCode>
                <c:ptCount val="12"/>
                <c:pt idx="0">
                  <c:v>44013</c:v>
                </c:pt>
                <c:pt idx="1">
                  <c:v>44044</c:v>
                </c:pt>
                <c:pt idx="2">
                  <c:v>44075</c:v>
                </c:pt>
                <c:pt idx="3">
                  <c:v>44106</c:v>
                </c:pt>
                <c:pt idx="4">
                  <c:v>44137</c:v>
                </c:pt>
                <c:pt idx="5">
                  <c:v>44168</c:v>
                </c:pt>
                <c:pt idx="6">
                  <c:v>44199</c:v>
                </c:pt>
                <c:pt idx="7">
                  <c:v>44230</c:v>
                </c:pt>
                <c:pt idx="8">
                  <c:v>44261</c:v>
                </c:pt>
                <c:pt idx="9">
                  <c:v>44292</c:v>
                </c:pt>
                <c:pt idx="10">
                  <c:v>44323</c:v>
                </c:pt>
                <c:pt idx="11">
                  <c:v>44354</c:v>
                </c:pt>
              </c:numCache>
            </c:numRef>
          </c:cat>
          <c:val>
            <c:numRef>
              <c:f>'Original Budget'!$E$141:$P$141</c:f>
              <c:numCache>
                <c:formatCode>_("$"* #,##0_);_("$"* \(#,##0\);_("$"* "-"_);_(@_)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C91-4F21-951B-0220FA957A02}"/>
            </c:ext>
          </c:extLst>
        </c:ser>
        <c:ser>
          <c:idx val="0"/>
          <c:order val="2"/>
          <c:tx>
            <c:v>Revised Cash</c:v>
          </c:tx>
          <c:marker>
            <c:symbol val="none"/>
          </c:marker>
          <c:val>
            <c:numRef>
              <c:f>'Revised Budget'!$E$141:$P$141</c:f>
              <c:numCache>
                <c:formatCode>_("$"* #,##0_);_("$"* \(#,##0\);_("$"* "-"_);_(@_)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B2-4CB7-B6E3-4AC93E3327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005608"/>
        <c:axId val="164002080"/>
      </c:lineChart>
      <c:dateAx>
        <c:axId val="164005608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low"/>
        <c:spPr>
          <a:ln w="3175">
            <a:solidFill>
              <a:schemeClr val="tx1"/>
            </a:solidFill>
            <a:prstDash val="solid"/>
          </a:ln>
        </c:spPr>
        <c:txPr>
          <a:bodyPr rot="-2700000" vert="horz"/>
          <a:lstStyle/>
          <a:p>
            <a:pPr>
              <a:defRPr sz="800"/>
            </a:pPr>
            <a:endParaRPr lang="en-US"/>
          </a:p>
        </c:txPr>
        <c:crossAx val="164002080"/>
        <c:crosses val="autoZero"/>
        <c:auto val="1"/>
        <c:lblOffset val="100"/>
        <c:baseTimeUnit val="months"/>
        <c:majorTimeUnit val="months"/>
        <c:minorUnit val="1"/>
        <c:minorTimeUnit val="months"/>
      </c:dateAx>
      <c:valAx>
        <c:axId val="164002080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>
                  <a:lumMod val="75000"/>
                  <a:lumOff val="25000"/>
                  <a:alpha val="70000"/>
                </a:schemeClr>
              </a:solidFill>
              <a:prstDash val="solid"/>
            </a:ln>
          </c:spPr>
        </c:majorGridlines>
        <c:numFmt formatCode="_(&quot;$&quot;* #,##0_);_(&quot;$&quot;* \(#,##0\);_(&quot;$&quot;* &quot;-&quot;_);_(@_)" sourceLinked="0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/>
            </a:pPr>
            <a:endParaRPr lang="en-US"/>
          </a:p>
        </c:txPr>
        <c:crossAx val="164005608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7.5135104008370234E-3"/>
                <c:y val="0.28299159115362843"/>
              </c:manualLayout>
            </c:layout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</c:dispUnitsLbl>
        </c:dispUnits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  <a:effectLst>
          <a:softEdge rad="63500"/>
        </a:effectLst>
        <a:scene3d>
          <a:camera prst="orthographicFront"/>
          <a:lightRig rig="threePt" dir="t"/>
        </a:scene3d>
        <a:sp3d prstMaterial="dkEdge">
          <a:bevelB/>
        </a:sp3d>
      </c:spPr>
    </c:plotArea>
    <c:plotVisOnly val="1"/>
    <c:dispBlanksAs val="gap"/>
    <c:showDLblsOverMax val="0"/>
  </c:chart>
  <c:spPr>
    <a:solidFill>
      <a:schemeClr val="bg1">
        <a:lumMod val="85000"/>
      </a:schemeClr>
    </a:solidFill>
    <a:ln w="3175" cap="rnd" cmpd="sng">
      <a:solidFill>
        <a:schemeClr val="tx1"/>
      </a:solidFill>
      <a:prstDash val="solid"/>
      <a:miter lim="800000"/>
    </a:ln>
    <a:effectLst/>
    <a:scene3d>
      <a:camera prst="orthographicFront"/>
      <a:lightRig rig="threePt" dir="t"/>
    </a:scene3d>
    <a:sp3d/>
  </c:spPr>
  <c:txPr>
    <a:bodyPr/>
    <a:lstStyle/>
    <a:p>
      <a:pPr>
        <a:defRPr sz="7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639913960310465E-2"/>
          <c:y val="0.20162948205748887"/>
          <c:w val="0.86087342565969927"/>
          <c:h val="0.48252126671008599"/>
        </c:manualLayout>
      </c:layout>
      <c:lineChart>
        <c:grouping val="standard"/>
        <c:varyColors val="0"/>
        <c:ser>
          <c:idx val="0"/>
          <c:order val="0"/>
          <c:tx>
            <c:v>ACTUAL/FINAL CASH</c:v>
          </c:tx>
          <c:marker>
            <c:symbol val="none"/>
          </c:marker>
          <c:cat>
            <c:numRef>
              <c:f>'FY21'!$E$4:$P$4</c:f>
              <c:numCache>
                <c:formatCode>[$-409]mmm\-yy;@</c:formatCode>
                <c:ptCount val="12"/>
                <c:pt idx="0">
                  <c:v>44013</c:v>
                </c:pt>
                <c:pt idx="1">
                  <c:v>44044</c:v>
                </c:pt>
                <c:pt idx="2">
                  <c:v>44075</c:v>
                </c:pt>
                <c:pt idx="3">
                  <c:v>44106</c:v>
                </c:pt>
                <c:pt idx="4">
                  <c:v>44137</c:v>
                </c:pt>
                <c:pt idx="5">
                  <c:v>44168</c:v>
                </c:pt>
                <c:pt idx="6">
                  <c:v>44199</c:v>
                </c:pt>
                <c:pt idx="7">
                  <c:v>44230</c:v>
                </c:pt>
                <c:pt idx="8">
                  <c:v>44261</c:v>
                </c:pt>
                <c:pt idx="9">
                  <c:v>44292</c:v>
                </c:pt>
                <c:pt idx="10">
                  <c:v>44323</c:v>
                </c:pt>
                <c:pt idx="11">
                  <c:v>44354</c:v>
                </c:pt>
              </c:numCache>
            </c:numRef>
          </c:cat>
          <c:val>
            <c:numRef>
              <c:f>'FY21'!$E$141:$P$141</c:f>
              <c:numCache>
                <c:formatCode>_("$"* #,##0_);_("$"* \(#,##0\);_("$"* "-"_);_(@_)</c:formatCode>
                <c:ptCount val="12"/>
                <c:pt idx="0">
                  <c:v>17012.886878166657</c:v>
                </c:pt>
                <c:pt idx="1">
                  <c:v>32352.718756333314</c:v>
                </c:pt>
                <c:pt idx="2">
                  <c:v>47302.550634499974</c:v>
                </c:pt>
                <c:pt idx="3">
                  <c:v>15921.257512666627</c:v>
                </c:pt>
                <c:pt idx="4">
                  <c:v>-24665.855609166712</c:v>
                </c:pt>
                <c:pt idx="5">
                  <c:v>-6812.9687310000554</c:v>
                </c:pt>
                <c:pt idx="6">
                  <c:v>29839.043147166598</c:v>
                </c:pt>
                <c:pt idx="7">
                  <c:v>45148.875025333255</c:v>
                </c:pt>
                <c:pt idx="8">
                  <c:v>18499.401903499915</c:v>
                </c:pt>
                <c:pt idx="9">
                  <c:v>-41212.711218333425</c:v>
                </c:pt>
                <c:pt idx="10">
                  <c:v>-699.82434016675688</c:v>
                </c:pt>
                <c:pt idx="11">
                  <c:v>15452.1875379999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FF-4748-960B-6A85150FCB2A}"/>
            </c:ext>
          </c:extLst>
        </c:ser>
        <c:ser>
          <c:idx val="1"/>
          <c:order val="1"/>
          <c:tx>
            <c:v>GOAL 10% CASH (apprx. 30 dyas)</c:v>
          </c:tx>
          <c:spPr>
            <a:ln>
              <a:solidFill>
                <a:srgbClr val="C00000"/>
              </a:solidFill>
              <a:prstDash val="sysDash"/>
            </a:ln>
          </c:spPr>
          <c:marker>
            <c:symbol val="none"/>
          </c:marker>
          <c:cat>
            <c:numRef>
              <c:f>'FY21'!$E$4:$P$4</c:f>
              <c:numCache>
                <c:formatCode>[$-409]mmm\-yy;@</c:formatCode>
                <c:ptCount val="12"/>
                <c:pt idx="0">
                  <c:v>44013</c:v>
                </c:pt>
                <c:pt idx="1">
                  <c:v>44044</c:v>
                </c:pt>
                <c:pt idx="2">
                  <c:v>44075</c:v>
                </c:pt>
                <c:pt idx="3">
                  <c:v>44106</c:v>
                </c:pt>
                <c:pt idx="4">
                  <c:v>44137</c:v>
                </c:pt>
                <c:pt idx="5">
                  <c:v>44168</c:v>
                </c:pt>
                <c:pt idx="6">
                  <c:v>44199</c:v>
                </c:pt>
                <c:pt idx="7">
                  <c:v>44230</c:v>
                </c:pt>
                <c:pt idx="8">
                  <c:v>44261</c:v>
                </c:pt>
                <c:pt idx="9">
                  <c:v>44292</c:v>
                </c:pt>
                <c:pt idx="10">
                  <c:v>44323</c:v>
                </c:pt>
                <c:pt idx="11">
                  <c:v>44354</c:v>
                </c:pt>
              </c:numCache>
            </c:numRef>
          </c:cat>
          <c:val>
            <c:numRef>
              <c:f>'FY21'!$E$142:$P$142</c:f>
              <c:numCache>
                <c:formatCode>_(* #,##0_);_(* \(#,##0\);_(* "-"_);_(@_)</c:formatCode>
                <c:ptCount val="12"/>
                <c:pt idx="0">
                  <c:v>47925.981246199997</c:v>
                </c:pt>
                <c:pt idx="1">
                  <c:v>47925.981246199997</c:v>
                </c:pt>
                <c:pt idx="2">
                  <c:v>47925.981246199997</c:v>
                </c:pt>
                <c:pt idx="3">
                  <c:v>47925.981246199997</c:v>
                </c:pt>
                <c:pt idx="4">
                  <c:v>47925.981246199997</c:v>
                </c:pt>
                <c:pt idx="5">
                  <c:v>47925.981246199997</c:v>
                </c:pt>
                <c:pt idx="6">
                  <c:v>47925.981246199997</c:v>
                </c:pt>
                <c:pt idx="7">
                  <c:v>47925.981246199997</c:v>
                </c:pt>
                <c:pt idx="8">
                  <c:v>47925.981246199997</c:v>
                </c:pt>
                <c:pt idx="9">
                  <c:v>47925.981246199997</c:v>
                </c:pt>
                <c:pt idx="10">
                  <c:v>47925.981246199997</c:v>
                </c:pt>
                <c:pt idx="11">
                  <c:v>47925.981246199997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E0FF-4748-960B-6A85150FCB2A}"/>
            </c:ext>
          </c:extLst>
        </c:ser>
        <c:ser>
          <c:idx val="2"/>
          <c:order val="2"/>
          <c:tx>
            <c:v>REVISED CASH</c:v>
          </c:tx>
          <c:marker>
            <c:symbol val="none"/>
          </c:marker>
          <c:cat>
            <c:numRef>
              <c:f>'FY21'!$E$4:$P$4</c:f>
              <c:numCache>
                <c:formatCode>[$-409]mmm\-yy;@</c:formatCode>
                <c:ptCount val="12"/>
                <c:pt idx="0">
                  <c:v>44013</c:v>
                </c:pt>
                <c:pt idx="1">
                  <c:v>44044</c:v>
                </c:pt>
                <c:pt idx="2">
                  <c:v>44075</c:v>
                </c:pt>
                <c:pt idx="3">
                  <c:v>44106</c:v>
                </c:pt>
                <c:pt idx="4">
                  <c:v>44137</c:v>
                </c:pt>
                <c:pt idx="5">
                  <c:v>44168</c:v>
                </c:pt>
                <c:pt idx="6">
                  <c:v>44199</c:v>
                </c:pt>
                <c:pt idx="7">
                  <c:v>44230</c:v>
                </c:pt>
                <c:pt idx="8">
                  <c:v>44261</c:v>
                </c:pt>
                <c:pt idx="9">
                  <c:v>44292</c:v>
                </c:pt>
                <c:pt idx="10">
                  <c:v>44323</c:v>
                </c:pt>
                <c:pt idx="11">
                  <c:v>44354</c:v>
                </c:pt>
              </c:numCache>
            </c:numRef>
          </c:cat>
          <c:val>
            <c:numRef>
              <c:f>'Revised Budget'!$E$141:$P$141</c:f>
              <c:numCache>
                <c:formatCode>_("$"* #,##0_);_("$"* \(#,##0\);_("$"* "-"_);_(@_)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0FF-4748-960B-6A85150FCB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005608"/>
        <c:axId val="164002080"/>
        <c:extLst/>
      </c:lineChart>
      <c:dateAx>
        <c:axId val="164005608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low"/>
        <c:spPr>
          <a:ln w="3175">
            <a:solidFill>
              <a:schemeClr val="tx1"/>
            </a:solidFill>
            <a:prstDash val="solid"/>
          </a:ln>
        </c:spPr>
        <c:txPr>
          <a:bodyPr rot="-2700000" vert="horz"/>
          <a:lstStyle/>
          <a:p>
            <a:pPr>
              <a:defRPr sz="800"/>
            </a:pPr>
            <a:endParaRPr lang="en-US"/>
          </a:p>
        </c:txPr>
        <c:crossAx val="164002080"/>
        <c:crosses val="autoZero"/>
        <c:auto val="1"/>
        <c:lblOffset val="100"/>
        <c:baseTimeUnit val="months"/>
        <c:majorTimeUnit val="months"/>
        <c:minorUnit val="1"/>
        <c:minorTimeUnit val="months"/>
      </c:dateAx>
      <c:valAx>
        <c:axId val="164002080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>
                  <a:lumMod val="75000"/>
                  <a:lumOff val="25000"/>
                  <a:alpha val="70000"/>
                </a:schemeClr>
              </a:solidFill>
              <a:prstDash val="solid"/>
            </a:ln>
          </c:spPr>
        </c:majorGridlines>
        <c:numFmt formatCode="_(&quot;$&quot;* #,##0_);_(&quot;$&quot;* \(#,##0\);_(&quot;$&quot;* &quot;-&quot;_);_(@_)" sourceLinked="0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/>
            </a:pPr>
            <a:endParaRPr lang="en-US"/>
          </a:p>
        </c:txPr>
        <c:crossAx val="164005608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7.5135104008370234E-3"/>
                <c:y val="0.28299159115362843"/>
              </c:manualLayout>
            </c:layout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</c:dispUnitsLbl>
        </c:dispUnits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  <a:effectLst>
          <a:softEdge rad="63500"/>
        </a:effectLst>
        <a:scene3d>
          <a:camera prst="orthographicFront"/>
          <a:lightRig rig="threePt" dir="t"/>
        </a:scene3d>
        <a:sp3d prstMaterial="dkEdge">
          <a:bevelB/>
        </a:sp3d>
      </c:spPr>
    </c:plotArea>
    <c:legend>
      <c:legendPos val="b"/>
      <c:layout>
        <c:manualLayout>
          <c:xMode val="edge"/>
          <c:yMode val="edge"/>
          <c:x val="0.15014040242917523"/>
          <c:y val="0.88622634659159205"/>
          <c:w val="0.71813558318744364"/>
          <c:h val="0.11377365340840798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3175" cap="rnd" cmpd="sng">
      <a:solidFill>
        <a:schemeClr val="tx1"/>
      </a:solidFill>
      <a:prstDash val="solid"/>
      <a:miter lim="800000"/>
    </a:ln>
    <a:effectLst/>
    <a:scene3d>
      <a:camera prst="orthographicFront"/>
      <a:lightRig rig="threePt" dir="t"/>
    </a:scene3d>
    <a:sp3d/>
  </c:spPr>
  <c:txPr>
    <a:bodyPr/>
    <a:lstStyle/>
    <a:p>
      <a:pPr>
        <a:defRPr sz="7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891303850339202"/>
          <c:y val="0.10286382472829579"/>
          <c:w val="0.77006488121025307"/>
          <c:h val="0.62529323095039191"/>
        </c:manualLayout>
      </c:layout>
      <c:lineChart>
        <c:grouping val="standard"/>
        <c:varyColors val="0"/>
        <c:ser>
          <c:idx val="3"/>
          <c:order val="0"/>
          <c:tx>
            <c:v>Budget</c:v>
          </c:tx>
          <c:marker>
            <c:symbol val="none"/>
          </c:marker>
          <c:cat>
            <c:numRef>
              <c:f>'FY21'!$E$4:$P$4</c:f>
              <c:numCache>
                <c:formatCode>[$-409]mmm\-yy;@</c:formatCode>
                <c:ptCount val="12"/>
                <c:pt idx="0">
                  <c:v>44013</c:v>
                </c:pt>
                <c:pt idx="1">
                  <c:v>44044</c:v>
                </c:pt>
                <c:pt idx="2">
                  <c:v>44075</c:v>
                </c:pt>
                <c:pt idx="3">
                  <c:v>44106</c:v>
                </c:pt>
                <c:pt idx="4">
                  <c:v>44137</c:v>
                </c:pt>
                <c:pt idx="5">
                  <c:v>44168</c:v>
                </c:pt>
                <c:pt idx="6">
                  <c:v>44199</c:v>
                </c:pt>
                <c:pt idx="7">
                  <c:v>44230</c:v>
                </c:pt>
                <c:pt idx="8">
                  <c:v>44261</c:v>
                </c:pt>
                <c:pt idx="9">
                  <c:v>44292</c:v>
                </c:pt>
                <c:pt idx="10">
                  <c:v>44323</c:v>
                </c:pt>
                <c:pt idx="11">
                  <c:v>44354</c:v>
                </c:pt>
              </c:numCache>
            </c:numRef>
          </c:cat>
          <c:val>
            <c:numRef>
              <c:f>'Revised Budget'!$E$160:$P$160</c:f>
              <c:numCache>
                <c:formatCode>_(* #,##0_);_(* \(#,##0\);_(* "-"_);_(@_)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32-4323-9875-53615537A85E}"/>
            </c:ext>
          </c:extLst>
        </c:ser>
        <c:ser>
          <c:idx val="1"/>
          <c:order val="1"/>
          <c:tx>
            <c:v>Actual</c:v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'FY21'!$E$4:$P$4</c:f>
              <c:numCache>
                <c:formatCode>[$-409]mmm\-yy;@</c:formatCode>
                <c:ptCount val="12"/>
                <c:pt idx="0">
                  <c:v>44013</c:v>
                </c:pt>
                <c:pt idx="1">
                  <c:v>44044</c:v>
                </c:pt>
                <c:pt idx="2">
                  <c:v>44075</c:v>
                </c:pt>
                <c:pt idx="3">
                  <c:v>44106</c:v>
                </c:pt>
                <c:pt idx="4">
                  <c:v>44137</c:v>
                </c:pt>
                <c:pt idx="5">
                  <c:v>44168</c:v>
                </c:pt>
                <c:pt idx="6">
                  <c:v>44199</c:v>
                </c:pt>
                <c:pt idx="7">
                  <c:v>44230</c:v>
                </c:pt>
                <c:pt idx="8">
                  <c:v>44261</c:v>
                </c:pt>
                <c:pt idx="9">
                  <c:v>44292</c:v>
                </c:pt>
                <c:pt idx="10">
                  <c:v>44323</c:v>
                </c:pt>
                <c:pt idx="11">
                  <c:v>44354</c:v>
                </c:pt>
              </c:numCache>
            </c:numRef>
          </c:cat>
          <c:val>
            <c:numRef>
              <c:f>'Rev &amp; Enroll'!$Q$24:$AB$24</c:f>
              <c:numCache>
                <c:formatCode>_(* #,##0_);_(* \(#,##0\);_(* "-"_);_(@_)</c:formatCode>
                <c:ptCount val="12"/>
                <c:pt idx="0">
                  <c:v>88</c:v>
                </c:pt>
                <c:pt idx="1">
                  <c:v>88</c:v>
                </c:pt>
                <c:pt idx="2">
                  <c:v>88</c:v>
                </c:pt>
                <c:pt idx="3">
                  <c:v>88</c:v>
                </c:pt>
                <c:pt idx="4">
                  <c:v>88</c:v>
                </c:pt>
                <c:pt idx="5">
                  <c:v>88</c:v>
                </c:pt>
                <c:pt idx="6">
                  <c:v>88</c:v>
                </c:pt>
                <c:pt idx="7">
                  <c:v>88</c:v>
                </c:pt>
                <c:pt idx="8">
                  <c:v>88</c:v>
                </c:pt>
                <c:pt idx="9">
                  <c:v>88</c:v>
                </c:pt>
                <c:pt idx="10">
                  <c:v>88</c:v>
                </c:pt>
                <c:pt idx="11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32-4323-9875-53615537A8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000512"/>
        <c:axId val="164003256"/>
      </c:lineChart>
      <c:dateAx>
        <c:axId val="164000512"/>
        <c:scaling>
          <c:orientation val="minMax"/>
        </c:scaling>
        <c:delete val="1"/>
        <c:axPos val="b"/>
        <c:numFmt formatCode="[$-409]mmm\-yy;@" sourceLinked="0"/>
        <c:majorTickMark val="in"/>
        <c:minorTickMark val="none"/>
        <c:tickLblPos val="nextTo"/>
        <c:crossAx val="164003256"/>
        <c:crosses val="autoZero"/>
        <c:auto val="1"/>
        <c:lblOffset val="100"/>
        <c:baseTimeUnit val="months"/>
        <c:majorUnit val="1"/>
        <c:minorUnit val="1"/>
      </c:dateAx>
      <c:valAx>
        <c:axId val="164003256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>
                  <a:lumMod val="65000"/>
                  <a:lumOff val="35000"/>
                </a:schemeClr>
              </a:solidFill>
              <a:prstDash val="solid"/>
            </a:ln>
          </c:spPr>
        </c:majorGridlines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chemeClr val="tx1">
                <a:lumMod val="75000"/>
                <a:lumOff val="2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b="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en-US"/>
          </a:p>
        </c:txPr>
        <c:crossAx val="164000512"/>
        <c:crosses val="autoZero"/>
        <c:crossBetween val="between"/>
      </c:valAx>
      <c:spPr>
        <a:solidFill>
          <a:schemeClr val="bg1">
            <a:alpha val="75000"/>
          </a:schemeClr>
        </a:solidFill>
        <a:ln w="3175">
          <a:solidFill>
            <a:schemeClr val="accent3">
              <a:lumMod val="50000"/>
            </a:schemeClr>
          </a:solidFill>
        </a:ln>
      </c:spPr>
    </c:plotArea>
    <c:legend>
      <c:legendPos val="l"/>
      <c:overlay val="0"/>
      <c:spPr>
        <a:solidFill>
          <a:srgbClr val="FFFFFF">
            <a:alpha val="75000"/>
          </a:srgbClr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>
              <a:solidFill>
                <a:schemeClr val="tx1">
                  <a:lumMod val="85000"/>
                  <a:lumOff val="15000"/>
                </a:schemeClr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3175" cap="sq" cmpd="sng">
      <a:solidFill>
        <a:schemeClr val="tx1"/>
      </a:solidFill>
      <a:prstDash val="solid"/>
      <a:bevel/>
    </a:ln>
    <a:effectLst/>
    <a:scene3d>
      <a:camera prst="orthographicFront"/>
      <a:lightRig rig="threePt" dir="t"/>
    </a:scene3d>
    <a:sp3d prstMaterial="matte"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88827</xdr:colOff>
      <xdr:row>47</xdr:row>
      <xdr:rowOff>168966</xdr:rowOff>
    </xdr:from>
    <xdr:to>
      <xdr:col>8</xdr:col>
      <xdr:colOff>159024</xdr:colOff>
      <xdr:row>55</xdr:row>
      <xdr:rowOff>43272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ABCD1FCF-FEAA-4782-8585-98F020DAF4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0.24236</cdr:x>
      <cdr:y>0.00316</cdr:y>
    </cdr:from>
    <cdr:to>
      <cdr:x>0.7615</cdr:x>
      <cdr:y>0.18771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00994" y="4016"/>
          <a:ext cx="2358353" cy="2345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/>
          <a:r>
            <a:rPr lang="en-US" sz="1100" b="1" i="0" baseline="0">
              <a:effectLst/>
              <a:latin typeface="+mn-lt"/>
              <a:ea typeface="+mn-ea"/>
              <a:cs typeface="+mn-cs"/>
            </a:rPr>
            <a:t>Month-End Cash Balance Surplus/(Deficit)</a:t>
          </a:r>
          <a:endParaRPr lang="en-US" sz="1050">
            <a:effectLst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29193</xdr:colOff>
      <xdr:row>46</xdr:row>
      <xdr:rowOff>158047</xdr:rowOff>
    </xdr:from>
    <xdr:to>
      <xdr:col>11</xdr:col>
      <xdr:colOff>59635</xdr:colOff>
      <xdr:row>56</xdr:row>
      <xdr:rowOff>76200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A60EA5D7-3158-4410-BF73-5BD8D2EE4F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4</xdr:col>
      <xdr:colOff>1658</xdr:colOff>
      <xdr:row>4</xdr:row>
      <xdr:rowOff>163993</xdr:rowOff>
    </xdr:from>
    <xdr:to>
      <xdr:col>11</xdr:col>
      <xdr:colOff>1</xdr:colOff>
      <xdr:row>9</xdr:row>
      <xdr:rowOff>104363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7964B786-F740-4571-B71A-058953B72B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0.24236</cdr:x>
      <cdr:y>0.00316</cdr:y>
    </cdr:from>
    <cdr:to>
      <cdr:x>0.7615</cdr:x>
      <cdr:y>0.1388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14267" y="4595"/>
          <a:ext cx="3457809" cy="1971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/>
          <a:r>
            <a:rPr lang="en-US" sz="1100" b="1" i="0" baseline="0">
              <a:effectLst/>
              <a:latin typeface="+mn-lt"/>
              <a:ea typeface="+mn-ea"/>
              <a:cs typeface="+mn-cs"/>
            </a:rPr>
            <a:t>Month-End Cash Balance Surplus/(Deficit)</a:t>
          </a:r>
          <a:endParaRPr lang="en-US" sz="1050">
            <a:effectLst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O61"/>
  <sheetViews>
    <sheetView tabSelected="1" zoomScale="85" zoomScaleNormal="85" workbookViewId="0">
      <selection sqref="A1:XFD1048576"/>
    </sheetView>
  </sheetViews>
  <sheetFormatPr defaultColWidth="8.85546875" defaultRowHeight="12.75" x14ac:dyDescent="0.2"/>
  <cols>
    <col min="1" max="1" width="1.7109375" style="119" customWidth="1"/>
    <col min="2" max="2" width="1.5703125" style="119" customWidth="1"/>
    <col min="3" max="3" width="27.140625" style="119" customWidth="1"/>
    <col min="4" max="4" width="1.28515625" style="119" customWidth="1"/>
    <col min="5" max="5" width="17.85546875" style="119" customWidth="1"/>
    <col min="6" max="6" width="14.42578125" style="119" hidden="1" customWidth="1"/>
    <col min="7" max="8" width="17.85546875" style="119" customWidth="1"/>
    <col min="9" max="9" width="3.7109375" style="119" customWidth="1"/>
    <col min="10" max="12" width="8.85546875" style="119"/>
    <col min="13" max="15" width="9.85546875" style="119" customWidth="1"/>
    <col min="16" max="16" width="8.85546875" style="119"/>
    <col min="17" max="17" width="21.28515625" style="119" customWidth="1"/>
    <col min="18" max="18" width="1.7109375" style="119" customWidth="1"/>
    <col min="19" max="23" width="12.7109375" style="119" customWidth="1"/>
    <col min="24" max="16384" width="8.85546875" style="119"/>
  </cols>
  <sheetData>
    <row r="1" spans="1:15" s="1" customFormat="1" ht="23.25" x14ac:dyDescent="0.35">
      <c r="A1" s="197" t="str">
        <f>'Rev &amp; Enroll'!$F$5</f>
        <v>Nevada State High School (Northwest)</v>
      </c>
      <c r="B1" s="81"/>
      <c r="C1" s="17"/>
      <c r="E1" s="2"/>
      <c r="H1" s="2"/>
      <c r="J1" s="2"/>
    </row>
    <row r="2" spans="1:15" s="1" customFormat="1" ht="15.75" x14ac:dyDescent="0.25">
      <c r="A2" s="198" t="str">
        <f>CONCATENATE('Rev &amp; Enroll'!F7," ","Budget Summary")</f>
        <v>FY21 Budget Summary</v>
      </c>
      <c r="B2" s="82"/>
      <c r="C2" s="17"/>
      <c r="D2" s="13"/>
      <c r="E2" s="2"/>
      <c r="H2" s="2"/>
      <c r="J2" s="2"/>
    </row>
    <row r="3" spans="1:15" s="6" customFormat="1" ht="13.5" customHeight="1" x14ac:dyDescent="0.2">
      <c r="A3" s="5" t="str">
        <f>'FY21'!A3</f>
        <v>Board Approved: Proposed: 4/16/2020</v>
      </c>
      <c r="B3" s="83"/>
      <c r="C3" s="17"/>
      <c r="E3" s="7"/>
      <c r="H3" s="7"/>
      <c r="J3" s="225"/>
    </row>
    <row r="4" spans="1:15" s="6" customFormat="1" ht="13.5" customHeight="1" x14ac:dyDescent="0.2">
      <c r="A4" s="5"/>
      <c r="B4" s="83"/>
      <c r="C4" s="17"/>
      <c r="E4" s="7"/>
      <c r="H4" s="7"/>
      <c r="J4" s="225"/>
    </row>
    <row r="5" spans="1:15" s="6" customFormat="1" ht="13.5" customHeight="1" x14ac:dyDescent="0.2">
      <c r="A5" s="5"/>
      <c r="B5" s="83"/>
      <c r="C5" s="17"/>
      <c r="E5" s="7"/>
      <c r="H5" s="7"/>
      <c r="J5" s="225"/>
    </row>
    <row r="6" spans="1:15" x14ac:dyDescent="0.2">
      <c r="A6" s="120"/>
      <c r="C6" s="227"/>
      <c r="D6" s="227"/>
      <c r="E6" s="227"/>
      <c r="F6" s="227"/>
      <c r="G6" s="227"/>
      <c r="H6" s="227"/>
    </row>
    <row r="7" spans="1:15" x14ac:dyDescent="0.2">
      <c r="A7" s="121"/>
      <c r="B7" s="122"/>
      <c r="C7" s="227"/>
      <c r="D7" s="227"/>
      <c r="E7" s="226" t="s">
        <v>563</v>
      </c>
      <c r="F7" s="226" t="str">
        <f>MYP!E4</f>
        <v>FY21</v>
      </c>
      <c r="G7" s="226" t="str">
        <f>MYP!E4</f>
        <v>FY21</v>
      </c>
      <c r="H7" s="681" t="s">
        <v>147</v>
      </c>
      <c r="J7" s="230" t="s">
        <v>362</v>
      </c>
    </row>
    <row r="8" spans="1:15" x14ac:dyDescent="0.2">
      <c r="A8" s="121"/>
      <c r="B8" s="122"/>
      <c r="C8" s="227"/>
      <c r="D8" s="227"/>
      <c r="E8" s="126" t="s">
        <v>526</v>
      </c>
      <c r="F8" s="126" t="s">
        <v>509</v>
      </c>
      <c r="G8" s="126" t="s">
        <v>562</v>
      </c>
      <c r="H8" s="682"/>
    </row>
    <row r="9" spans="1:15" s="230" customFormat="1" ht="14.85" customHeight="1" x14ac:dyDescent="0.2">
      <c r="A9" s="229"/>
      <c r="B9" s="228" t="s">
        <v>142</v>
      </c>
      <c r="D9" s="231"/>
      <c r="E9" s="373">
        <v>68</v>
      </c>
      <c r="F9" s="232">
        <f>'Revised Budget'!Q160</f>
        <v>0</v>
      </c>
      <c r="G9" s="232">
        <f>AVERAGE('Rev &amp; Enroll'!W24:AB24)</f>
        <v>88</v>
      </c>
      <c r="H9" s="232">
        <f>+G9-E9</f>
        <v>20</v>
      </c>
    </row>
    <row r="10" spans="1:15" x14ac:dyDescent="0.2">
      <c r="B10" s="124" t="s">
        <v>148</v>
      </c>
      <c r="C10" s="125"/>
      <c r="D10" s="125"/>
      <c r="E10" s="128"/>
      <c r="F10" s="129"/>
      <c r="G10" s="129"/>
      <c r="H10" s="130"/>
    </row>
    <row r="11" spans="1:15" x14ac:dyDescent="0.2">
      <c r="B11" s="124"/>
      <c r="C11" s="131" t="s">
        <v>172</v>
      </c>
      <c r="D11" s="131"/>
      <c r="E11" s="102">
        <v>166150.71</v>
      </c>
      <c r="F11" s="171">
        <f>'Revised Budget'!S13</f>
        <v>0</v>
      </c>
      <c r="G11" s="171">
        <f>'FY21'!S13</f>
        <v>443519.99999999994</v>
      </c>
      <c r="H11" s="103">
        <f>G11-E11</f>
        <v>277369.28999999992</v>
      </c>
      <c r="K11" s="110"/>
    </row>
    <row r="12" spans="1:15" x14ac:dyDescent="0.2">
      <c r="B12" s="124"/>
      <c r="C12" s="125" t="s">
        <v>171</v>
      </c>
      <c r="D12" s="125"/>
      <c r="E12" s="105">
        <v>21462.67</v>
      </c>
      <c r="F12" s="172">
        <f>'Revised Budget'!S17</f>
        <v>0</v>
      </c>
      <c r="G12" s="172">
        <f>'FY21'!S17</f>
        <v>51192</v>
      </c>
      <c r="H12" s="106">
        <f>G12-E12</f>
        <v>29729.33</v>
      </c>
      <c r="L12" s="110"/>
    </row>
    <row r="13" spans="1:15" x14ac:dyDescent="0.2">
      <c r="B13" s="124"/>
      <c r="C13" s="131" t="s">
        <v>149</v>
      </c>
      <c r="D13" s="131"/>
      <c r="E13" s="108">
        <v>0</v>
      </c>
      <c r="F13" s="152">
        <f>'Revised Budget'!S22</f>
        <v>0</v>
      </c>
      <c r="G13" s="152">
        <f>'FY21'!S22</f>
        <v>0</v>
      </c>
      <c r="H13" s="109">
        <f>G13-E13</f>
        <v>0</v>
      </c>
      <c r="I13" s="110"/>
      <c r="M13" s="638"/>
      <c r="N13" s="637"/>
      <c r="O13" s="637"/>
    </row>
    <row r="14" spans="1:15" ht="15" x14ac:dyDescent="0.35">
      <c r="B14" s="124"/>
      <c r="C14" s="132" t="s">
        <v>150</v>
      </c>
      <c r="D14" s="132"/>
      <c r="E14" s="111">
        <v>0</v>
      </c>
      <c r="F14" s="173">
        <f>'Revised Budget'!S25</f>
        <v>0</v>
      </c>
      <c r="G14" s="173">
        <f>'FY21'!S25</f>
        <v>0</v>
      </c>
      <c r="H14" s="112">
        <f>G14-E14</f>
        <v>0</v>
      </c>
      <c r="I14" s="110"/>
      <c r="O14" s="637"/>
    </row>
    <row r="15" spans="1:15" ht="5.0999999999999996" customHeight="1" x14ac:dyDescent="0.2">
      <c r="B15" s="124"/>
      <c r="C15" s="125"/>
      <c r="D15" s="125"/>
      <c r="E15" s="108"/>
      <c r="F15" s="152"/>
      <c r="G15" s="152"/>
      <c r="H15" s="109"/>
      <c r="I15" s="110"/>
    </row>
    <row r="16" spans="1:15" s="120" customFormat="1" ht="15" x14ac:dyDescent="0.35">
      <c r="C16" s="124" t="s">
        <v>105</v>
      </c>
      <c r="D16" s="124"/>
      <c r="E16" s="133">
        <f>SUM(E11:E14)</f>
        <v>187613.38</v>
      </c>
      <c r="F16" s="174">
        <f>SUM(F11:F14)</f>
        <v>0</v>
      </c>
      <c r="G16" s="174">
        <f>SUM(G11:G14)</f>
        <v>494711.99999999994</v>
      </c>
      <c r="H16" s="134">
        <f>SUM(H11:H14)</f>
        <v>307098.61999999994</v>
      </c>
      <c r="I16" s="136"/>
    </row>
    <row r="17" spans="2:9" ht="5.0999999999999996" customHeight="1" x14ac:dyDescent="0.2">
      <c r="B17" s="120"/>
      <c r="E17" s="108"/>
      <c r="F17" s="152"/>
      <c r="G17" s="152"/>
      <c r="H17" s="109"/>
      <c r="I17" s="110"/>
    </row>
    <row r="18" spans="2:9" x14ac:dyDescent="0.2">
      <c r="B18" s="120" t="s">
        <v>59</v>
      </c>
      <c r="E18" s="114"/>
      <c r="F18" s="153"/>
      <c r="G18" s="153"/>
      <c r="H18" s="115"/>
      <c r="I18" s="110"/>
    </row>
    <row r="19" spans="2:9" x14ac:dyDescent="0.2">
      <c r="B19" s="120"/>
      <c r="C19" s="119" t="s">
        <v>175</v>
      </c>
      <c r="E19" s="114">
        <v>28038.54175</v>
      </c>
      <c r="F19" s="153">
        <f>'Revised Budget'!S41</f>
        <v>0</v>
      </c>
      <c r="G19" s="153">
        <f>'FY21'!S41</f>
        <v>151647.092</v>
      </c>
      <c r="H19" s="103">
        <f t="shared" ref="H19:H27" si="0">G19-E19</f>
        <v>123608.55025</v>
      </c>
      <c r="I19" s="110"/>
    </row>
    <row r="20" spans="2:9" x14ac:dyDescent="0.2">
      <c r="B20" s="120"/>
      <c r="C20" s="119" t="s">
        <v>174</v>
      </c>
      <c r="E20" s="108">
        <v>4673.4765329375005</v>
      </c>
      <c r="F20" s="152">
        <f>'Revised Budget'!S62</f>
        <v>0</v>
      </c>
      <c r="G20" s="152">
        <f>'FY21'!S62</f>
        <v>41863.720461999997</v>
      </c>
      <c r="H20" s="109">
        <f t="shared" si="0"/>
        <v>37190.243929062497</v>
      </c>
      <c r="I20" s="110"/>
    </row>
    <row r="21" spans="2:9" x14ac:dyDescent="0.2">
      <c r="B21" s="120"/>
      <c r="C21" s="137" t="s">
        <v>176</v>
      </c>
      <c r="D21" s="137"/>
      <c r="E21" s="108">
        <v>5609.42</v>
      </c>
      <c r="F21" s="152">
        <f>'Revised Budget'!S74</f>
        <v>0</v>
      </c>
      <c r="G21" s="152">
        <f>'FY21'!S74</f>
        <v>13168</v>
      </c>
      <c r="H21" s="109">
        <f t="shared" si="0"/>
        <v>7558.58</v>
      </c>
      <c r="I21" s="110"/>
    </row>
    <row r="22" spans="2:9" x14ac:dyDescent="0.2">
      <c r="C22" s="137" t="s">
        <v>173</v>
      </c>
      <c r="D22" s="137"/>
      <c r="E22" s="108">
        <v>76599.509999999995</v>
      </c>
      <c r="F22" s="152">
        <f>'Revised Budget'!S80</f>
        <v>0</v>
      </c>
      <c r="G22" s="152">
        <f>'FY21'!S80</f>
        <v>36085</v>
      </c>
      <c r="H22" s="109">
        <f t="shared" si="0"/>
        <v>-40514.509999999995</v>
      </c>
      <c r="I22" s="110"/>
    </row>
    <row r="23" spans="2:9" x14ac:dyDescent="0.2">
      <c r="C23" s="137" t="s">
        <v>101</v>
      </c>
      <c r="D23" s="137"/>
      <c r="E23" s="108">
        <v>81594</v>
      </c>
      <c r="F23" s="152">
        <f>'Revised Budget'!S94</f>
        <v>0</v>
      </c>
      <c r="G23" s="152">
        <f>'FY21'!S94</f>
        <v>194524</v>
      </c>
      <c r="H23" s="109">
        <f t="shared" si="0"/>
        <v>112930</v>
      </c>
      <c r="I23" s="110"/>
    </row>
    <row r="24" spans="2:9" x14ac:dyDescent="0.2">
      <c r="C24" s="137" t="s">
        <v>102</v>
      </c>
      <c r="D24" s="137"/>
      <c r="E24" s="108">
        <v>62576.049999999996</v>
      </c>
      <c r="F24" s="152">
        <f>'Revised Budget'!S103</f>
        <v>0</v>
      </c>
      <c r="G24" s="152">
        <f>'FY21'!S103</f>
        <v>41292</v>
      </c>
      <c r="H24" s="109">
        <f t="shared" si="0"/>
        <v>-21284.049999999996</v>
      </c>
      <c r="I24" s="110"/>
    </row>
    <row r="25" spans="2:9" x14ac:dyDescent="0.2">
      <c r="C25" s="137" t="s">
        <v>103</v>
      </c>
      <c r="D25" s="137"/>
      <c r="E25" s="108">
        <v>0</v>
      </c>
      <c r="F25" s="152">
        <f>'Revised Budget'!S106</f>
        <v>0</v>
      </c>
      <c r="G25" s="152">
        <f>'FY21'!S106</f>
        <v>0</v>
      </c>
      <c r="H25" s="109">
        <f t="shared" si="0"/>
        <v>0</v>
      </c>
      <c r="I25" s="110"/>
    </row>
    <row r="26" spans="2:9" x14ac:dyDescent="0.2">
      <c r="C26" s="137" t="s">
        <v>104</v>
      </c>
      <c r="D26" s="137"/>
      <c r="E26" s="108">
        <v>1929</v>
      </c>
      <c r="F26" s="152">
        <f>'Revised Budget'!S109</f>
        <v>0</v>
      </c>
      <c r="G26" s="152">
        <f>'FY21'!S109</f>
        <v>680</v>
      </c>
      <c r="H26" s="109">
        <f t="shared" si="0"/>
        <v>-1249</v>
      </c>
      <c r="I26" s="110"/>
    </row>
    <row r="27" spans="2:9" ht="15" x14ac:dyDescent="0.35">
      <c r="C27" s="137" t="s">
        <v>43</v>
      </c>
      <c r="D27" s="137"/>
      <c r="E27" s="111">
        <v>0</v>
      </c>
      <c r="F27" s="173">
        <f>'Revised Budget'!S113</f>
        <v>0</v>
      </c>
      <c r="G27" s="173">
        <f>'FY21'!S113</f>
        <v>0</v>
      </c>
      <c r="H27" s="112">
        <f t="shared" si="0"/>
        <v>0</v>
      </c>
      <c r="I27" s="110"/>
    </row>
    <row r="28" spans="2:9" ht="5.0999999999999996" customHeight="1" x14ac:dyDescent="0.2">
      <c r="E28" s="108"/>
      <c r="F28" s="152"/>
      <c r="G28" s="152"/>
      <c r="H28" s="109"/>
      <c r="I28" s="110"/>
    </row>
    <row r="29" spans="2:9" s="120" customFormat="1" ht="15" x14ac:dyDescent="0.35">
      <c r="C29" s="124" t="s">
        <v>107</v>
      </c>
      <c r="D29" s="124"/>
      <c r="E29" s="133">
        <f>ROUND(SUM(E19:E28),0)</f>
        <v>261020</v>
      </c>
      <c r="F29" s="174">
        <f>ROUND(SUM(F19:F28),0)</f>
        <v>0</v>
      </c>
      <c r="G29" s="174">
        <f>ROUND(SUM(G19:G28),0)</f>
        <v>479260</v>
      </c>
      <c r="H29" s="134">
        <f>SUM(H19:H28)</f>
        <v>218239.81417906249</v>
      </c>
      <c r="I29" s="136"/>
    </row>
    <row r="30" spans="2:9" x14ac:dyDescent="0.2">
      <c r="B30" s="124"/>
      <c r="C30" s="125"/>
      <c r="D30" s="125"/>
      <c r="E30" s="138"/>
      <c r="F30" s="237"/>
      <c r="G30" s="237"/>
      <c r="H30" s="139"/>
    </row>
    <row r="31" spans="2:9" s="141" customFormat="1" x14ac:dyDescent="0.2">
      <c r="C31" s="141" t="s">
        <v>151</v>
      </c>
      <c r="E31" s="138">
        <f>E16-E29</f>
        <v>-73406.62</v>
      </c>
      <c r="F31" s="237">
        <f>F16-F29</f>
        <v>0</v>
      </c>
      <c r="G31" s="237">
        <f>G16-G29</f>
        <v>15451.999999999942</v>
      </c>
      <c r="H31" s="139">
        <f>H16-H29</f>
        <v>88858.805820937443</v>
      </c>
    </row>
    <row r="32" spans="2:9" s="141" customFormat="1" ht="5.0999999999999996" customHeight="1" x14ac:dyDescent="0.2">
      <c r="E32" s="142"/>
      <c r="F32" s="235"/>
      <c r="G32" s="235"/>
      <c r="H32" s="143"/>
    </row>
    <row r="33" spans="2:10" s="141" customFormat="1" x14ac:dyDescent="0.2">
      <c r="C33" s="144" t="s">
        <v>152</v>
      </c>
      <c r="E33" s="145">
        <v>120000</v>
      </c>
      <c r="F33" s="238">
        <f>+E33</f>
        <v>120000</v>
      </c>
      <c r="G33" s="238">
        <f>E34</f>
        <v>46593.380000000005</v>
      </c>
      <c r="H33" s="143"/>
    </row>
    <row r="34" spans="2:10" s="141" customFormat="1" ht="18" customHeight="1" x14ac:dyDescent="0.2">
      <c r="C34" s="147" t="s">
        <v>153</v>
      </c>
      <c r="E34" s="148">
        <f>E31+E33</f>
        <v>46593.380000000005</v>
      </c>
      <c r="F34" s="234">
        <f>F31+F33</f>
        <v>120000</v>
      </c>
      <c r="G34" s="234">
        <f>G31+G33</f>
        <v>62045.379999999946</v>
      </c>
      <c r="H34" s="143"/>
    </row>
    <row r="35" spans="2:10" s="141" customFormat="1" ht="6.6" customHeight="1" x14ac:dyDescent="0.2">
      <c r="C35" s="147"/>
      <c r="E35" s="239"/>
      <c r="F35" s="240"/>
      <c r="G35" s="240"/>
      <c r="H35" s="241"/>
    </row>
    <row r="36" spans="2:10" s="141" customFormat="1" x14ac:dyDescent="0.2">
      <c r="C36" s="147"/>
      <c r="D36" s="233"/>
      <c r="E36" s="236"/>
      <c r="F36" s="236"/>
      <c r="G36" s="236"/>
      <c r="H36" s="233"/>
    </row>
    <row r="37" spans="2:10" s="141" customFormat="1" x14ac:dyDescent="0.2">
      <c r="B37" s="242"/>
      <c r="C37" s="119"/>
      <c r="D37" s="119"/>
      <c r="E37" s="654" t="str">
        <f>E7</f>
        <v>FY20</v>
      </c>
      <c r="F37" s="654" t="str">
        <f>F7</f>
        <v>FY21</v>
      </c>
      <c r="G37" s="654" t="str">
        <f>G7</f>
        <v>FY21</v>
      </c>
      <c r="H37" s="233"/>
    </row>
    <row r="38" spans="2:10" s="141" customFormat="1" x14ac:dyDescent="0.2">
      <c r="B38" s="242" t="s">
        <v>179</v>
      </c>
      <c r="C38" s="119"/>
      <c r="D38" s="119"/>
      <c r="E38" s="655" t="str">
        <f>E8</f>
        <v>FINAL</v>
      </c>
      <c r="F38" s="655" t="str">
        <f t="shared" ref="F38:G38" si="1">F8</f>
        <v>REVISED</v>
      </c>
      <c r="G38" s="674" t="str">
        <f t="shared" si="1"/>
        <v>TENATIVE</v>
      </c>
      <c r="H38" s="233"/>
    </row>
    <row r="39" spans="2:10" s="141" customFormat="1" x14ac:dyDescent="0.2">
      <c r="B39" s="243" t="s">
        <v>251</v>
      </c>
      <c r="C39" s="119"/>
      <c r="D39" s="119"/>
      <c r="E39" s="600" t="s">
        <v>345</v>
      </c>
      <c r="F39" s="605" t="s">
        <v>345</v>
      </c>
      <c r="G39" s="603">
        <f>G34/(G29-G27)*365</f>
        <v>47.253189709134872</v>
      </c>
      <c r="H39" s="233"/>
      <c r="J39" s="141" t="s">
        <v>363</v>
      </c>
    </row>
    <row r="40" spans="2:10" s="141" customFormat="1" x14ac:dyDescent="0.2">
      <c r="B40" s="243" t="s">
        <v>180</v>
      </c>
      <c r="C40" s="119" t="s">
        <v>561</v>
      </c>
      <c r="D40" s="119"/>
      <c r="E40" s="600" t="s">
        <v>345</v>
      </c>
      <c r="F40" s="656">
        <v>90</v>
      </c>
      <c r="G40" s="656">
        <v>90</v>
      </c>
      <c r="H40" s="233"/>
      <c r="I40" s="233"/>
      <c r="J40" s="141" t="s">
        <v>364</v>
      </c>
    </row>
    <row r="41" spans="2:10" s="141" customFormat="1" x14ac:dyDescent="0.2">
      <c r="B41" s="243" t="s">
        <v>180</v>
      </c>
      <c r="C41" s="119"/>
      <c r="D41" s="119"/>
      <c r="E41" s="600" t="s">
        <v>345</v>
      </c>
      <c r="F41" s="657">
        <f t="shared" ref="F41:G41" si="2">F9/F40</f>
        <v>0</v>
      </c>
      <c r="G41" s="657">
        <f t="shared" si="2"/>
        <v>0.97777777777777775</v>
      </c>
      <c r="H41" s="233"/>
      <c r="I41" s="233"/>
      <c r="J41" s="141" t="s">
        <v>364</v>
      </c>
    </row>
    <row r="42" spans="2:10" s="141" customFormat="1" x14ac:dyDescent="0.2">
      <c r="B42" s="243" t="s">
        <v>181</v>
      </c>
      <c r="C42" s="119"/>
      <c r="D42" s="119"/>
      <c r="E42" s="600" t="s">
        <v>345</v>
      </c>
      <c r="F42" s="605" t="s">
        <v>345</v>
      </c>
      <c r="G42" s="602">
        <f>G31/G16</f>
        <v>3.123433431976573E-2</v>
      </c>
      <c r="H42" s="233"/>
      <c r="I42" s="233"/>
      <c r="J42" s="141" t="s">
        <v>364</v>
      </c>
    </row>
    <row r="43" spans="2:10" s="141" customFormat="1" x14ac:dyDescent="0.2">
      <c r="B43" s="243" t="s">
        <v>182</v>
      </c>
      <c r="C43" s="119"/>
      <c r="D43" s="119"/>
      <c r="E43" s="600" t="s">
        <v>345</v>
      </c>
      <c r="F43" s="605" t="s">
        <v>345</v>
      </c>
      <c r="G43" s="600" t="s">
        <v>345</v>
      </c>
      <c r="H43" s="233"/>
      <c r="I43" s="233"/>
      <c r="J43" s="141" t="s">
        <v>365</v>
      </c>
    </row>
    <row r="44" spans="2:10" s="141" customFormat="1" x14ac:dyDescent="0.2">
      <c r="B44" s="243" t="s">
        <v>183</v>
      </c>
      <c r="C44" s="119"/>
      <c r="D44" s="119"/>
      <c r="E44" s="600" t="s">
        <v>345</v>
      </c>
      <c r="F44" s="605" t="s">
        <v>345</v>
      </c>
      <c r="G44" s="600" t="s">
        <v>345</v>
      </c>
      <c r="H44" s="233"/>
      <c r="I44" s="233"/>
      <c r="J44" s="141" t="s">
        <v>366</v>
      </c>
    </row>
    <row r="45" spans="2:10" ht="5.0999999999999996" customHeight="1" x14ac:dyDescent="0.2">
      <c r="E45" s="606"/>
      <c r="F45" s="150"/>
      <c r="G45" s="150"/>
      <c r="H45" s="233"/>
    </row>
    <row r="46" spans="2:10" ht="5.0999999999999996" customHeight="1" x14ac:dyDescent="0.2">
      <c r="E46" s="233"/>
      <c r="F46" s="233"/>
      <c r="G46" s="233"/>
      <c r="H46" s="233"/>
    </row>
    <row r="47" spans="2:10" ht="5.0999999999999996" customHeight="1" x14ac:dyDescent="0.2">
      <c r="E47" s="233"/>
      <c r="F47" s="233"/>
      <c r="G47" s="233"/>
      <c r="H47" s="233"/>
    </row>
    <row r="48" spans="2:10" ht="15" customHeight="1" x14ac:dyDescent="0.2">
      <c r="E48" s="233"/>
      <c r="F48" s="233"/>
      <c r="G48" s="233"/>
      <c r="H48" s="233"/>
    </row>
    <row r="56" spans="3:4" x14ac:dyDescent="0.2">
      <c r="C56" s="151"/>
      <c r="D56" s="151"/>
    </row>
    <row r="57" spans="3:4" x14ac:dyDescent="0.2">
      <c r="C57" s="151"/>
      <c r="D57" s="151"/>
    </row>
    <row r="58" spans="3:4" x14ac:dyDescent="0.2">
      <c r="C58" s="151"/>
      <c r="D58" s="151"/>
    </row>
    <row r="59" spans="3:4" x14ac:dyDescent="0.2">
      <c r="C59" s="151"/>
      <c r="D59" s="151"/>
    </row>
    <row r="60" spans="3:4" x14ac:dyDescent="0.2">
      <c r="C60" s="151"/>
      <c r="D60" s="151"/>
    </row>
    <row r="61" spans="3:4" ht="5.0999999999999996" customHeight="1" x14ac:dyDescent="0.2"/>
  </sheetData>
  <sheetProtection algorithmName="SHA-512" hashValue="hiY4W/JfovBQwNvf81AxV1IPYaRz3mPArwHZIhZiUKGwZoCvIj6NYd/awNphrhETht9HC6KvvbfrNY0q9m1y4w==" saltValue="FtufTlpcacLHeEFOGV+ENQ==" spinCount="100000" sheet="1" objects="1" scenarios="1" selectLockedCells="1"/>
  <mergeCells count="1">
    <mergeCell ref="H7:H8"/>
  </mergeCells>
  <printOptions horizontalCentered="1"/>
  <pageMargins left="0.3" right="0.2" top="0.35" bottom="0.2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/>
  </sheetPr>
  <dimension ref="A1:D90"/>
  <sheetViews>
    <sheetView workbookViewId="0"/>
  </sheetViews>
  <sheetFormatPr defaultRowHeight="15" x14ac:dyDescent="0.25"/>
  <cols>
    <col min="1" max="1" width="9.140625" style="577"/>
    <col min="4" max="4" width="106.5703125" customWidth="1"/>
  </cols>
  <sheetData>
    <row r="1" spans="1:4" x14ac:dyDescent="0.25">
      <c r="B1" t="s">
        <v>397</v>
      </c>
    </row>
    <row r="2" spans="1:4" x14ac:dyDescent="0.25">
      <c r="A2" s="577" t="s">
        <v>398</v>
      </c>
      <c r="B2" t="s">
        <v>399</v>
      </c>
    </row>
    <row r="3" spans="1:4" x14ac:dyDescent="0.25">
      <c r="B3" s="577" t="s">
        <v>400</v>
      </c>
      <c r="C3" t="s">
        <v>401</v>
      </c>
    </row>
    <row r="4" spans="1:4" x14ac:dyDescent="0.25">
      <c r="B4" s="577" t="s">
        <v>402</v>
      </c>
      <c r="C4" t="s">
        <v>403</v>
      </c>
    </row>
    <row r="5" spans="1:4" x14ac:dyDescent="0.25">
      <c r="B5" s="577" t="s">
        <v>404</v>
      </c>
      <c r="C5" t="s">
        <v>405</v>
      </c>
    </row>
    <row r="6" spans="1:4" x14ac:dyDescent="0.25">
      <c r="B6" s="577" t="s">
        <v>406</v>
      </c>
      <c r="C6" t="s">
        <v>407</v>
      </c>
    </row>
    <row r="7" spans="1:4" x14ac:dyDescent="0.25">
      <c r="B7" t="s">
        <v>408</v>
      </c>
      <c r="C7" t="s">
        <v>409</v>
      </c>
    </row>
    <row r="8" spans="1:4" x14ac:dyDescent="0.25">
      <c r="A8" s="577" t="s">
        <v>410</v>
      </c>
      <c r="B8" t="s">
        <v>411</v>
      </c>
    </row>
    <row r="9" spans="1:4" x14ac:dyDescent="0.25">
      <c r="B9" s="577" t="s">
        <v>400</v>
      </c>
      <c r="C9" t="s">
        <v>412</v>
      </c>
    </row>
    <row r="10" spans="1:4" x14ac:dyDescent="0.25">
      <c r="B10" s="577" t="s">
        <v>402</v>
      </c>
      <c r="C10" t="s">
        <v>413</v>
      </c>
    </row>
    <row r="11" spans="1:4" x14ac:dyDescent="0.25">
      <c r="A11" s="577" t="s">
        <v>414</v>
      </c>
      <c r="B11" t="s">
        <v>415</v>
      </c>
    </row>
    <row r="12" spans="1:4" x14ac:dyDescent="0.25">
      <c r="B12" s="577" t="s">
        <v>400</v>
      </c>
      <c r="C12" t="s">
        <v>416</v>
      </c>
    </row>
    <row r="13" spans="1:4" x14ac:dyDescent="0.25">
      <c r="B13" s="577" t="s">
        <v>402</v>
      </c>
      <c r="C13" t="s">
        <v>417</v>
      </c>
    </row>
    <row r="14" spans="1:4" x14ac:dyDescent="0.25">
      <c r="C14" s="577">
        <v>1</v>
      </c>
      <c r="D14" t="s">
        <v>418</v>
      </c>
    </row>
    <row r="15" spans="1:4" x14ac:dyDescent="0.25">
      <c r="C15" s="577"/>
      <c r="D15" t="s">
        <v>419</v>
      </c>
    </row>
    <row r="16" spans="1:4" x14ac:dyDescent="0.25">
      <c r="C16" s="577">
        <v>2</v>
      </c>
      <c r="D16" t="s">
        <v>420</v>
      </c>
    </row>
    <row r="17" spans="1:4" x14ac:dyDescent="0.25">
      <c r="C17" s="577">
        <v>3</v>
      </c>
      <c r="D17" t="s">
        <v>421</v>
      </c>
    </row>
    <row r="18" spans="1:4" x14ac:dyDescent="0.25">
      <c r="C18" s="577">
        <v>4</v>
      </c>
      <c r="D18" t="s">
        <v>422</v>
      </c>
    </row>
    <row r="19" spans="1:4" x14ac:dyDescent="0.25">
      <c r="C19" s="577">
        <v>5</v>
      </c>
      <c r="D19" t="s">
        <v>423</v>
      </c>
    </row>
    <row r="20" spans="1:4" x14ac:dyDescent="0.25">
      <c r="D20" t="s">
        <v>424</v>
      </c>
    </row>
    <row r="21" spans="1:4" x14ac:dyDescent="0.25">
      <c r="D21" t="s">
        <v>425</v>
      </c>
    </row>
    <row r="22" spans="1:4" x14ac:dyDescent="0.25">
      <c r="A22" s="577" t="s">
        <v>426</v>
      </c>
      <c r="B22" t="s">
        <v>427</v>
      </c>
    </row>
    <row r="23" spans="1:4" x14ac:dyDescent="0.25">
      <c r="B23" s="577" t="s">
        <v>400</v>
      </c>
      <c r="C23" t="s">
        <v>428</v>
      </c>
    </row>
    <row r="24" spans="1:4" x14ac:dyDescent="0.25">
      <c r="B24" s="577" t="s">
        <v>402</v>
      </c>
      <c r="C24" t="s">
        <v>429</v>
      </c>
    </row>
    <row r="25" spans="1:4" x14ac:dyDescent="0.25">
      <c r="B25" s="577"/>
      <c r="C25" t="s">
        <v>430</v>
      </c>
    </row>
    <row r="26" spans="1:4" x14ac:dyDescent="0.25">
      <c r="B26" s="577" t="s">
        <v>431</v>
      </c>
      <c r="C26" t="s">
        <v>432</v>
      </c>
    </row>
    <row r="27" spans="1:4" x14ac:dyDescent="0.25">
      <c r="B27" s="577"/>
      <c r="C27" s="577">
        <v>1</v>
      </c>
      <c r="D27" t="s">
        <v>433</v>
      </c>
    </row>
    <row r="28" spans="1:4" x14ac:dyDescent="0.25">
      <c r="B28" s="577"/>
      <c r="C28" s="577">
        <v>2</v>
      </c>
      <c r="D28" t="s">
        <v>434</v>
      </c>
    </row>
    <row r="29" spans="1:4" x14ac:dyDescent="0.25">
      <c r="B29" s="577"/>
      <c r="C29" s="577">
        <v>3</v>
      </c>
      <c r="D29" t="s">
        <v>435</v>
      </c>
    </row>
    <row r="30" spans="1:4" x14ac:dyDescent="0.25">
      <c r="B30" s="577"/>
      <c r="C30" s="577">
        <v>4</v>
      </c>
      <c r="D30" t="s">
        <v>436</v>
      </c>
    </row>
    <row r="31" spans="1:4" x14ac:dyDescent="0.25">
      <c r="B31" s="577"/>
      <c r="C31" s="577">
        <v>5</v>
      </c>
      <c r="D31" t="s">
        <v>437</v>
      </c>
    </row>
    <row r="32" spans="1:4" x14ac:dyDescent="0.25">
      <c r="B32" s="577" t="s">
        <v>406</v>
      </c>
      <c r="C32" t="s">
        <v>438</v>
      </c>
    </row>
    <row r="33" spans="2:4" x14ac:dyDescent="0.25">
      <c r="B33" s="577"/>
      <c r="D33" t="s">
        <v>439</v>
      </c>
    </row>
    <row r="34" spans="2:4" x14ac:dyDescent="0.25">
      <c r="B34" s="577" t="s">
        <v>440</v>
      </c>
      <c r="C34" t="s">
        <v>441</v>
      </c>
    </row>
    <row r="35" spans="2:4" x14ac:dyDescent="0.25">
      <c r="B35" s="577"/>
      <c r="D35" t="s">
        <v>439</v>
      </c>
    </row>
    <row r="36" spans="2:4" x14ac:dyDescent="0.25">
      <c r="B36" s="577" t="s">
        <v>442</v>
      </c>
      <c r="C36" t="s">
        <v>443</v>
      </c>
    </row>
    <row r="37" spans="2:4" x14ac:dyDescent="0.25">
      <c r="B37" s="577"/>
      <c r="D37" t="s">
        <v>444</v>
      </c>
    </row>
    <row r="38" spans="2:4" x14ac:dyDescent="0.25">
      <c r="B38" s="577"/>
      <c r="D38" t="s">
        <v>445</v>
      </c>
    </row>
    <row r="39" spans="2:4" x14ac:dyDescent="0.25">
      <c r="B39" s="577"/>
      <c r="D39" t="s">
        <v>446</v>
      </c>
    </row>
    <row r="40" spans="2:4" x14ac:dyDescent="0.25">
      <c r="B40" s="577" t="s">
        <v>447</v>
      </c>
      <c r="C40" t="s">
        <v>448</v>
      </c>
    </row>
    <row r="41" spans="2:4" x14ac:dyDescent="0.25">
      <c r="B41" s="577"/>
      <c r="C41" s="577">
        <v>1</v>
      </c>
      <c r="D41" t="s">
        <v>449</v>
      </c>
    </row>
    <row r="42" spans="2:4" x14ac:dyDescent="0.25">
      <c r="B42" s="577"/>
      <c r="C42" s="577">
        <v>2</v>
      </c>
      <c r="D42" t="s">
        <v>450</v>
      </c>
    </row>
    <row r="43" spans="2:4" x14ac:dyDescent="0.25">
      <c r="B43" s="577"/>
      <c r="C43" s="577"/>
      <c r="D43" t="s">
        <v>451</v>
      </c>
    </row>
    <row r="44" spans="2:4" x14ac:dyDescent="0.25">
      <c r="B44" s="577"/>
      <c r="C44" s="577">
        <v>3</v>
      </c>
      <c r="D44" t="s">
        <v>452</v>
      </c>
    </row>
    <row r="45" spans="2:4" x14ac:dyDescent="0.25">
      <c r="B45" s="577"/>
      <c r="D45" t="s">
        <v>453</v>
      </c>
    </row>
    <row r="46" spans="2:4" x14ac:dyDescent="0.25">
      <c r="B46" s="577" t="s">
        <v>454</v>
      </c>
      <c r="C46" t="s">
        <v>455</v>
      </c>
    </row>
    <row r="47" spans="2:4" x14ac:dyDescent="0.25">
      <c r="B47" s="577"/>
      <c r="D47" t="s">
        <v>439</v>
      </c>
    </row>
    <row r="48" spans="2:4" x14ac:dyDescent="0.25">
      <c r="B48" s="577" t="s">
        <v>398</v>
      </c>
      <c r="C48" t="s">
        <v>456</v>
      </c>
    </row>
    <row r="49" spans="1:4" x14ac:dyDescent="0.25">
      <c r="B49" s="577" t="s">
        <v>457</v>
      </c>
      <c r="C49" t="s">
        <v>458</v>
      </c>
    </row>
    <row r="50" spans="1:4" x14ac:dyDescent="0.25">
      <c r="B50" s="577"/>
      <c r="C50" s="577">
        <v>1</v>
      </c>
      <c r="D50" t="s">
        <v>459</v>
      </c>
    </row>
    <row r="51" spans="1:4" x14ac:dyDescent="0.25">
      <c r="B51" s="577"/>
      <c r="C51" s="577">
        <v>2</v>
      </c>
      <c r="D51" t="s">
        <v>460</v>
      </c>
    </row>
    <row r="52" spans="1:4" x14ac:dyDescent="0.25">
      <c r="B52" s="577" t="s">
        <v>64</v>
      </c>
      <c r="C52" t="s">
        <v>461</v>
      </c>
    </row>
    <row r="53" spans="1:4" x14ac:dyDescent="0.25">
      <c r="B53" s="577"/>
      <c r="D53" t="s">
        <v>439</v>
      </c>
    </row>
    <row r="54" spans="1:4" x14ac:dyDescent="0.25">
      <c r="B54" s="577" t="s">
        <v>462</v>
      </c>
      <c r="C54" t="s">
        <v>463</v>
      </c>
    </row>
    <row r="55" spans="1:4" x14ac:dyDescent="0.25">
      <c r="B55" s="577"/>
      <c r="D55" t="s">
        <v>439</v>
      </c>
    </row>
    <row r="56" spans="1:4" x14ac:dyDescent="0.25">
      <c r="B56" s="577" t="s">
        <v>464</v>
      </c>
      <c r="C56" t="s">
        <v>465</v>
      </c>
    </row>
    <row r="57" spans="1:4" x14ac:dyDescent="0.25">
      <c r="A57" s="577" t="s">
        <v>466</v>
      </c>
      <c r="B57" s="578" t="s">
        <v>467</v>
      </c>
    </row>
    <row r="58" spans="1:4" x14ac:dyDescent="0.25">
      <c r="B58" s="578" t="s">
        <v>468</v>
      </c>
    </row>
    <row r="59" spans="1:4" x14ac:dyDescent="0.25">
      <c r="B59" s="577" t="s">
        <v>400</v>
      </c>
      <c r="C59" t="s">
        <v>469</v>
      </c>
    </row>
    <row r="60" spans="1:4" x14ac:dyDescent="0.25">
      <c r="B60" s="577" t="s">
        <v>402</v>
      </c>
      <c r="C60" t="s">
        <v>470</v>
      </c>
    </row>
    <row r="61" spans="1:4" x14ac:dyDescent="0.25">
      <c r="B61" s="577" t="s">
        <v>431</v>
      </c>
      <c r="C61" t="s">
        <v>471</v>
      </c>
    </row>
    <row r="62" spans="1:4" x14ac:dyDescent="0.25">
      <c r="B62" s="577" t="s">
        <v>406</v>
      </c>
      <c r="C62" t="s">
        <v>472</v>
      </c>
    </row>
    <row r="63" spans="1:4" x14ac:dyDescent="0.25">
      <c r="B63" s="577" t="s">
        <v>440</v>
      </c>
      <c r="C63" t="s">
        <v>473</v>
      </c>
    </row>
    <row r="64" spans="1:4" x14ac:dyDescent="0.25">
      <c r="B64" s="577" t="s">
        <v>442</v>
      </c>
      <c r="C64" t="s">
        <v>474</v>
      </c>
    </row>
    <row r="65" spans="1:4" x14ac:dyDescent="0.25">
      <c r="C65" t="s">
        <v>475</v>
      </c>
    </row>
    <row r="66" spans="1:4" x14ac:dyDescent="0.25">
      <c r="A66" s="577" t="s">
        <v>476</v>
      </c>
      <c r="B66" s="578" t="s">
        <v>477</v>
      </c>
    </row>
    <row r="67" spans="1:4" x14ac:dyDescent="0.25">
      <c r="B67" s="578" t="s">
        <v>478</v>
      </c>
    </row>
    <row r="68" spans="1:4" x14ac:dyDescent="0.25">
      <c r="B68" s="577" t="s">
        <v>400</v>
      </c>
      <c r="C68" t="s">
        <v>479</v>
      </c>
    </row>
    <row r="69" spans="1:4" x14ac:dyDescent="0.25">
      <c r="C69" t="s">
        <v>480</v>
      </c>
    </row>
    <row r="70" spans="1:4" x14ac:dyDescent="0.25">
      <c r="C70" t="s">
        <v>481</v>
      </c>
    </row>
    <row r="71" spans="1:4" x14ac:dyDescent="0.25">
      <c r="A71" s="577" t="s">
        <v>482</v>
      </c>
      <c r="B71" t="s">
        <v>483</v>
      </c>
    </row>
    <row r="72" spans="1:4" x14ac:dyDescent="0.25">
      <c r="B72" t="s">
        <v>400</v>
      </c>
      <c r="C72" t="s">
        <v>484</v>
      </c>
    </row>
    <row r="73" spans="1:4" x14ac:dyDescent="0.25">
      <c r="C73">
        <v>1</v>
      </c>
      <c r="D73" t="s">
        <v>485</v>
      </c>
    </row>
    <row r="74" spans="1:4" x14ac:dyDescent="0.25">
      <c r="C74">
        <v>2</v>
      </c>
      <c r="D74" t="s">
        <v>486</v>
      </c>
    </row>
    <row r="75" spans="1:4" x14ac:dyDescent="0.25">
      <c r="C75">
        <v>3</v>
      </c>
      <c r="D75" t="s">
        <v>487</v>
      </c>
    </row>
    <row r="76" spans="1:4" x14ac:dyDescent="0.25">
      <c r="A76" s="577" t="s">
        <v>488</v>
      </c>
      <c r="B76" t="s">
        <v>489</v>
      </c>
    </row>
    <row r="77" spans="1:4" x14ac:dyDescent="0.25">
      <c r="B77" t="s">
        <v>400</v>
      </c>
      <c r="C77" t="s">
        <v>490</v>
      </c>
    </row>
    <row r="78" spans="1:4" x14ac:dyDescent="0.25">
      <c r="B78" t="s">
        <v>402</v>
      </c>
      <c r="C78" t="s">
        <v>491</v>
      </c>
    </row>
    <row r="79" spans="1:4" x14ac:dyDescent="0.25">
      <c r="B79" t="s">
        <v>431</v>
      </c>
      <c r="C79" t="s">
        <v>492</v>
      </c>
    </row>
    <row r="80" spans="1:4" x14ac:dyDescent="0.25">
      <c r="A80" s="577" t="s">
        <v>493</v>
      </c>
      <c r="B80" t="s">
        <v>494</v>
      </c>
    </row>
    <row r="81" spans="1:3" x14ac:dyDescent="0.25">
      <c r="B81" t="s">
        <v>400</v>
      </c>
      <c r="C81" t="s">
        <v>495</v>
      </c>
    </row>
    <row r="82" spans="1:3" x14ac:dyDescent="0.25">
      <c r="B82" t="s">
        <v>402</v>
      </c>
      <c r="C82" t="s">
        <v>496</v>
      </c>
    </row>
    <row r="83" spans="1:3" x14ac:dyDescent="0.25">
      <c r="B83" t="s">
        <v>431</v>
      </c>
      <c r="C83" t="s">
        <v>497</v>
      </c>
    </row>
    <row r="84" spans="1:3" x14ac:dyDescent="0.25">
      <c r="C84" t="s">
        <v>498</v>
      </c>
    </row>
    <row r="85" spans="1:3" x14ac:dyDescent="0.25">
      <c r="A85" s="577" t="s">
        <v>499</v>
      </c>
      <c r="B85" t="s">
        <v>500</v>
      </c>
    </row>
    <row r="86" spans="1:3" x14ac:dyDescent="0.25">
      <c r="B86" t="s">
        <v>400</v>
      </c>
      <c r="C86" t="s">
        <v>501</v>
      </c>
    </row>
    <row r="87" spans="1:3" x14ac:dyDescent="0.25">
      <c r="B87" t="s">
        <v>502</v>
      </c>
      <c r="C87" t="s">
        <v>503</v>
      </c>
    </row>
    <row r="88" spans="1:3" x14ac:dyDescent="0.25">
      <c r="C88" t="s">
        <v>504</v>
      </c>
    </row>
    <row r="89" spans="1:3" x14ac:dyDescent="0.25">
      <c r="A89" s="577" t="s">
        <v>505</v>
      </c>
      <c r="B89" t="s">
        <v>292</v>
      </c>
    </row>
    <row r="90" spans="1:3" x14ac:dyDescent="0.25">
      <c r="B90" t="s">
        <v>400</v>
      </c>
      <c r="C90" t="s">
        <v>506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7" tint="0.79998168889431442"/>
    <pageSetUpPr fitToPage="1"/>
  </sheetPr>
  <dimension ref="A1:AE75"/>
  <sheetViews>
    <sheetView workbookViewId="0">
      <selection sqref="A1:XFD1048576"/>
    </sheetView>
  </sheetViews>
  <sheetFormatPr defaultColWidth="9.140625" defaultRowHeight="15" x14ac:dyDescent="0.25"/>
  <cols>
    <col min="1" max="1" width="2.140625" style="427" customWidth="1"/>
    <col min="2" max="2" width="4" style="427" customWidth="1"/>
    <col min="3" max="3" width="40.140625" style="427" customWidth="1"/>
    <col min="4" max="4" width="9.140625" style="427"/>
    <col min="5" max="5" width="1.140625" style="427" customWidth="1"/>
    <col min="6" max="6" width="9.85546875" style="427" bestFit="1" customWidth="1"/>
    <col min="7" max="7" width="1.140625" style="428" customWidth="1"/>
    <col min="8" max="8" width="9.85546875" style="427" bestFit="1" customWidth="1"/>
    <col min="9" max="9" width="1.140625" style="428" customWidth="1"/>
    <col min="10" max="10" width="9.85546875" style="427" bestFit="1" customWidth="1"/>
    <col min="11" max="11" width="1.140625" style="428" customWidth="1"/>
    <col min="12" max="12" width="9.85546875" style="427" bestFit="1" customWidth="1"/>
    <col min="13" max="13" width="1.140625" style="428" customWidth="1"/>
    <col min="14" max="14" width="9.85546875" style="427" bestFit="1" customWidth="1"/>
    <col min="15" max="15" width="4.42578125" style="427" customWidth="1"/>
    <col min="16" max="16" width="9.140625" style="427"/>
    <col min="17" max="28" width="5.7109375" style="427" customWidth="1"/>
    <col min="29" max="16384" width="9.140625" style="427"/>
  </cols>
  <sheetData>
    <row r="1" spans="1:31" s="385" customFormat="1" ht="21" x14ac:dyDescent="0.35">
      <c r="A1" s="384" t="str">
        <f>'Rev &amp; Enroll'!$F$5</f>
        <v>Nevada State High School (Northwest)</v>
      </c>
      <c r="B1" s="384"/>
      <c r="D1" s="387"/>
      <c r="E1" s="387"/>
      <c r="G1" s="386"/>
      <c r="H1" s="387"/>
      <c r="I1" s="388"/>
      <c r="J1" s="387"/>
      <c r="K1" s="388"/>
      <c r="L1" s="387"/>
      <c r="M1" s="388"/>
      <c r="N1" s="387"/>
      <c r="O1" s="387"/>
      <c r="P1" s="387"/>
      <c r="Q1" s="387"/>
      <c r="R1" s="387"/>
      <c r="S1" s="389"/>
      <c r="T1" s="389"/>
      <c r="U1" s="389"/>
      <c r="V1" s="389"/>
      <c r="W1" s="389"/>
      <c r="X1" s="389"/>
      <c r="Y1" s="389"/>
      <c r="Z1" s="389"/>
      <c r="AA1" s="387"/>
      <c r="AB1" s="387"/>
      <c r="AD1" s="387"/>
      <c r="AE1" s="387"/>
    </row>
    <row r="2" spans="1:31" s="385" customFormat="1" x14ac:dyDescent="0.25">
      <c r="A2" s="390" t="s">
        <v>60</v>
      </c>
      <c r="B2" s="390"/>
      <c r="C2" s="391"/>
      <c r="D2" s="387"/>
      <c r="E2" s="387"/>
      <c r="F2" s="391"/>
      <c r="G2" s="392"/>
      <c r="H2" s="387"/>
      <c r="I2" s="388"/>
      <c r="J2" s="387"/>
      <c r="K2" s="388"/>
      <c r="L2" s="387"/>
      <c r="M2" s="388"/>
      <c r="N2" s="387"/>
      <c r="O2" s="387"/>
      <c r="P2" s="387"/>
      <c r="S2" s="387"/>
      <c r="T2" s="387"/>
      <c r="U2" s="387"/>
      <c r="X2" s="387"/>
      <c r="Y2" s="387"/>
      <c r="AA2" s="393"/>
      <c r="AB2" s="393"/>
      <c r="AD2" s="393"/>
      <c r="AE2" s="393"/>
    </row>
    <row r="3" spans="1:31" s="395" customFormat="1" ht="13.5" customHeight="1" x14ac:dyDescent="0.2">
      <c r="A3" s="394" t="str">
        <f>'FY21'!A3</f>
        <v>Board Approved: Proposed: 4/16/2020</v>
      </c>
      <c r="B3" s="394"/>
      <c r="C3" s="385"/>
      <c r="D3" s="397"/>
      <c r="E3" s="397"/>
      <c r="G3" s="396"/>
      <c r="H3" s="397"/>
      <c r="I3" s="398"/>
      <c r="J3" s="397"/>
      <c r="K3" s="398"/>
      <c r="L3" s="397"/>
      <c r="M3" s="398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87"/>
      <c r="Y3" s="397"/>
      <c r="Z3" s="399"/>
      <c r="AA3" s="397"/>
      <c r="AB3" s="397"/>
      <c r="AD3" s="397"/>
      <c r="AE3" s="397"/>
    </row>
    <row r="4" spans="1:31" s="304" customFormat="1" ht="12" x14ac:dyDescent="0.2">
      <c r="G4" s="308"/>
      <c r="I4" s="308"/>
      <c r="K4" s="308"/>
      <c r="M4" s="308"/>
    </row>
    <row r="5" spans="1:31" s="304" customFormat="1" ht="12" x14ac:dyDescent="0.2">
      <c r="C5" s="400" t="s">
        <v>61</v>
      </c>
      <c r="F5" s="685" t="s">
        <v>543</v>
      </c>
      <c r="G5" s="686"/>
      <c r="H5" s="686"/>
      <c r="I5" s="686"/>
      <c r="J5" s="686"/>
      <c r="K5" s="686"/>
      <c r="L5" s="686"/>
      <c r="M5" s="686"/>
      <c r="N5" s="687"/>
    </row>
    <row r="6" spans="1:31" s="304" customFormat="1" ht="12" x14ac:dyDescent="0.2">
      <c r="G6" s="308"/>
      <c r="I6" s="308"/>
      <c r="K6" s="308"/>
      <c r="M6" s="308"/>
    </row>
    <row r="7" spans="1:31" s="401" customFormat="1" ht="12.75" thickBot="1" x14ac:dyDescent="0.3">
      <c r="F7" s="652" t="s">
        <v>67</v>
      </c>
      <c r="G7" s="401">
        <v>0</v>
      </c>
      <c r="H7" s="652" t="s">
        <v>68</v>
      </c>
      <c r="I7" s="401">
        <v>0</v>
      </c>
      <c r="J7" s="652" t="s">
        <v>69</v>
      </c>
      <c r="K7" s="401">
        <v>0</v>
      </c>
      <c r="L7" s="652" t="s">
        <v>70</v>
      </c>
      <c r="M7" s="401">
        <v>0</v>
      </c>
      <c r="N7" s="652" t="s">
        <v>367</v>
      </c>
    </row>
    <row r="8" spans="1:31" s="304" customFormat="1" ht="12.75" thickBot="1" x14ac:dyDescent="0.25">
      <c r="B8" s="688" t="s">
        <v>62</v>
      </c>
      <c r="C8" s="689"/>
      <c r="D8" s="689"/>
      <c r="E8" s="689"/>
      <c r="F8" s="689"/>
      <c r="G8" s="689"/>
      <c r="H8" s="689"/>
      <c r="I8" s="689"/>
      <c r="J8" s="689"/>
      <c r="K8" s="689"/>
      <c r="L8" s="689"/>
      <c r="M8" s="689"/>
      <c r="N8" s="689"/>
      <c r="O8" s="690"/>
      <c r="Q8" s="688" t="s">
        <v>168</v>
      </c>
      <c r="R8" s="689"/>
      <c r="S8" s="689"/>
      <c r="T8" s="689"/>
      <c r="U8" s="689"/>
      <c r="V8" s="689"/>
      <c r="W8" s="689"/>
      <c r="X8" s="689"/>
      <c r="Y8" s="689"/>
      <c r="Z8" s="689"/>
      <c r="AA8" s="689"/>
      <c r="AB8" s="690"/>
    </row>
    <row r="9" spans="1:31" s="304" customFormat="1" ht="12" x14ac:dyDescent="0.2">
      <c r="C9" s="401" t="s">
        <v>65</v>
      </c>
      <c r="G9" s="308"/>
      <c r="I9" s="308"/>
      <c r="K9" s="308"/>
      <c r="M9" s="308"/>
      <c r="Q9" s="403" t="s">
        <v>156</v>
      </c>
      <c r="R9" s="403" t="s">
        <v>157</v>
      </c>
      <c r="S9" s="403" t="s">
        <v>158</v>
      </c>
      <c r="T9" s="403" t="s">
        <v>159</v>
      </c>
      <c r="U9" s="403" t="s">
        <v>160</v>
      </c>
      <c r="V9" s="403" t="s">
        <v>161</v>
      </c>
      <c r="W9" s="403" t="s">
        <v>162</v>
      </c>
      <c r="X9" s="403" t="s">
        <v>163</v>
      </c>
      <c r="Y9" s="403" t="s">
        <v>164</v>
      </c>
      <c r="Z9" s="403" t="s">
        <v>165</v>
      </c>
      <c r="AA9" s="403" t="s">
        <v>166</v>
      </c>
      <c r="AB9" s="403" t="s">
        <v>167</v>
      </c>
    </row>
    <row r="10" spans="1:31" s="304" customFormat="1" ht="12" hidden="1" x14ac:dyDescent="0.2">
      <c r="C10" s="404" t="s">
        <v>63</v>
      </c>
      <c r="F10" s="405">
        <v>0</v>
      </c>
      <c r="G10" s="405"/>
      <c r="H10" s="405">
        <v>0</v>
      </c>
      <c r="I10" s="405"/>
      <c r="J10" s="405">
        <v>0</v>
      </c>
      <c r="K10" s="405"/>
      <c r="L10" s="405">
        <v>0</v>
      </c>
      <c r="M10" s="405"/>
      <c r="N10" s="405">
        <v>0</v>
      </c>
      <c r="O10" s="406"/>
      <c r="Q10" s="407">
        <v>0</v>
      </c>
      <c r="R10" s="407">
        <v>0</v>
      </c>
      <c r="S10" s="407">
        <v>0</v>
      </c>
      <c r="T10" s="407">
        <v>0</v>
      </c>
      <c r="U10" s="407">
        <v>0</v>
      </c>
      <c r="V10" s="407">
        <v>0</v>
      </c>
      <c r="W10" s="407">
        <v>0</v>
      </c>
      <c r="X10" s="407">
        <v>0</v>
      </c>
      <c r="Y10" s="407">
        <v>0</v>
      </c>
      <c r="Z10" s="407">
        <v>0</v>
      </c>
      <c r="AA10" s="407">
        <v>0</v>
      </c>
      <c r="AB10" s="407">
        <v>0</v>
      </c>
    </row>
    <row r="11" spans="1:31" s="304" customFormat="1" ht="12" hidden="1" x14ac:dyDescent="0.2">
      <c r="C11" s="408" t="s">
        <v>64</v>
      </c>
      <c r="F11" s="409">
        <v>0</v>
      </c>
      <c r="G11" s="409"/>
      <c r="H11" s="409">
        <v>0</v>
      </c>
      <c r="I11" s="409"/>
      <c r="J11" s="409">
        <v>0</v>
      </c>
      <c r="K11" s="409"/>
      <c r="L11" s="409">
        <v>0</v>
      </c>
      <c r="M11" s="409"/>
      <c r="N11" s="409">
        <v>0</v>
      </c>
      <c r="O11" s="406"/>
      <c r="Q11" s="410">
        <v>0</v>
      </c>
      <c r="R11" s="410">
        <v>0</v>
      </c>
      <c r="S11" s="410">
        <v>0</v>
      </c>
      <c r="T11" s="410">
        <v>0</v>
      </c>
      <c r="U11" s="410">
        <v>0</v>
      </c>
      <c r="V11" s="410">
        <v>0</v>
      </c>
      <c r="W11" s="410">
        <v>0</v>
      </c>
      <c r="X11" s="410">
        <v>0</v>
      </c>
      <c r="Y11" s="410">
        <v>0</v>
      </c>
      <c r="Z11" s="410">
        <v>0</v>
      </c>
      <c r="AA11" s="410">
        <v>0</v>
      </c>
      <c r="AB11" s="410">
        <v>0</v>
      </c>
    </row>
    <row r="12" spans="1:31" s="304" customFormat="1" ht="12" hidden="1" x14ac:dyDescent="0.2">
      <c r="C12" s="404">
        <v>1</v>
      </c>
      <c r="F12" s="405">
        <v>0</v>
      </c>
      <c r="G12" s="405"/>
      <c r="H12" s="405">
        <v>0</v>
      </c>
      <c r="I12" s="405"/>
      <c r="J12" s="405">
        <v>0</v>
      </c>
      <c r="K12" s="405"/>
      <c r="L12" s="405">
        <v>0</v>
      </c>
      <c r="M12" s="405"/>
      <c r="N12" s="405">
        <v>0</v>
      </c>
      <c r="O12" s="406"/>
      <c r="Q12" s="407">
        <v>0</v>
      </c>
      <c r="R12" s="407">
        <v>0</v>
      </c>
      <c r="S12" s="407">
        <v>0</v>
      </c>
      <c r="T12" s="407">
        <v>0</v>
      </c>
      <c r="U12" s="407">
        <v>0</v>
      </c>
      <c r="V12" s="407">
        <v>0</v>
      </c>
      <c r="W12" s="407">
        <v>0</v>
      </c>
      <c r="X12" s="407">
        <v>0</v>
      </c>
      <c r="Y12" s="407">
        <v>0</v>
      </c>
      <c r="Z12" s="407">
        <v>0</v>
      </c>
      <c r="AA12" s="407">
        <v>0</v>
      </c>
      <c r="AB12" s="407">
        <v>0</v>
      </c>
    </row>
    <row r="13" spans="1:31" s="304" customFormat="1" ht="12" hidden="1" x14ac:dyDescent="0.2">
      <c r="C13" s="408">
        <v>2</v>
      </c>
      <c r="F13" s="409">
        <v>0</v>
      </c>
      <c r="G13" s="409"/>
      <c r="H13" s="409">
        <v>0</v>
      </c>
      <c r="I13" s="409"/>
      <c r="J13" s="409">
        <v>0</v>
      </c>
      <c r="K13" s="409"/>
      <c r="L13" s="409">
        <v>0</v>
      </c>
      <c r="M13" s="409"/>
      <c r="N13" s="409">
        <v>0</v>
      </c>
      <c r="O13" s="406"/>
      <c r="Q13" s="410">
        <v>0</v>
      </c>
      <c r="R13" s="410">
        <v>0</v>
      </c>
      <c r="S13" s="410">
        <v>0</v>
      </c>
      <c r="T13" s="410">
        <v>0</v>
      </c>
      <c r="U13" s="410">
        <v>0</v>
      </c>
      <c r="V13" s="410">
        <v>0</v>
      </c>
      <c r="W13" s="410">
        <v>0</v>
      </c>
      <c r="X13" s="410">
        <v>0</v>
      </c>
      <c r="Y13" s="410">
        <v>0</v>
      </c>
      <c r="Z13" s="410">
        <v>0</v>
      </c>
      <c r="AA13" s="410">
        <v>0</v>
      </c>
      <c r="AB13" s="410">
        <v>0</v>
      </c>
    </row>
    <row r="14" spans="1:31" s="304" customFormat="1" ht="12" hidden="1" x14ac:dyDescent="0.2">
      <c r="C14" s="404">
        <v>3</v>
      </c>
      <c r="F14" s="405">
        <v>0</v>
      </c>
      <c r="G14" s="405"/>
      <c r="H14" s="405">
        <v>0</v>
      </c>
      <c r="I14" s="405"/>
      <c r="J14" s="405">
        <v>0</v>
      </c>
      <c r="K14" s="405"/>
      <c r="L14" s="405">
        <v>0</v>
      </c>
      <c r="M14" s="405"/>
      <c r="N14" s="405">
        <v>0</v>
      </c>
      <c r="O14" s="406"/>
      <c r="Q14" s="407">
        <v>0</v>
      </c>
      <c r="R14" s="407">
        <v>0</v>
      </c>
      <c r="S14" s="407">
        <v>0</v>
      </c>
      <c r="T14" s="407">
        <v>0</v>
      </c>
      <c r="U14" s="407">
        <v>0</v>
      </c>
      <c r="V14" s="407">
        <v>0</v>
      </c>
      <c r="W14" s="407">
        <v>0</v>
      </c>
      <c r="X14" s="407">
        <v>0</v>
      </c>
      <c r="Y14" s="407">
        <v>0</v>
      </c>
      <c r="Z14" s="407">
        <v>0</v>
      </c>
      <c r="AA14" s="407">
        <v>0</v>
      </c>
      <c r="AB14" s="407">
        <v>0</v>
      </c>
    </row>
    <row r="15" spans="1:31" s="304" customFormat="1" ht="12" hidden="1" x14ac:dyDescent="0.2">
      <c r="C15" s="408">
        <v>4</v>
      </c>
      <c r="F15" s="409">
        <v>0</v>
      </c>
      <c r="G15" s="409"/>
      <c r="H15" s="409">
        <v>0</v>
      </c>
      <c r="I15" s="409"/>
      <c r="J15" s="409">
        <v>0</v>
      </c>
      <c r="K15" s="409"/>
      <c r="L15" s="409">
        <v>0</v>
      </c>
      <c r="M15" s="409"/>
      <c r="N15" s="409">
        <v>0</v>
      </c>
      <c r="O15" s="406"/>
      <c r="Q15" s="410">
        <v>0</v>
      </c>
      <c r="R15" s="410">
        <v>0</v>
      </c>
      <c r="S15" s="410">
        <v>0</v>
      </c>
      <c r="T15" s="410">
        <v>0</v>
      </c>
      <c r="U15" s="410">
        <v>0</v>
      </c>
      <c r="V15" s="410">
        <v>0</v>
      </c>
      <c r="W15" s="410">
        <v>0</v>
      </c>
      <c r="X15" s="410">
        <v>0</v>
      </c>
      <c r="Y15" s="410">
        <v>0</v>
      </c>
      <c r="Z15" s="410">
        <v>0</v>
      </c>
      <c r="AA15" s="410">
        <v>0</v>
      </c>
      <c r="AB15" s="410">
        <v>0</v>
      </c>
    </row>
    <row r="16" spans="1:31" s="304" customFormat="1" ht="12" hidden="1" x14ac:dyDescent="0.2">
      <c r="C16" s="404">
        <v>5</v>
      </c>
      <c r="F16" s="405">
        <v>0</v>
      </c>
      <c r="G16" s="405"/>
      <c r="H16" s="405">
        <v>0</v>
      </c>
      <c r="I16" s="405"/>
      <c r="J16" s="405">
        <v>0</v>
      </c>
      <c r="K16" s="405"/>
      <c r="L16" s="405">
        <v>0</v>
      </c>
      <c r="M16" s="405"/>
      <c r="N16" s="405">
        <v>0</v>
      </c>
      <c r="O16" s="406"/>
      <c r="Q16" s="407">
        <v>0</v>
      </c>
      <c r="R16" s="407">
        <v>0</v>
      </c>
      <c r="S16" s="407">
        <v>0</v>
      </c>
      <c r="T16" s="407">
        <v>0</v>
      </c>
      <c r="U16" s="407">
        <v>0</v>
      </c>
      <c r="V16" s="407">
        <v>0</v>
      </c>
      <c r="W16" s="407">
        <v>0</v>
      </c>
      <c r="X16" s="407">
        <v>0</v>
      </c>
      <c r="Y16" s="407">
        <v>0</v>
      </c>
      <c r="Z16" s="407">
        <v>0</v>
      </c>
      <c r="AA16" s="407">
        <v>0</v>
      </c>
      <c r="AB16" s="407">
        <v>0</v>
      </c>
    </row>
    <row r="17" spans="2:28" s="304" customFormat="1" ht="12" hidden="1" x14ac:dyDescent="0.2">
      <c r="C17" s="408">
        <v>6</v>
      </c>
      <c r="F17" s="409">
        <v>0</v>
      </c>
      <c r="G17" s="409"/>
      <c r="H17" s="409">
        <v>0</v>
      </c>
      <c r="I17" s="409"/>
      <c r="J17" s="409">
        <v>0</v>
      </c>
      <c r="K17" s="409"/>
      <c r="L17" s="409">
        <v>0</v>
      </c>
      <c r="M17" s="409"/>
      <c r="N17" s="409">
        <v>0</v>
      </c>
      <c r="O17" s="406"/>
      <c r="Q17" s="410">
        <v>0</v>
      </c>
      <c r="R17" s="410">
        <v>0</v>
      </c>
      <c r="S17" s="410">
        <v>0</v>
      </c>
      <c r="T17" s="410">
        <v>0</v>
      </c>
      <c r="U17" s="410">
        <v>0</v>
      </c>
      <c r="V17" s="410">
        <v>0</v>
      </c>
      <c r="W17" s="410">
        <v>0</v>
      </c>
      <c r="X17" s="410">
        <v>0</v>
      </c>
      <c r="Y17" s="410">
        <v>0</v>
      </c>
      <c r="Z17" s="410">
        <v>0</v>
      </c>
      <c r="AA17" s="410">
        <v>0</v>
      </c>
      <c r="AB17" s="410">
        <v>0</v>
      </c>
    </row>
    <row r="18" spans="2:28" s="304" customFormat="1" ht="12" hidden="1" x14ac:dyDescent="0.2">
      <c r="C18" s="404">
        <v>7</v>
      </c>
      <c r="F18" s="405">
        <v>0</v>
      </c>
      <c r="G18" s="405"/>
      <c r="H18" s="405">
        <v>0</v>
      </c>
      <c r="I18" s="405"/>
      <c r="J18" s="405">
        <v>0</v>
      </c>
      <c r="K18" s="405"/>
      <c r="L18" s="405">
        <v>0</v>
      </c>
      <c r="M18" s="405"/>
      <c r="N18" s="405">
        <v>0</v>
      </c>
      <c r="O18" s="406"/>
      <c r="Q18" s="407">
        <v>0</v>
      </c>
      <c r="R18" s="407">
        <v>0</v>
      </c>
      <c r="S18" s="407">
        <v>0</v>
      </c>
      <c r="T18" s="407">
        <v>0</v>
      </c>
      <c r="U18" s="407">
        <v>0</v>
      </c>
      <c r="V18" s="407">
        <v>0</v>
      </c>
      <c r="W18" s="407">
        <v>0</v>
      </c>
      <c r="X18" s="407">
        <v>0</v>
      </c>
      <c r="Y18" s="407">
        <v>0</v>
      </c>
      <c r="Z18" s="407">
        <v>0</v>
      </c>
      <c r="AA18" s="407">
        <v>0</v>
      </c>
      <c r="AB18" s="407">
        <v>0</v>
      </c>
    </row>
    <row r="19" spans="2:28" s="304" customFormat="1" ht="12" hidden="1" x14ac:dyDescent="0.2">
      <c r="C19" s="408">
        <v>8</v>
      </c>
      <c r="F19" s="409">
        <v>0</v>
      </c>
      <c r="G19" s="409"/>
      <c r="H19" s="409">
        <v>0</v>
      </c>
      <c r="I19" s="409"/>
      <c r="J19" s="409">
        <v>0</v>
      </c>
      <c r="K19" s="409"/>
      <c r="L19" s="409">
        <v>0</v>
      </c>
      <c r="M19" s="409"/>
      <c r="N19" s="409">
        <v>0</v>
      </c>
      <c r="O19" s="406"/>
      <c r="Q19" s="410">
        <v>0</v>
      </c>
      <c r="R19" s="410">
        <v>0</v>
      </c>
      <c r="S19" s="410">
        <v>0</v>
      </c>
      <c r="T19" s="410">
        <v>0</v>
      </c>
      <c r="U19" s="410">
        <v>0</v>
      </c>
      <c r="V19" s="410">
        <v>0</v>
      </c>
      <c r="W19" s="410">
        <v>0</v>
      </c>
      <c r="X19" s="410">
        <v>0</v>
      </c>
      <c r="Y19" s="410">
        <v>0</v>
      </c>
      <c r="Z19" s="410">
        <v>0</v>
      </c>
      <c r="AA19" s="410">
        <v>0</v>
      </c>
      <c r="AB19" s="410">
        <v>0</v>
      </c>
    </row>
    <row r="20" spans="2:28" s="304" customFormat="1" ht="12" hidden="1" x14ac:dyDescent="0.2">
      <c r="C20" s="404">
        <v>9</v>
      </c>
      <c r="F20" s="405">
        <v>0</v>
      </c>
      <c r="G20" s="405"/>
      <c r="H20" s="405">
        <v>0</v>
      </c>
      <c r="I20" s="405"/>
      <c r="J20" s="405">
        <v>0</v>
      </c>
      <c r="K20" s="405"/>
      <c r="L20" s="405">
        <v>0</v>
      </c>
      <c r="M20" s="405"/>
      <c r="N20" s="405">
        <v>0</v>
      </c>
      <c r="O20" s="406"/>
      <c r="Q20" s="407">
        <v>0</v>
      </c>
      <c r="R20" s="407">
        <v>0</v>
      </c>
      <c r="S20" s="407">
        <v>0</v>
      </c>
      <c r="T20" s="407">
        <v>0</v>
      </c>
      <c r="U20" s="407">
        <v>0</v>
      </c>
      <c r="V20" s="407">
        <v>0</v>
      </c>
      <c r="W20" s="407">
        <v>0</v>
      </c>
      <c r="X20" s="407">
        <v>0</v>
      </c>
      <c r="Y20" s="407">
        <v>0</v>
      </c>
      <c r="Z20" s="407">
        <v>0</v>
      </c>
      <c r="AA20" s="407">
        <v>0</v>
      </c>
      <c r="AB20" s="407">
        <v>0</v>
      </c>
    </row>
    <row r="21" spans="2:28" s="304" customFormat="1" ht="12" hidden="1" x14ac:dyDescent="0.2">
      <c r="C21" s="408">
        <v>10</v>
      </c>
      <c r="F21" s="409">
        <v>0</v>
      </c>
      <c r="G21" s="409"/>
      <c r="H21" s="409">
        <v>0</v>
      </c>
      <c r="I21" s="409"/>
      <c r="J21" s="409">
        <v>0</v>
      </c>
      <c r="K21" s="409"/>
      <c r="L21" s="409">
        <v>0</v>
      </c>
      <c r="M21" s="409"/>
      <c r="N21" s="409">
        <v>0</v>
      </c>
      <c r="O21" s="406"/>
      <c r="Q21" s="410">
        <v>0</v>
      </c>
      <c r="R21" s="410">
        <v>0</v>
      </c>
      <c r="S21" s="410">
        <v>0</v>
      </c>
      <c r="T21" s="410">
        <v>0</v>
      </c>
      <c r="U21" s="410">
        <v>0</v>
      </c>
      <c r="V21" s="410">
        <v>0</v>
      </c>
      <c r="W21" s="410">
        <v>0</v>
      </c>
      <c r="X21" s="410">
        <v>0</v>
      </c>
      <c r="Y21" s="410">
        <v>0</v>
      </c>
      <c r="Z21" s="410">
        <v>0</v>
      </c>
      <c r="AA21" s="410">
        <v>0</v>
      </c>
      <c r="AB21" s="410">
        <v>0</v>
      </c>
    </row>
    <row r="22" spans="2:28" s="304" customFormat="1" ht="12" x14ac:dyDescent="0.2">
      <c r="C22" s="404">
        <v>11</v>
      </c>
      <c r="F22" s="405">
        <f>AVERAGE(Q22:AB22)</f>
        <v>46</v>
      </c>
      <c r="G22" s="405"/>
      <c r="H22" s="405">
        <f>+F22*(1+H34)</f>
        <v>52.9</v>
      </c>
      <c r="I22" s="405"/>
      <c r="J22" s="405">
        <f>+H22*(1+J34)</f>
        <v>60.834999999999994</v>
      </c>
      <c r="K22" s="405"/>
      <c r="L22" s="405">
        <f>+J22*(1+L34)</f>
        <v>66.918499999999995</v>
      </c>
      <c r="M22" s="405"/>
      <c r="N22" s="405">
        <f>+L22*(1+N34)</f>
        <v>73.610349999999997</v>
      </c>
      <c r="O22" s="406"/>
      <c r="Q22" s="532">
        <v>46</v>
      </c>
      <c r="R22" s="532">
        <v>46</v>
      </c>
      <c r="S22" s="532">
        <v>46</v>
      </c>
      <c r="T22" s="532">
        <v>46</v>
      </c>
      <c r="U22" s="532">
        <v>46</v>
      </c>
      <c r="V22" s="532">
        <v>46</v>
      </c>
      <c r="W22" s="532">
        <v>46</v>
      </c>
      <c r="X22" s="532">
        <v>46</v>
      </c>
      <c r="Y22" s="532">
        <v>46</v>
      </c>
      <c r="Z22" s="532">
        <v>46</v>
      </c>
      <c r="AA22" s="532">
        <v>46</v>
      </c>
      <c r="AB22" s="532">
        <v>46</v>
      </c>
    </row>
    <row r="23" spans="2:28" s="304" customFormat="1" ht="12" x14ac:dyDescent="0.2">
      <c r="C23" s="408">
        <v>12</v>
      </c>
      <c r="F23" s="411">
        <f>AVERAGE(Q23:AB23)</f>
        <v>42</v>
      </c>
      <c r="G23" s="409"/>
      <c r="H23" s="411">
        <f>+F23*(1+H34)</f>
        <v>48.3</v>
      </c>
      <c r="I23" s="409"/>
      <c r="J23" s="411">
        <f>+H23*(1+J34)</f>
        <v>55.544999999999995</v>
      </c>
      <c r="K23" s="409"/>
      <c r="L23" s="411">
        <f>+J23*(1+L34)</f>
        <v>61.099499999999999</v>
      </c>
      <c r="M23" s="409"/>
      <c r="N23" s="411">
        <f>+L23*(1+N34)</f>
        <v>67.209450000000004</v>
      </c>
      <c r="O23" s="406"/>
      <c r="Q23" s="532">
        <v>42</v>
      </c>
      <c r="R23" s="532">
        <v>42</v>
      </c>
      <c r="S23" s="532">
        <v>42</v>
      </c>
      <c r="T23" s="532">
        <v>42</v>
      </c>
      <c r="U23" s="532">
        <v>42</v>
      </c>
      <c r="V23" s="532">
        <v>42</v>
      </c>
      <c r="W23" s="532">
        <v>42</v>
      </c>
      <c r="X23" s="532">
        <v>42</v>
      </c>
      <c r="Y23" s="532">
        <v>42</v>
      </c>
      <c r="Z23" s="532">
        <v>42</v>
      </c>
      <c r="AA23" s="532">
        <v>42</v>
      </c>
      <c r="AB23" s="532">
        <v>42</v>
      </c>
    </row>
    <row r="24" spans="2:28" s="304" customFormat="1" ht="12.75" thickBot="1" x14ac:dyDescent="0.25">
      <c r="C24" s="412" t="s">
        <v>66</v>
      </c>
      <c r="F24" s="413">
        <f>SUM(F10:F23)</f>
        <v>88</v>
      </c>
      <c r="G24" s="414"/>
      <c r="H24" s="413">
        <f t="shared" ref="H24:N24" si="0">SUM(H10:H23)</f>
        <v>101.19999999999999</v>
      </c>
      <c r="I24" s="414"/>
      <c r="J24" s="413">
        <f t="shared" si="0"/>
        <v>116.38</v>
      </c>
      <c r="K24" s="414"/>
      <c r="L24" s="413">
        <f t="shared" si="0"/>
        <v>128.018</v>
      </c>
      <c r="M24" s="414"/>
      <c r="N24" s="413">
        <f t="shared" si="0"/>
        <v>140.81979999999999</v>
      </c>
      <c r="O24" s="406"/>
      <c r="Q24" s="415">
        <f>SUM(Q22:Q23)</f>
        <v>88</v>
      </c>
      <c r="R24" s="415">
        <f t="shared" ref="R24:AB24" si="1">SUM(R22:R23)</f>
        <v>88</v>
      </c>
      <c r="S24" s="415">
        <f t="shared" si="1"/>
        <v>88</v>
      </c>
      <c r="T24" s="415">
        <f t="shared" si="1"/>
        <v>88</v>
      </c>
      <c r="U24" s="415">
        <f t="shared" si="1"/>
        <v>88</v>
      </c>
      <c r="V24" s="415">
        <f t="shared" si="1"/>
        <v>88</v>
      </c>
      <c r="W24" s="415">
        <f t="shared" si="1"/>
        <v>88</v>
      </c>
      <c r="X24" s="415">
        <f t="shared" si="1"/>
        <v>88</v>
      </c>
      <c r="Y24" s="415">
        <f t="shared" si="1"/>
        <v>88</v>
      </c>
      <c r="Z24" s="415">
        <f t="shared" si="1"/>
        <v>88</v>
      </c>
      <c r="AA24" s="415">
        <f t="shared" si="1"/>
        <v>88</v>
      </c>
      <c r="AB24" s="415">
        <f t="shared" si="1"/>
        <v>88</v>
      </c>
    </row>
    <row r="25" spans="2:28" s="304" customFormat="1" ht="12.75" thickTop="1" x14ac:dyDescent="0.2">
      <c r="G25" s="308"/>
      <c r="I25" s="308"/>
      <c r="K25" s="308"/>
      <c r="M25" s="308"/>
    </row>
    <row r="26" spans="2:28" s="304" customFormat="1" ht="12" x14ac:dyDescent="0.2">
      <c r="C26" s="416" t="s">
        <v>329</v>
      </c>
      <c r="F26" s="533">
        <v>35</v>
      </c>
      <c r="G26" s="308"/>
      <c r="H26" s="417"/>
      <c r="I26" s="308"/>
      <c r="J26" s="417"/>
      <c r="K26" s="308"/>
      <c r="L26" s="417"/>
      <c r="M26" s="308"/>
      <c r="N26" s="417"/>
    </row>
    <row r="27" spans="2:28" s="304" customFormat="1" ht="12" x14ac:dyDescent="0.2">
      <c r="C27" s="416" t="s">
        <v>330</v>
      </c>
      <c r="F27" s="533">
        <v>2</v>
      </c>
      <c r="G27" s="308"/>
      <c r="H27" s="417"/>
      <c r="I27" s="308"/>
      <c r="J27" s="417"/>
      <c r="K27" s="308"/>
      <c r="L27" s="417"/>
      <c r="M27" s="308"/>
      <c r="N27" s="417"/>
    </row>
    <row r="28" spans="2:28" s="304" customFormat="1" ht="12" x14ac:dyDescent="0.2">
      <c r="C28" s="418" t="s">
        <v>331</v>
      </c>
      <c r="F28" s="533">
        <v>5</v>
      </c>
      <c r="G28" s="308"/>
      <c r="H28" s="417"/>
      <c r="I28" s="308"/>
      <c r="J28" s="417"/>
      <c r="K28" s="308"/>
      <c r="L28" s="417"/>
      <c r="M28" s="308"/>
      <c r="N28" s="417"/>
    </row>
    <row r="29" spans="2:28" s="304" customFormat="1" ht="12" x14ac:dyDescent="0.2">
      <c r="C29" s="416" t="s">
        <v>332</v>
      </c>
      <c r="F29" s="533">
        <v>5</v>
      </c>
      <c r="G29" s="308"/>
      <c r="H29" s="417"/>
      <c r="I29" s="308"/>
      <c r="J29" s="417"/>
      <c r="K29" s="308"/>
      <c r="L29" s="417"/>
      <c r="M29" s="308"/>
      <c r="N29" s="417"/>
    </row>
    <row r="30" spans="2:28" s="304" customFormat="1" ht="12" x14ac:dyDescent="0.2">
      <c r="C30" s="416" t="s">
        <v>341</v>
      </c>
      <c r="F30" s="531">
        <v>17</v>
      </c>
      <c r="G30" s="308"/>
      <c r="H30" s="417"/>
      <c r="I30" s="308"/>
      <c r="J30" s="417"/>
      <c r="K30" s="308"/>
      <c r="L30" s="417"/>
      <c r="M30" s="308"/>
      <c r="N30" s="417"/>
    </row>
    <row r="31" spans="2:28" s="304" customFormat="1" ht="12.75" thickBot="1" x14ac:dyDescent="0.25">
      <c r="G31" s="308"/>
      <c r="I31" s="308"/>
      <c r="K31" s="308"/>
      <c r="M31" s="308"/>
    </row>
    <row r="32" spans="2:28" s="304" customFormat="1" ht="12.75" thickBot="1" x14ac:dyDescent="0.25">
      <c r="B32" s="688" t="s">
        <v>71</v>
      </c>
      <c r="C32" s="689"/>
      <c r="D32" s="689"/>
      <c r="E32" s="689"/>
      <c r="F32" s="689"/>
      <c r="G32" s="689"/>
      <c r="H32" s="689"/>
      <c r="I32" s="689"/>
      <c r="J32" s="689"/>
      <c r="K32" s="689"/>
      <c r="L32" s="689"/>
      <c r="M32" s="689"/>
      <c r="N32" s="689"/>
      <c r="O32" s="690"/>
    </row>
    <row r="33" spans="2:17" s="304" customFormat="1" ht="12" x14ac:dyDescent="0.2">
      <c r="G33" s="308"/>
      <c r="I33" s="308"/>
      <c r="K33" s="308"/>
      <c r="M33" s="308"/>
    </row>
    <row r="34" spans="2:17" s="304" customFormat="1" ht="12" x14ac:dyDescent="0.2">
      <c r="B34" s="304" t="s">
        <v>188</v>
      </c>
      <c r="F34" s="419" t="s">
        <v>84</v>
      </c>
      <c r="G34" s="307"/>
      <c r="H34" s="420">
        <v>0.15</v>
      </c>
      <c r="I34" s="421"/>
      <c r="J34" s="420">
        <v>0.15</v>
      </c>
      <c r="K34" s="421"/>
      <c r="L34" s="420">
        <v>0.1</v>
      </c>
      <c r="M34" s="421"/>
      <c r="N34" s="420">
        <v>0.1</v>
      </c>
    </row>
    <row r="35" spans="2:17" s="304" customFormat="1" ht="12" x14ac:dyDescent="0.2">
      <c r="B35" s="304" t="s">
        <v>256</v>
      </c>
      <c r="F35" s="639">
        <v>7200</v>
      </c>
      <c r="G35" s="307"/>
      <c r="H35" s="307">
        <f>$F$35</f>
        <v>7200</v>
      </c>
      <c r="I35" s="307"/>
      <c r="J35" s="307">
        <f>$F$35</f>
        <v>7200</v>
      </c>
      <c r="K35" s="307"/>
      <c r="L35" s="307">
        <f>$F$35</f>
        <v>7200</v>
      </c>
      <c r="M35" s="307"/>
      <c r="N35" s="307">
        <f>$F$35</f>
        <v>7200</v>
      </c>
    </row>
    <row r="36" spans="2:17" s="304" customFormat="1" ht="12" x14ac:dyDescent="0.2">
      <c r="B36" s="304" t="s">
        <v>257</v>
      </c>
      <c r="F36" s="422">
        <v>0.3</v>
      </c>
      <c r="G36" s="308"/>
      <c r="H36" s="422">
        <f>F36</f>
        <v>0.3</v>
      </c>
      <c r="I36" s="308"/>
      <c r="J36" s="422">
        <f>H36</f>
        <v>0.3</v>
      </c>
      <c r="K36" s="308"/>
      <c r="L36" s="422">
        <f>J36</f>
        <v>0.3</v>
      </c>
      <c r="M36" s="308"/>
      <c r="N36" s="422">
        <f>L36</f>
        <v>0.3</v>
      </c>
      <c r="Q36" s="406"/>
    </row>
    <row r="37" spans="2:17" s="304" customFormat="1" ht="12" x14ac:dyDescent="0.2">
      <c r="B37" s="304" t="s">
        <v>258</v>
      </c>
      <c r="F37" s="307">
        <f>F35*(1-F36)</f>
        <v>5040</v>
      </c>
      <c r="G37" s="307"/>
      <c r="H37" s="307">
        <f>H35*(1-H36)</f>
        <v>5040</v>
      </c>
      <c r="I37" s="307"/>
      <c r="J37" s="307">
        <f>J35*(1-J36)</f>
        <v>5040</v>
      </c>
      <c r="K37" s="307"/>
      <c r="L37" s="307">
        <f>L35*(1-L36)</f>
        <v>5040</v>
      </c>
      <c r="M37" s="307"/>
      <c r="N37" s="307">
        <f>N35*(1-N36)</f>
        <v>5040</v>
      </c>
    </row>
    <row r="38" spans="2:17" s="304" customFormat="1" ht="12" x14ac:dyDescent="0.2">
      <c r="F38" s="307"/>
      <c r="G38" s="307"/>
      <c r="H38" s="307"/>
      <c r="I38" s="307"/>
      <c r="J38" s="307"/>
      <c r="K38" s="307"/>
      <c r="L38" s="307"/>
      <c r="M38" s="307"/>
      <c r="N38" s="307"/>
    </row>
    <row r="39" spans="2:17" s="304" customFormat="1" ht="12" x14ac:dyDescent="0.2">
      <c r="B39" s="423" t="s">
        <v>72</v>
      </c>
      <c r="G39" s="308"/>
      <c r="I39" s="308"/>
      <c r="K39" s="308"/>
      <c r="M39" s="308"/>
    </row>
    <row r="40" spans="2:17" s="304" customFormat="1" ht="12" x14ac:dyDescent="0.2">
      <c r="B40" s="424" t="s">
        <v>355</v>
      </c>
      <c r="F40" s="425">
        <v>0.26400000000000001</v>
      </c>
      <c r="G40" s="315"/>
      <c r="H40" s="316">
        <f>F40</f>
        <v>0.26400000000000001</v>
      </c>
      <c r="I40" s="317"/>
      <c r="J40" s="316">
        <f t="shared" ref="J40" si="2">H40</f>
        <v>0.26400000000000001</v>
      </c>
      <c r="K40" s="317"/>
      <c r="L40" s="316">
        <f>J40</f>
        <v>0.26400000000000001</v>
      </c>
      <c r="M40" s="317"/>
      <c r="N40" s="316">
        <f>L40</f>
        <v>0.26400000000000001</v>
      </c>
    </row>
    <row r="41" spans="2:17" s="304" customFormat="1" ht="12" x14ac:dyDescent="0.2">
      <c r="B41" s="424" t="s">
        <v>356</v>
      </c>
      <c r="F41" s="425">
        <v>0.28999999999999998</v>
      </c>
      <c r="G41" s="315"/>
      <c r="H41" s="316">
        <f t="shared" ref="H41:H44" si="3">F41</f>
        <v>0.28999999999999998</v>
      </c>
      <c r="I41" s="317"/>
      <c r="J41" s="316">
        <f>H41</f>
        <v>0.28999999999999998</v>
      </c>
      <c r="K41" s="317"/>
      <c r="L41" s="316">
        <f>J41</f>
        <v>0.28999999999999998</v>
      </c>
      <c r="M41" s="317"/>
      <c r="N41" s="316">
        <f>L41</f>
        <v>0.28999999999999998</v>
      </c>
    </row>
    <row r="42" spans="2:17" s="304" customFormat="1" ht="12" x14ac:dyDescent="0.2">
      <c r="B42" s="424" t="s">
        <v>357</v>
      </c>
      <c r="F42" s="425">
        <v>1E-3</v>
      </c>
      <c r="G42" s="315"/>
      <c r="H42" s="316">
        <f t="shared" si="3"/>
        <v>1E-3</v>
      </c>
      <c r="I42" s="317"/>
      <c r="J42" s="316">
        <f>H42</f>
        <v>1E-3</v>
      </c>
      <c r="K42" s="317"/>
      <c r="L42" s="316">
        <f>J42</f>
        <v>1E-3</v>
      </c>
      <c r="M42" s="317"/>
      <c r="N42" s="316">
        <f>L42</f>
        <v>1E-3</v>
      </c>
    </row>
    <row r="43" spans="2:17" s="304" customFormat="1" ht="12" x14ac:dyDescent="0.2">
      <c r="B43" s="424" t="s">
        <v>358</v>
      </c>
      <c r="F43" s="425">
        <v>3.1E-2</v>
      </c>
      <c r="G43" s="315"/>
      <c r="H43" s="316">
        <f t="shared" si="3"/>
        <v>3.1E-2</v>
      </c>
      <c r="I43" s="317"/>
      <c r="J43" s="316">
        <f>H43</f>
        <v>3.1E-2</v>
      </c>
      <c r="K43" s="317"/>
      <c r="L43" s="316">
        <f>J43</f>
        <v>3.1E-2</v>
      </c>
      <c r="M43" s="317"/>
      <c r="N43" s="316">
        <f>L43</f>
        <v>3.1E-2</v>
      </c>
    </row>
    <row r="44" spans="2:17" s="304" customFormat="1" ht="12" x14ac:dyDescent="0.2">
      <c r="B44" s="424" t="s">
        <v>359</v>
      </c>
      <c r="F44" s="425">
        <v>0.41399999999999998</v>
      </c>
      <c r="G44" s="315"/>
      <c r="H44" s="316">
        <f t="shared" si="3"/>
        <v>0.41399999999999998</v>
      </c>
      <c r="I44" s="317"/>
      <c r="J44" s="316">
        <f>H44</f>
        <v>0.41399999999999998</v>
      </c>
      <c r="K44" s="317"/>
      <c r="L44" s="316">
        <f>J44</f>
        <v>0.41399999999999998</v>
      </c>
      <c r="M44" s="317"/>
      <c r="N44" s="316">
        <f>L44</f>
        <v>0.41399999999999998</v>
      </c>
    </row>
    <row r="45" spans="2:17" s="304" customFormat="1" ht="12" x14ac:dyDescent="0.2">
      <c r="F45" s="426">
        <f>SUM(F40:F44)</f>
        <v>1</v>
      </c>
      <c r="G45" s="317"/>
      <c r="H45" s="426">
        <f t="shared" ref="H45:N45" si="4">SUM(H40:H44)</f>
        <v>1</v>
      </c>
      <c r="I45" s="317"/>
      <c r="J45" s="426">
        <f t="shared" si="4"/>
        <v>1</v>
      </c>
      <c r="K45" s="317"/>
      <c r="L45" s="426">
        <f t="shared" si="4"/>
        <v>1</v>
      </c>
      <c r="M45" s="317"/>
      <c r="N45" s="426">
        <f t="shared" si="4"/>
        <v>1</v>
      </c>
    </row>
    <row r="46" spans="2:17" s="304" customFormat="1" ht="12" x14ac:dyDescent="0.2">
      <c r="G46" s="308"/>
      <c r="I46" s="308"/>
      <c r="K46" s="308"/>
      <c r="M46" s="308"/>
    </row>
    <row r="47" spans="2:17" s="304" customFormat="1" ht="12" x14ac:dyDescent="0.2">
      <c r="B47" s="423" t="s">
        <v>74</v>
      </c>
      <c r="G47" s="308"/>
      <c r="I47" s="308"/>
      <c r="K47" s="308"/>
      <c r="M47" s="308"/>
    </row>
    <row r="48" spans="2:17" s="304" customFormat="1" ht="12" x14ac:dyDescent="0.2">
      <c r="B48" s="424" t="s">
        <v>354</v>
      </c>
      <c r="D48" s="658" t="s">
        <v>564</v>
      </c>
      <c r="F48" s="660">
        <v>0</v>
      </c>
      <c r="G48" s="409"/>
      <c r="H48" s="410"/>
      <c r="I48" s="409"/>
      <c r="J48" s="410"/>
      <c r="K48" s="409"/>
      <c r="L48" s="410"/>
      <c r="M48" s="409"/>
      <c r="N48" s="410"/>
    </row>
    <row r="49" spans="2:14" s="304" customFormat="1" ht="12" x14ac:dyDescent="0.2">
      <c r="B49" s="424" t="s">
        <v>570</v>
      </c>
      <c r="D49" s="659" t="s">
        <v>279</v>
      </c>
      <c r="F49" s="659">
        <f>((SUMPRODUCT((ISNUMBER(SEARCH(RIGHT(D49,4),'Exp Details'!$D$8:$D$495)))*'Exp Details'!$H$8:$H$495)))+((SUMPRODUCT((ISNUMBER(SEARCH(RIGHT(D49,4),Payroll!$G$8:$G$120)))*Payroll!$H$8:$H$120)))</f>
        <v>192</v>
      </c>
      <c r="G49" s="409"/>
      <c r="H49" s="410"/>
      <c r="I49" s="409"/>
      <c r="J49" s="410"/>
      <c r="K49" s="409"/>
      <c r="L49" s="410"/>
      <c r="M49" s="409"/>
      <c r="N49" s="410"/>
    </row>
    <row r="50" spans="2:14" s="304" customFormat="1" ht="12" x14ac:dyDescent="0.2">
      <c r="B50" s="424" t="s">
        <v>571</v>
      </c>
      <c r="D50" s="659" t="s">
        <v>565</v>
      </c>
      <c r="F50" s="659">
        <f>((SUMPRODUCT((ISNUMBER(SEARCH(RIGHT(D50,4),'Exp Details'!$D$8:$D$495)))*'Exp Details'!$H$8:$H$495)))+((SUMPRODUCT((ISNUMBER(SEARCH(RIGHT(D50,4),Payroll!$G$8:$G$120)))*Payroll!$H$8:$H$120)))</f>
        <v>0</v>
      </c>
      <c r="G50" s="409"/>
      <c r="H50" s="410"/>
      <c r="I50" s="409"/>
      <c r="J50" s="410"/>
      <c r="K50" s="409"/>
      <c r="L50" s="410"/>
      <c r="M50" s="409"/>
      <c r="N50" s="410"/>
    </row>
    <row r="51" spans="2:14" s="304" customFormat="1" ht="12" x14ac:dyDescent="0.2">
      <c r="B51" s="424" t="s">
        <v>572</v>
      </c>
      <c r="D51" s="658" t="s">
        <v>564</v>
      </c>
      <c r="F51" s="660">
        <v>0</v>
      </c>
      <c r="G51" s="409"/>
      <c r="H51" s="410"/>
      <c r="I51" s="409"/>
      <c r="J51" s="410"/>
      <c r="K51" s="409"/>
      <c r="L51" s="410"/>
      <c r="M51" s="409"/>
      <c r="N51" s="410"/>
    </row>
    <row r="52" spans="2:14" s="304" customFormat="1" ht="12" x14ac:dyDescent="0.2">
      <c r="B52" s="424" t="s">
        <v>573</v>
      </c>
      <c r="D52" s="659" t="s">
        <v>281</v>
      </c>
      <c r="F52" s="659">
        <f>((SUMPRODUCT((ISNUMBER(SEARCH(RIGHT(D52,4),'Exp Details'!$D$8:$D$495)))*'Exp Details'!$H$8:$H$495)))+((SUMPRODUCT((ISNUMBER(SEARCH(RIGHT(D52,4),Payroll!$G$8:$G$120)))*Payroll!$H$8:$H$120)))</f>
        <v>51000</v>
      </c>
      <c r="G52" s="409"/>
      <c r="H52" s="410"/>
      <c r="I52" s="409"/>
      <c r="J52" s="410"/>
      <c r="K52" s="409"/>
      <c r="L52" s="410"/>
      <c r="M52" s="409"/>
      <c r="N52" s="410"/>
    </row>
    <row r="53" spans="2:14" s="304" customFormat="1" ht="12" x14ac:dyDescent="0.2">
      <c r="D53" s="406"/>
      <c r="F53" s="406"/>
      <c r="G53" s="409"/>
      <c r="H53" s="406"/>
      <c r="I53" s="409"/>
      <c r="J53" s="406"/>
      <c r="K53" s="409"/>
      <c r="L53" s="406"/>
      <c r="M53" s="409"/>
      <c r="N53" s="406"/>
    </row>
    <row r="54" spans="2:14" s="304" customFormat="1" ht="12" x14ac:dyDescent="0.2">
      <c r="B54" s="423" t="s">
        <v>75</v>
      </c>
      <c r="D54" s="406"/>
      <c r="F54" s="406"/>
      <c r="G54" s="409"/>
      <c r="H54" s="406"/>
      <c r="I54" s="409"/>
      <c r="J54" s="406"/>
      <c r="K54" s="409"/>
      <c r="L54" s="406"/>
      <c r="M54" s="409"/>
      <c r="N54" s="406"/>
    </row>
    <row r="55" spans="2:14" s="304" customFormat="1" ht="12" x14ac:dyDescent="0.2">
      <c r="B55" s="424" t="s">
        <v>574</v>
      </c>
      <c r="D55" s="659" t="s">
        <v>284</v>
      </c>
      <c r="F55" s="659">
        <f>((SUMPRODUCT((ISNUMBER(SEARCH(RIGHT(D55,4),'Exp Details'!$D$8:$D$495)))*'Exp Details'!$H$8:$H$495)))+((SUMPRODUCT((ISNUMBER(SEARCH(RIGHT(D55,4),Payroll!$G$8:$G$120)))*Payroll!$H$8:$H$120)))</f>
        <v>0</v>
      </c>
      <c r="G55" s="409"/>
      <c r="H55" s="410"/>
      <c r="I55" s="409"/>
      <c r="J55" s="410"/>
      <c r="K55" s="409"/>
      <c r="L55" s="410"/>
      <c r="M55" s="409"/>
      <c r="N55" s="410"/>
    </row>
    <row r="56" spans="2:14" s="304" customFormat="1" ht="12" x14ac:dyDescent="0.2">
      <c r="B56" s="424" t="s">
        <v>575</v>
      </c>
      <c r="D56" s="659" t="s">
        <v>566</v>
      </c>
      <c r="F56" s="659">
        <f>((SUMPRODUCT((ISNUMBER(SEARCH(RIGHT(D56,4),'Exp Details'!$D$8:$D$495)))*'Exp Details'!$H$8:$H$495)))+((SUMPRODUCT((ISNUMBER(SEARCH(RIGHT(D56,4),Payroll!$G$8:$G$120)))*Payroll!$H$8:$H$120)))</f>
        <v>0</v>
      </c>
      <c r="G56" s="409"/>
      <c r="H56" s="410"/>
      <c r="I56" s="409"/>
      <c r="J56" s="410"/>
      <c r="K56" s="409"/>
      <c r="L56" s="410"/>
      <c r="M56" s="409"/>
      <c r="N56" s="410"/>
    </row>
    <row r="57" spans="2:14" s="304" customFormat="1" ht="12" x14ac:dyDescent="0.2">
      <c r="B57" s="424" t="s">
        <v>576</v>
      </c>
      <c r="D57" s="659" t="s">
        <v>289</v>
      </c>
      <c r="F57" s="659">
        <f>((SUMPRODUCT((ISNUMBER(SEARCH(RIGHT(D57,4),'Exp Details'!$D$8:$D$495)))*'Exp Details'!$H$8:$H$495)))+((SUMPRODUCT((ISNUMBER(SEARCH(RIGHT(D57,4),Payroll!$G$8:$G$120)))*Payroll!$H$8:$H$120)))</f>
        <v>0</v>
      </c>
      <c r="G57" s="409"/>
      <c r="H57" s="410"/>
      <c r="I57" s="409"/>
      <c r="J57" s="410"/>
      <c r="K57" s="409"/>
      <c r="L57" s="410"/>
      <c r="M57" s="409"/>
      <c r="N57" s="410"/>
    </row>
    <row r="58" spans="2:14" s="304" customFormat="1" ht="12" x14ac:dyDescent="0.2">
      <c r="B58" s="424" t="s">
        <v>577</v>
      </c>
      <c r="D58" s="659" t="s">
        <v>567</v>
      </c>
      <c r="F58" s="659">
        <f>((SUMPRODUCT((ISNUMBER(SEARCH(RIGHT(D58,4),'Exp Details'!$D$8:$D$495)))*'Exp Details'!$H$8:$H$495)))+((SUMPRODUCT((ISNUMBER(SEARCH(RIGHT(D58,4),Payroll!$G$8:$G$120)))*Payroll!$H$8:$H$120)))</f>
        <v>0</v>
      </c>
      <c r="G58" s="409"/>
      <c r="H58" s="410"/>
      <c r="I58" s="409"/>
      <c r="J58" s="410"/>
      <c r="K58" s="409"/>
      <c r="L58" s="410"/>
      <c r="M58" s="409"/>
      <c r="N58" s="410"/>
    </row>
    <row r="59" spans="2:14" s="304" customFormat="1" ht="12" x14ac:dyDescent="0.2">
      <c r="B59" s="424" t="s">
        <v>578</v>
      </c>
      <c r="D59" s="659" t="s">
        <v>568</v>
      </c>
      <c r="F59" s="659">
        <f>((SUMPRODUCT((ISNUMBER(SEARCH(RIGHT(D59,4),'Exp Details'!$D$8:$D$495)))*'Exp Details'!$H$8:$H$495)))+((SUMPRODUCT((ISNUMBER(SEARCH(RIGHT(D59,4),Payroll!$G$8:$G$120)))*Payroll!$H$8:$H$120)))</f>
        <v>0</v>
      </c>
      <c r="G59" s="409"/>
      <c r="H59" s="410"/>
      <c r="I59" s="409"/>
      <c r="J59" s="410"/>
      <c r="K59" s="409"/>
      <c r="L59" s="410"/>
      <c r="M59" s="409"/>
      <c r="N59" s="410"/>
    </row>
    <row r="60" spans="2:14" s="304" customFormat="1" ht="12" x14ac:dyDescent="0.2">
      <c r="B60" s="424" t="s">
        <v>353</v>
      </c>
      <c r="D60" s="658" t="s">
        <v>569</v>
      </c>
      <c r="F60" s="659">
        <f>((SUMPRODUCT((ISNUMBER(SEARCH(RIGHT(D60,4),'Exp Details'!$D$8:$D$495)))*'Exp Details'!$H$8:$H$495)))+((SUMPRODUCT((ISNUMBER(SEARCH(RIGHT(D60,4),Payroll!$G$8:$G$120)))*Payroll!$H$8:$H$120)))</f>
        <v>0</v>
      </c>
      <c r="G60" s="409"/>
      <c r="H60" s="410"/>
      <c r="I60" s="409"/>
      <c r="J60" s="410"/>
      <c r="K60" s="409"/>
      <c r="L60" s="410"/>
      <c r="M60" s="409"/>
      <c r="N60" s="410"/>
    </row>
    <row r="61" spans="2:14" s="304" customFormat="1" ht="12" x14ac:dyDescent="0.2">
      <c r="D61" s="406"/>
      <c r="F61" s="406"/>
      <c r="G61" s="409"/>
      <c r="H61" s="406"/>
      <c r="I61" s="409"/>
      <c r="J61" s="406"/>
      <c r="K61" s="409"/>
      <c r="L61" s="406"/>
      <c r="M61" s="409"/>
      <c r="N61" s="406"/>
    </row>
    <row r="62" spans="2:14" s="304" customFormat="1" ht="12" x14ac:dyDescent="0.2">
      <c r="B62" s="423" t="s">
        <v>76</v>
      </c>
      <c r="D62" s="406"/>
      <c r="F62" s="406"/>
      <c r="G62" s="409"/>
      <c r="H62" s="406"/>
      <c r="I62" s="409"/>
      <c r="J62" s="406"/>
      <c r="K62" s="409"/>
      <c r="L62" s="406"/>
      <c r="M62" s="409"/>
      <c r="N62" s="406"/>
    </row>
    <row r="63" spans="2:14" s="304" customFormat="1" ht="12" x14ac:dyDescent="0.2">
      <c r="B63" s="424" t="s">
        <v>579</v>
      </c>
      <c r="D63" s="410"/>
      <c r="F63" s="410"/>
      <c r="G63" s="409"/>
      <c r="H63" s="410"/>
      <c r="I63" s="409"/>
      <c r="J63" s="410"/>
      <c r="K63" s="409"/>
      <c r="L63" s="410"/>
      <c r="M63" s="409"/>
      <c r="N63" s="410"/>
    </row>
    <row r="64" spans="2:14" s="304" customFormat="1" ht="12" x14ac:dyDescent="0.2">
      <c r="B64" s="424" t="s">
        <v>580</v>
      </c>
      <c r="D64" s="410"/>
      <c r="F64" s="410"/>
      <c r="G64" s="409"/>
      <c r="H64" s="410"/>
      <c r="I64" s="409"/>
      <c r="J64" s="410"/>
      <c r="K64" s="409"/>
      <c r="L64" s="410"/>
      <c r="M64" s="409"/>
      <c r="N64" s="410"/>
    </row>
    <row r="65" spans="1:14" s="304" customFormat="1" ht="12" x14ac:dyDescent="0.2">
      <c r="B65" s="424" t="s">
        <v>581</v>
      </c>
      <c r="D65" s="410"/>
      <c r="F65" s="410"/>
      <c r="G65" s="409"/>
      <c r="H65" s="410"/>
      <c r="I65" s="409"/>
      <c r="J65" s="410"/>
      <c r="K65" s="409"/>
      <c r="L65" s="410"/>
      <c r="M65" s="409"/>
      <c r="N65" s="410"/>
    </row>
    <row r="66" spans="1:14" s="304" customFormat="1" ht="12" x14ac:dyDescent="0.2">
      <c r="G66" s="308"/>
      <c r="I66" s="308"/>
      <c r="K66" s="308"/>
      <c r="M66" s="308"/>
    </row>
    <row r="67" spans="1:14" s="304" customFormat="1" ht="12" x14ac:dyDescent="0.2">
      <c r="B67" s="423" t="s">
        <v>619</v>
      </c>
      <c r="D67" s="406"/>
      <c r="F67" s="406"/>
      <c r="G67" s="409"/>
      <c r="H67" s="406"/>
      <c r="I67" s="409"/>
      <c r="J67" s="406"/>
      <c r="K67" s="409"/>
      <c r="L67" s="406"/>
      <c r="M67" s="409"/>
      <c r="N67" s="406"/>
    </row>
    <row r="68" spans="1:14" s="304" customFormat="1" ht="12" x14ac:dyDescent="0.2">
      <c r="B68" s="424" t="s">
        <v>620</v>
      </c>
      <c r="D68" s="410">
        <v>120000</v>
      </c>
      <c r="F68" s="410"/>
      <c r="G68" s="409"/>
      <c r="H68" s="410"/>
      <c r="I68" s="409"/>
      <c r="J68" s="410"/>
      <c r="K68" s="409"/>
      <c r="L68" s="410"/>
      <c r="M68" s="409"/>
      <c r="N68" s="410"/>
    </row>
    <row r="69" spans="1:14" s="304" customFormat="1" ht="11.25" customHeight="1" x14ac:dyDescent="0.2">
      <c r="G69" s="308"/>
      <c r="I69" s="308"/>
      <c r="K69" s="308"/>
      <c r="M69" s="308"/>
    </row>
    <row r="70" spans="1:14" ht="12" customHeight="1" x14ac:dyDescent="0.25">
      <c r="A70" s="304"/>
      <c r="B70" s="423" t="s">
        <v>621</v>
      </c>
      <c r="C70" s="304"/>
      <c r="D70" s="406"/>
      <c r="E70" s="304"/>
      <c r="F70" s="406"/>
      <c r="G70" s="409"/>
      <c r="H70" s="406"/>
      <c r="I70" s="409"/>
      <c r="J70" s="406"/>
      <c r="K70" s="409"/>
      <c r="L70" s="406"/>
      <c r="M70" s="409"/>
      <c r="N70" s="406"/>
    </row>
    <row r="71" spans="1:14" ht="12" customHeight="1" x14ac:dyDescent="0.25">
      <c r="A71" s="304"/>
      <c r="B71" s="424" t="s">
        <v>622</v>
      </c>
      <c r="C71" s="304"/>
      <c r="D71" s="410"/>
      <c r="E71" s="304"/>
      <c r="F71" s="410">
        <v>12000</v>
      </c>
      <c r="G71" s="409"/>
      <c r="H71" s="410">
        <v>24000</v>
      </c>
      <c r="I71" s="409"/>
      <c r="J71" s="410">
        <v>36000</v>
      </c>
      <c r="K71" s="409"/>
      <c r="L71" s="410">
        <v>48000</v>
      </c>
      <c r="M71" s="409"/>
      <c r="N71" s="410"/>
    </row>
    <row r="72" spans="1:14" ht="12" customHeight="1" x14ac:dyDescent="0.25"/>
    <row r="73" spans="1:14" s="304" customFormat="1" ht="12" x14ac:dyDescent="0.2">
      <c r="G73" s="308"/>
      <c r="I73" s="308"/>
      <c r="K73" s="308"/>
      <c r="M73" s="308"/>
    </row>
    <row r="74" spans="1:14" s="304" customFormat="1" ht="12" x14ac:dyDescent="0.2">
      <c r="G74" s="308"/>
      <c r="I74" s="308"/>
      <c r="K74" s="308"/>
      <c r="M74" s="308"/>
    </row>
    <row r="75" spans="1:14" s="304" customFormat="1" ht="12" x14ac:dyDescent="0.2">
      <c r="G75" s="308"/>
      <c r="I75" s="308"/>
      <c r="K75" s="308"/>
      <c r="M75" s="308"/>
    </row>
  </sheetData>
  <sheetProtection algorithmName="SHA-512" hashValue="d1ev0T7rl+McybkPoL+dXAe0HfPhJqabnuPQ41PqxiHiXkKpIzSnJhywe567ifleB3o40AzzFTI9jigLsldXnQ==" saltValue="cXhx3v2lfqUClym8ziRvpw==" spinCount="100000" sheet="1" selectLockedCells="1" selectUnlockedCells="1"/>
  <mergeCells count="4">
    <mergeCell ref="F5:N5"/>
    <mergeCell ref="B32:O32"/>
    <mergeCell ref="B8:O8"/>
    <mergeCell ref="Q8:AB8"/>
  </mergeCells>
  <phoneticPr fontId="13" type="noConversion"/>
  <pageMargins left="0.7" right="0.7" top="0.75" bottom="0.75" header="0.3" footer="0.3"/>
  <pageSetup orientation="portrait" horizontalDpi="4294967294" verticalDpi="4294967294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7" tint="0.79998168889431442"/>
  </sheetPr>
  <dimension ref="A1:AO294"/>
  <sheetViews>
    <sheetView workbookViewId="0">
      <selection sqref="A1:XFD1048576"/>
    </sheetView>
  </sheetViews>
  <sheetFormatPr defaultColWidth="9.140625" defaultRowHeight="15" outlineLevelRow="1" outlineLevelCol="1" x14ac:dyDescent="0.25"/>
  <cols>
    <col min="1" max="1" width="2.140625" style="427" customWidth="1"/>
    <col min="2" max="2" width="7.42578125" style="497" customWidth="1"/>
    <col min="3" max="3" width="20.140625" style="427" customWidth="1"/>
    <col min="4" max="4" width="27.42578125" style="427" bestFit="1" customWidth="1"/>
    <col min="5" max="5" width="15.28515625" style="498" bestFit="1" customWidth="1"/>
    <col min="6" max="7" width="8.5703125" style="499" customWidth="1"/>
    <col min="8" max="8" width="8.5703125" style="499" hidden="1" customWidth="1"/>
    <col min="9" max="9" width="4.85546875" style="500" bestFit="1" customWidth="1"/>
    <col min="10" max="10" width="9.5703125" style="427" customWidth="1"/>
    <col min="11" max="11" width="11.140625" style="529" bestFit="1" customWidth="1"/>
    <col min="12" max="23" width="6.85546875" style="593" bestFit="1" customWidth="1" outlineLevel="1"/>
    <col min="24" max="24" width="3.7109375" style="502" bestFit="1" customWidth="1"/>
    <col min="25" max="25" width="9.5703125" style="427" customWidth="1"/>
    <col min="26" max="26" width="3.140625" style="497" customWidth="1"/>
    <col min="27" max="27" width="9.5703125" style="427" customWidth="1"/>
    <col min="28" max="28" width="3.140625" style="497" customWidth="1"/>
    <col min="29" max="29" width="9.5703125" style="427" customWidth="1"/>
    <col min="30" max="30" width="3.140625" style="497" customWidth="1"/>
    <col min="31" max="31" width="9.5703125" style="427" customWidth="1"/>
    <col min="32" max="32" width="9.140625" style="427"/>
    <col min="33" max="34" width="11.42578125" style="530" customWidth="1"/>
    <col min="35" max="16384" width="9.140625" style="427"/>
  </cols>
  <sheetData>
    <row r="1" spans="1:34" s="385" customFormat="1" ht="21" x14ac:dyDescent="0.35">
      <c r="A1" s="384" t="str">
        <f>'Rev &amp; Enroll'!$F$5</f>
        <v>Nevada State High School (Northwest)</v>
      </c>
      <c r="B1" s="397"/>
      <c r="C1" s="389"/>
      <c r="D1" s="389"/>
      <c r="E1" s="429"/>
      <c r="F1" s="430"/>
      <c r="G1" s="430"/>
      <c r="H1" s="430"/>
      <c r="I1" s="431"/>
      <c r="J1" s="389"/>
      <c r="K1" s="432"/>
      <c r="L1" s="579"/>
      <c r="M1" s="579"/>
      <c r="N1" s="579"/>
      <c r="O1" s="579"/>
      <c r="P1" s="579"/>
      <c r="Q1" s="579"/>
      <c r="R1" s="579"/>
      <c r="S1" s="579"/>
      <c r="T1" s="579"/>
      <c r="U1" s="579"/>
      <c r="V1" s="579"/>
      <c r="W1" s="579"/>
      <c r="X1" s="433"/>
      <c r="Y1" s="389"/>
      <c r="Z1" s="432"/>
      <c r="AA1" s="389"/>
      <c r="AB1" s="432"/>
      <c r="AC1" s="387"/>
      <c r="AD1" s="397"/>
      <c r="AE1" s="387"/>
      <c r="AG1" s="434"/>
      <c r="AH1" s="435"/>
    </row>
    <row r="2" spans="1:34" s="385" customFormat="1" x14ac:dyDescent="0.25">
      <c r="A2" s="390" t="s">
        <v>77</v>
      </c>
      <c r="B2" s="436"/>
      <c r="C2" s="387"/>
      <c r="D2" s="387"/>
      <c r="E2" s="437"/>
      <c r="F2" s="438"/>
      <c r="G2" s="438"/>
      <c r="H2" s="438"/>
      <c r="I2" s="439"/>
      <c r="J2" s="387"/>
      <c r="K2" s="397"/>
      <c r="L2" s="580"/>
      <c r="M2" s="580"/>
      <c r="N2" s="580"/>
      <c r="O2" s="580"/>
      <c r="P2" s="580"/>
      <c r="Q2" s="580"/>
      <c r="R2" s="580"/>
      <c r="S2" s="580"/>
      <c r="T2" s="580"/>
      <c r="U2" s="580"/>
      <c r="V2" s="580"/>
      <c r="W2" s="580"/>
      <c r="X2" s="433"/>
      <c r="Y2" s="387"/>
      <c r="Z2" s="397"/>
      <c r="AB2" s="436"/>
      <c r="AC2" s="393"/>
      <c r="AD2" s="397"/>
      <c r="AE2" s="393"/>
      <c r="AG2" s="440"/>
      <c r="AH2" s="434"/>
    </row>
    <row r="3" spans="1:34" s="395" customFormat="1" ht="13.5" customHeight="1" x14ac:dyDescent="0.2">
      <c r="A3" s="394" t="str">
        <f>'FY21'!A3</f>
        <v>Board Approved: Proposed: 4/16/2020</v>
      </c>
      <c r="B3" s="397"/>
      <c r="C3" s="397"/>
      <c r="D3" s="397"/>
      <c r="E3" s="441"/>
      <c r="F3" s="442"/>
      <c r="G3" s="442"/>
      <c r="H3" s="442"/>
      <c r="I3" s="439"/>
      <c r="J3" s="387"/>
      <c r="K3" s="397"/>
      <c r="L3" s="580"/>
      <c r="M3" s="580"/>
      <c r="N3" s="580"/>
      <c r="O3" s="580"/>
      <c r="P3" s="580"/>
      <c r="Q3" s="580"/>
      <c r="R3" s="580"/>
      <c r="S3" s="580"/>
      <c r="T3" s="580"/>
      <c r="U3" s="580"/>
      <c r="V3" s="580"/>
      <c r="W3" s="580"/>
      <c r="X3" s="433"/>
      <c r="Y3" s="397"/>
      <c r="Z3" s="397"/>
      <c r="AA3" s="399"/>
      <c r="AB3" s="443"/>
      <c r="AC3" s="397"/>
      <c r="AD3" s="397"/>
      <c r="AE3" s="397"/>
      <c r="AG3" s="444"/>
      <c r="AH3" s="444"/>
    </row>
    <row r="4" spans="1:34" s="304" customFormat="1" ht="12" x14ac:dyDescent="0.2">
      <c r="B4" s="306"/>
      <c r="E4" s="323"/>
      <c r="F4" s="381"/>
      <c r="G4" s="381"/>
      <c r="H4" s="381"/>
      <c r="I4" s="345"/>
      <c r="K4" s="445"/>
      <c r="L4" s="581"/>
      <c r="M4" s="581"/>
      <c r="N4" s="581"/>
      <c r="O4" s="581"/>
      <c r="P4" s="581"/>
      <c r="Q4" s="581"/>
      <c r="R4" s="581"/>
      <c r="S4" s="581"/>
      <c r="T4" s="581"/>
      <c r="U4" s="581"/>
      <c r="V4" s="581"/>
      <c r="W4" s="581"/>
      <c r="X4" s="376"/>
      <c r="Z4" s="306"/>
      <c r="AB4" s="306"/>
      <c r="AD4" s="306"/>
      <c r="AG4" s="446"/>
      <c r="AH4" s="446"/>
    </row>
    <row r="5" spans="1:34" s="381" customFormat="1" ht="14.25" customHeight="1" x14ac:dyDescent="0.25">
      <c r="B5" s="698" t="s">
        <v>81</v>
      </c>
      <c r="C5" s="694" t="s">
        <v>79</v>
      </c>
      <c r="D5" s="694" t="s">
        <v>80</v>
      </c>
      <c r="E5" s="699" t="s">
        <v>249</v>
      </c>
      <c r="F5" s="694" t="s">
        <v>246</v>
      </c>
      <c r="G5" s="701" t="s">
        <v>582</v>
      </c>
      <c r="H5" s="702"/>
      <c r="I5" s="695" t="s">
        <v>78</v>
      </c>
      <c r="J5" s="696"/>
      <c r="K5" s="696"/>
      <c r="L5" s="696"/>
      <c r="M5" s="696"/>
      <c r="N5" s="696"/>
      <c r="O5" s="696"/>
      <c r="P5" s="696"/>
      <c r="Q5" s="696"/>
      <c r="R5" s="696"/>
      <c r="S5" s="696"/>
      <c r="T5" s="696"/>
      <c r="U5" s="696"/>
      <c r="V5" s="696"/>
      <c r="W5" s="696"/>
      <c r="X5" s="696"/>
      <c r="Y5" s="696"/>
      <c r="Z5" s="696"/>
      <c r="AA5" s="696"/>
      <c r="AB5" s="696"/>
      <c r="AC5" s="696"/>
      <c r="AD5" s="696"/>
      <c r="AE5" s="697"/>
      <c r="AG5" s="447" t="s">
        <v>252</v>
      </c>
      <c r="AH5" s="447" t="s">
        <v>255</v>
      </c>
    </row>
    <row r="6" spans="1:34" s="448" customFormat="1" ht="14.25" customHeight="1" x14ac:dyDescent="0.2">
      <c r="B6" s="698"/>
      <c r="C6" s="694"/>
      <c r="D6" s="694"/>
      <c r="E6" s="700"/>
      <c r="F6" s="694"/>
      <c r="G6" s="703"/>
      <c r="H6" s="704"/>
      <c r="I6" s="449" t="s">
        <v>343</v>
      </c>
      <c r="J6" s="450" t="str">
        <f>CONCATENATE('Rev &amp; Enroll'!F7," ","-Full")</f>
        <v>FY21 -Full</v>
      </c>
      <c r="K6" s="451" t="str">
        <f>CONCATENATE('Rev &amp; Enroll'!F7," ","-Partial")</f>
        <v>FY21 -Partial</v>
      </c>
      <c r="L6" s="582" t="s">
        <v>156</v>
      </c>
      <c r="M6" s="582" t="s">
        <v>157</v>
      </c>
      <c r="N6" s="582" t="s">
        <v>158</v>
      </c>
      <c r="O6" s="582" t="s">
        <v>159</v>
      </c>
      <c r="P6" s="582" t="s">
        <v>160</v>
      </c>
      <c r="Q6" s="582" t="s">
        <v>161</v>
      </c>
      <c r="R6" s="582" t="s">
        <v>162</v>
      </c>
      <c r="S6" s="582" t="s">
        <v>163</v>
      </c>
      <c r="T6" s="582" t="s">
        <v>164</v>
      </c>
      <c r="U6" s="582" t="s">
        <v>165</v>
      </c>
      <c r="V6" s="582" t="s">
        <v>166</v>
      </c>
      <c r="W6" s="582" t="s">
        <v>167</v>
      </c>
      <c r="X6" s="694" t="str">
        <f>'Rev &amp; Enroll'!H7</f>
        <v>FY22</v>
      </c>
      <c r="Y6" s="694"/>
      <c r="Z6" s="694" t="str">
        <f>'Rev &amp; Enroll'!J7</f>
        <v>FY23</v>
      </c>
      <c r="AA6" s="694"/>
      <c r="AB6" s="694" t="str">
        <f>'Rev &amp; Enroll'!L7</f>
        <v>FY24</v>
      </c>
      <c r="AC6" s="694"/>
      <c r="AD6" s="694" t="str">
        <f>'Rev &amp; Enroll'!N7</f>
        <v>FY25</v>
      </c>
      <c r="AE6" s="694"/>
      <c r="AG6" s="446"/>
      <c r="AH6" s="446"/>
    </row>
    <row r="7" spans="1:34" s="452" customFormat="1" ht="12" x14ac:dyDescent="0.2">
      <c r="E7" s="453"/>
      <c r="F7" s="452" t="s">
        <v>136</v>
      </c>
      <c r="I7" s="454"/>
      <c r="J7" s="455"/>
      <c r="K7" s="456" t="s">
        <v>84</v>
      </c>
      <c r="L7" s="583"/>
      <c r="M7" s="583"/>
      <c r="N7" s="583"/>
      <c r="O7" s="583"/>
      <c r="P7" s="583"/>
      <c r="Q7" s="583"/>
      <c r="R7" s="583"/>
      <c r="S7" s="583"/>
      <c r="T7" s="583"/>
      <c r="U7" s="583"/>
      <c r="V7" s="583"/>
      <c r="W7" s="583"/>
      <c r="X7" s="457"/>
      <c r="Y7" s="458">
        <v>0.02</v>
      </c>
      <c r="Z7" s="459"/>
      <c r="AA7" s="458">
        <v>0.02</v>
      </c>
      <c r="AB7" s="459"/>
      <c r="AC7" s="458">
        <v>0.02</v>
      </c>
      <c r="AD7" s="459"/>
      <c r="AE7" s="458">
        <v>0.02</v>
      </c>
      <c r="AG7" s="446"/>
      <c r="AH7" s="446"/>
    </row>
    <row r="8" spans="1:34" s="304" customFormat="1" ht="12" outlineLevel="1" x14ac:dyDescent="0.2">
      <c r="B8" s="305" t="s">
        <v>44</v>
      </c>
      <c r="C8" s="313" t="s">
        <v>96</v>
      </c>
      <c r="E8" s="323"/>
      <c r="F8" s="381"/>
      <c r="G8" s="381"/>
      <c r="H8" s="381"/>
      <c r="I8" s="345"/>
      <c r="J8" s="460"/>
      <c r="K8" s="445"/>
      <c r="L8" s="581"/>
      <c r="M8" s="581"/>
      <c r="N8" s="581"/>
      <c r="O8" s="581"/>
      <c r="P8" s="581"/>
      <c r="Q8" s="581"/>
      <c r="R8" s="581"/>
      <c r="S8" s="581"/>
      <c r="T8" s="581"/>
      <c r="U8" s="581"/>
      <c r="V8" s="581"/>
      <c r="W8" s="581"/>
      <c r="X8" s="376"/>
      <c r="Z8" s="306"/>
      <c r="AB8" s="306"/>
      <c r="AD8" s="306"/>
      <c r="AG8" s="446"/>
      <c r="AH8" s="446"/>
    </row>
    <row r="9" spans="1:34" s="304" customFormat="1" ht="12" outlineLevel="1" x14ac:dyDescent="0.2">
      <c r="B9" s="306"/>
      <c r="C9" s="461" t="s">
        <v>79</v>
      </c>
      <c r="D9" s="461" t="s">
        <v>317</v>
      </c>
      <c r="E9" s="462" t="s">
        <v>339</v>
      </c>
      <c r="F9" s="462" t="s">
        <v>340</v>
      </c>
      <c r="G9" s="462" t="s">
        <v>81</v>
      </c>
      <c r="H9" s="462"/>
      <c r="I9" s="463" t="s">
        <v>391</v>
      </c>
      <c r="J9" s="450" t="str">
        <f>$J$6</f>
        <v>FY21 -Full</v>
      </c>
      <c r="K9" s="451" t="str">
        <f>$K$6</f>
        <v>FY21 -Partial</v>
      </c>
      <c r="L9" s="584" t="s">
        <v>156</v>
      </c>
      <c r="M9" s="584" t="s">
        <v>157</v>
      </c>
      <c r="N9" s="584" t="s">
        <v>158</v>
      </c>
      <c r="O9" s="584" t="s">
        <v>159</v>
      </c>
      <c r="P9" s="584" t="s">
        <v>160</v>
      </c>
      <c r="Q9" s="584" t="s">
        <v>161</v>
      </c>
      <c r="R9" s="584" t="s">
        <v>162</v>
      </c>
      <c r="S9" s="584" t="s">
        <v>163</v>
      </c>
      <c r="T9" s="584" t="s">
        <v>164</v>
      </c>
      <c r="U9" s="584" t="s">
        <v>165</v>
      </c>
      <c r="V9" s="584" t="s">
        <v>166</v>
      </c>
      <c r="W9" s="584" t="s">
        <v>167</v>
      </c>
      <c r="X9" s="653" t="str">
        <f t="shared" ref="X9:X10" si="0">IF(I9="","",I9)</f>
        <v>Y/N</v>
      </c>
      <c r="Y9" s="465" t="str">
        <f>X$6</f>
        <v>FY22</v>
      </c>
      <c r="Z9" s="466" t="str">
        <f>IF(X9="","",X9)</f>
        <v>Y/N</v>
      </c>
      <c r="AA9" s="465" t="str">
        <f>$Z$6</f>
        <v>FY23</v>
      </c>
      <c r="AB9" s="466" t="str">
        <f>IF(Z9="","",Z9)</f>
        <v>Y/N</v>
      </c>
      <c r="AC9" s="465" t="str">
        <f>$AB$6</f>
        <v>FY24</v>
      </c>
      <c r="AD9" s="466" t="str">
        <f>IF(AB9="","",AB9)</f>
        <v>Y/N</v>
      </c>
      <c r="AE9" s="465" t="str">
        <f>$AD$6</f>
        <v>FY25</v>
      </c>
      <c r="AG9" s="446"/>
      <c r="AH9" s="446"/>
    </row>
    <row r="10" spans="1:34" s="304" customFormat="1" ht="12" outlineLevel="1" x14ac:dyDescent="0.2">
      <c r="B10" s="306"/>
      <c r="C10" s="533" t="s">
        <v>544</v>
      </c>
      <c r="D10" s="533" t="s">
        <v>545</v>
      </c>
      <c r="E10" s="534">
        <v>61000</v>
      </c>
      <c r="F10" s="535" t="s">
        <v>507</v>
      </c>
      <c r="G10" s="664"/>
      <c r="H10" s="663">
        <f>IF(COUNTA(G10)=1,K10,0)</f>
        <v>0</v>
      </c>
      <c r="I10" s="536" t="s">
        <v>508</v>
      </c>
      <c r="J10" s="467">
        <f>IF(E10="","",IF(F10="ER",E10*(1-$E$79),E10*$E$78))</f>
        <v>70273.646999999997</v>
      </c>
      <c r="K10" s="468">
        <f t="shared" ref="K10:K11" si="1">IF(J10="","",J10/12*SUM(L10:W10))</f>
        <v>70273.646999999997</v>
      </c>
      <c r="L10" s="585">
        <v>1</v>
      </c>
      <c r="M10" s="585">
        <v>1</v>
      </c>
      <c r="N10" s="585">
        <v>1</v>
      </c>
      <c r="O10" s="585">
        <v>1</v>
      </c>
      <c r="P10" s="585">
        <v>1</v>
      </c>
      <c r="Q10" s="585">
        <v>1</v>
      </c>
      <c r="R10" s="585">
        <v>1</v>
      </c>
      <c r="S10" s="585">
        <v>1</v>
      </c>
      <c r="T10" s="585">
        <v>1</v>
      </c>
      <c r="U10" s="585">
        <v>1</v>
      </c>
      <c r="V10" s="585">
        <v>1</v>
      </c>
      <c r="W10" s="585">
        <v>1</v>
      </c>
      <c r="X10" s="464" t="str">
        <f t="shared" si="0"/>
        <v>Y</v>
      </c>
      <c r="Y10" s="469">
        <f>IF(J10="","",J10*(1+Y$7))</f>
        <v>71679.119940000004</v>
      </c>
      <c r="Z10" s="470" t="str">
        <f t="shared" ref="Z10" si="2">IF(X10="","",X10)</f>
        <v>Y</v>
      </c>
      <c r="AA10" s="469">
        <f>IF(Y10="","",Y10*(1+AA$7))</f>
        <v>73112.702338800009</v>
      </c>
      <c r="AB10" s="470" t="str">
        <f t="shared" ref="AB10" si="3">IF(Z10="","",Z10)</f>
        <v>Y</v>
      </c>
      <c r="AC10" s="469">
        <f>IF(AA10="","",AA10*(1+AC$7))</f>
        <v>74574.956385576006</v>
      </c>
      <c r="AD10" s="470" t="str">
        <f t="shared" ref="AD10" si="4">IF(AB10="","",AB10)</f>
        <v>Y</v>
      </c>
      <c r="AE10" s="469">
        <f>IF(AC10="","",AC10*(1+AE$7))</f>
        <v>76066.455513287525</v>
      </c>
      <c r="AG10" s="446"/>
      <c r="AH10" s="446"/>
    </row>
    <row r="11" spans="1:34" s="304" customFormat="1" ht="12" outlineLevel="1" x14ac:dyDescent="0.2">
      <c r="B11" s="306"/>
      <c r="C11" s="537"/>
      <c r="D11" s="537"/>
      <c r="E11" s="538"/>
      <c r="F11" s="539"/>
      <c r="G11" s="664"/>
      <c r="H11" s="663">
        <f>IF(COUNTA(G11)=1,K11,0)</f>
        <v>0</v>
      </c>
      <c r="I11" s="540"/>
      <c r="J11" s="467"/>
      <c r="K11" s="468" t="str">
        <f t="shared" si="1"/>
        <v/>
      </c>
      <c r="L11" s="586"/>
      <c r="M11" s="586"/>
      <c r="N11" s="586"/>
      <c r="O11" s="586"/>
      <c r="P11" s="586"/>
      <c r="Q11" s="586"/>
      <c r="R11" s="586"/>
      <c r="S11" s="586"/>
      <c r="T11" s="586"/>
      <c r="U11" s="586"/>
      <c r="V11" s="586"/>
      <c r="W11" s="586"/>
      <c r="X11" s="464" t="str">
        <f t="shared" ref="X11" si="5">IF(I11="","",I11)</f>
        <v/>
      </c>
      <c r="Y11" s="469" t="str">
        <f>IF(J11="","",J11*(1+Y$7))</f>
        <v/>
      </c>
      <c r="Z11" s="470" t="str">
        <f t="shared" ref="Z11" si="6">IF(X11="","",X11)</f>
        <v/>
      </c>
      <c r="AA11" s="469" t="str">
        <f t="shared" ref="AA11" si="7">IF(Y11="","",Y11*(1+AA$7))</f>
        <v/>
      </c>
      <c r="AB11" s="470" t="str">
        <f t="shared" ref="AB11:AD11" si="8">IF(Z11="","",Z11)</f>
        <v/>
      </c>
      <c r="AC11" s="469" t="str">
        <f t="shared" ref="AC11" si="9">IF(AA11="","",AA11*(1+AC$7))</f>
        <v/>
      </c>
      <c r="AD11" s="470" t="str">
        <f t="shared" si="8"/>
        <v/>
      </c>
      <c r="AE11" s="469" t="str">
        <f t="shared" ref="AE11" si="10">IF(AC11="","",AC11*(1+AE$7))</f>
        <v/>
      </c>
      <c r="AG11" s="446"/>
      <c r="AH11" s="446"/>
    </row>
    <row r="12" spans="1:34" s="304" customFormat="1" ht="6.6" customHeight="1" outlineLevel="1" thickBot="1" x14ac:dyDescent="0.25">
      <c r="B12" s="306"/>
      <c r="C12" s="308"/>
      <c r="D12" s="308"/>
      <c r="E12" s="307"/>
      <c r="F12" s="472"/>
      <c r="G12" s="472"/>
      <c r="H12" s="472"/>
      <c r="I12" s="473"/>
      <c r="J12" s="474"/>
      <c r="K12" s="475"/>
      <c r="L12" s="587"/>
      <c r="M12" s="587"/>
      <c r="N12" s="587"/>
      <c r="O12" s="587"/>
      <c r="P12" s="587"/>
      <c r="Q12" s="587"/>
      <c r="R12" s="587"/>
      <c r="S12" s="587"/>
      <c r="T12" s="587"/>
      <c r="U12" s="587"/>
      <c r="V12" s="587"/>
      <c r="W12" s="587"/>
      <c r="X12" s="375"/>
      <c r="Y12" s="476"/>
      <c r="Z12" s="309"/>
      <c r="AA12" s="476"/>
      <c r="AB12" s="309"/>
      <c r="AC12" s="476"/>
      <c r="AD12" s="309"/>
      <c r="AE12" s="476"/>
      <c r="AG12" s="446"/>
      <c r="AH12" s="446"/>
    </row>
    <row r="13" spans="1:34" s="313" customFormat="1" ht="12.75" thickBot="1" x14ac:dyDescent="0.25">
      <c r="B13" s="305"/>
      <c r="C13" s="308" t="str">
        <f>C8</f>
        <v>Salaries: Teachers</v>
      </c>
      <c r="D13" s="477"/>
      <c r="E13" s="478"/>
      <c r="F13" s="644">
        <v>6111</v>
      </c>
      <c r="G13" s="644"/>
      <c r="H13" s="644"/>
      <c r="I13" s="645">
        <f>COUNTIF(I10:I11,"Y")</f>
        <v>1</v>
      </c>
      <c r="J13" s="646">
        <f>SUBTOTAL(9,J9:J12)</f>
        <v>70273.646999999997</v>
      </c>
      <c r="K13" s="647">
        <f>SUBTOTAL(9,K9:K12)</f>
        <v>70273.646999999997</v>
      </c>
      <c r="L13" s="620">
        <f>SUMPRODUCT(Payroll!$J$10:$J$12,Payroll!L10:L12)/12</f>
        <v>5856.1372499999998</v>
      </c>
      <c r="M13" s="620">
        <f>SUMPRODUCT(Payroll!$J$10:$J$12,Payroll!M10:M12)/12</f>
        <v>5856.1372499999998</v>
      </c>
      <c r="N13" s="620">
        <f>SUMPRODUCT(Payroll!$J$10:$J$12,Payroll!N10:N12)/12</f>
        <v>5856.1372499999998</v>
      </c>
      <c r="O13" s="620">
        <f>SUMPRODUCT(Payroll!$J$10:$J$12,Payroll!O10:O12)/12</f>
        <v>5856.1372499999998</v>
      </c>
      <c r="P13" s="620">
        <f>SUMPRODUCT(Payroll!$J$10:$J$12,Payroll!P10:P12)/12</f>
        <v>5856.1372499999998</v>
      </c>
      <c r="Q13" s="620">
        <f>SUMPRODUCT(Payroll!$J$10:$J$12,Payroll!Q10:Q12)/12</f>
        <v>5856.1372499999998</v>
      </c>
      <c r="R13" s="620">
        <f>SUMPRODUCT(Payroll!$J$10:$J$12,Payroll!R10:R12)/12</f>
        <v>5856.1372499999998</v>
      </c>
      <c r="S13" s="620">
        <f>SUMPRODUCT(Payroll!$J$10:$J$12,Payroll!S10:S12)/12</f>
        <v>5856.1372499999998</v>
      </c>
      <c r="T13" s="620">
        <f>SUMPRODUCT(Payroll!$J$10:$J$12,Payroll!T10:T12)/12</f>
        <v>5856.1372499999998</v>
      </c>
      <c r="U13" s="620">
        <f>SUMPRODUCT(Payroll!$J$10:$J$12,Payroll!U10:U12)/12</f>
        <v>5856.1372499999998</v>
      </c>
      <c r="V13" s="620">
        <f>SUMPRODUCT(Payroll!$J$10:$J$12,Payroll!V10:V12)/12</f>
        <v>5856.1372499999998</v>
      </c>
      <c r="W13" s="620">
        <f>SUMPRODUCT(Payroll!$J$10:$J$12,Payroll!W10:W12)/12</f>
        <v>5856.1372499999998</v>
      </c>
      <c r="X13" s="479">
        <f>I13</f>
        <v>1</v>
      </c>
      <c r="Y13" s="480">
        <f>SUBTOTAL(9,Y9:Y12)</f>
        <v>71679.119940000004</v>
      </c>
      <c r="Z13" s="481">
        <f>COUNTIF(Z9:Z12,"y")</f>
        <v>1</v>
      </c>
      <c r="AA13" s="480">
        <f>SUBTOTAL(9,AA9:AA12)</f>
        <v>73112.702338800009</v>
      </c>
      <c r="AB13" s="481">
        <f>COUNTIF(AB9:AB12,"y")</f>
        <v>1</v>
      </c>
      <c r="AC13" s="480">
        <f>SUBTOTAL(9,AC9:AC12)</f>
        <v>74574.956385576006</v>
      </c>
      <c r="AD13" s="481">
        <f>COUNTIF(AD9:AD12,"y")</f>
        <v>1</v>
      </c>
      <c r="AE13" s="480">
        <f>SUBTOTAL(9,AE9:AE12)</f>
        <v>76066.455513287525</v>
      </c>
      <c r="AG13" s="482">
        <v>0.01</v>
      </c>
      <c r="AH13" s="482">
        <f>K13-AG13</f>
        <v>70273.637000000002</v>
      </c>
    </row>
    <row r="14" spans="1:34" s="304" customFormat="1" ht="12" outlineLevel="1" x14ac:dyDescent="0.2">
      <c r="B14" s="305" t="s">
        <v>45</v>
      </c>
      <c r="C14" s="313" t="s">
        <v>202</v>
      </c>
      <c r="E14" s="323"/>
      <c r="F14" s="483"/>
      <c r="G14" s="483"/>
      <c r="H14" s="483"/>
      <c r="I14" s="345"/>
      <c r="J14" s="460"/>
      <c r="K14" s="445"/>
      <c r="L14" s="581"/>
      <c r="M14" s="581"/>
      <c r="N14" s="581"/>
      <c r="O14" s="581"/>
      <c r="P14" s="581"/>
      <c r="Q14" s="581"/>
      <c r="R14" s="581"/>
      <c r="S14" s="581"/>
      <c r="T14" s="581"/>
      <c r="U14" s="581"/>
      <c r="V14" s="581"/>
      <c r="W14" s="581"/>
      <c r="X14" s="376"/>
      <c r="Z14" s="306"/>
      <c r="AB14" s="306"/>
      <c r="AD14" s="306"/>
      <c r="AG14" s="446"/>
      <c r="AH14" s="446"/>
    </row>
    <row r="15" spans="1:34" s="304" customFormat="1" ht="12" outlineLevel="1" x14ac:dyDescent="0.2">
      <c r="B15" s="306"/>
      <c r="C15" s="461" t="s">
        <v>79</v>
      </c>
      <c r="D15" s="461" t="s">
        <v>317</v>
      </c>
      <c r="E15" s="462" t="s">
        <v>339</v>
      </c>
      <c r="F15" s="462" t="s">
        <v>340</v>
      </c>
      <c r="G15" s="462" t="s">
        <v>81</v>
      </c>
      <c r="H15" s="462"/>
      <c r="I15" s="463" t="s">
        <v>391</v>
      </c>
      <c r="J15" s="450" t="str">
        <f>$J$6</f>
        <v>FY21 -Full</v>
      </c>
      <c r="K15" s="451" t="str">
        <f>$K$6</f>
        <v>FY21 -Partial</v>
      </c>
      <c r="L15" s="584" t="s">
        <v>156</v>
      </c>
      <c r="M15" s="584" t="s">
        <v>157</v>
      </c>
      <c r="N15" s="584" t="s">
        <v>158</v>
      </c>
      <c r="O15" s="584" t="s">
        <v>159</v>
      </c>
      <c r="P15" s="584" t="s">
        <v>160</v>
      </c>
      <c r="Q15" s="584" t="s">
        <v>161</v>
      </c>
      <c r="R15" s="584" t="s">
        <v>162</v>
      </c>
      <c r="S15" s="584" t="s">
        <v>163</v>
      </c>
      <c r="T15" s="584" t="s">
        <v>164</v>
      </c>
      <c r="U15" s="584" t="s">
        <v>165</v>
      </c>
      <c r="V15" s="584" t="s">
        <v>166</v>
      </c>
      <c r="W15" s="584" t="s">
        <v>167</v>
      </c>
      <c r="X15" s="653" t="str">
        <f t="shared" ref="X15" si="11">IF(I15="","",I15)</f>
        <v>Y/N</v>
      </c>
      <c r="Y15" s="465" t="str">
        <f>X$6</f>
        <v>FY22</v>
      </c>
      <c r="Z15" s="466" t="str">
        <f>IF(X15="","",X15)</f>
        <v>Y/N</v>
      </c>
      <c r="AA15" s="465" t="str">
        <f>$Z$6</f>
        <v>FY23</v>
      </c>
      <c r="AB15" s="466" t="str">
        <f>IF(Z15="","",Z15)</f>
        <v>Y/N</v>
      </c>
      <c r="AC15" s="465" t="str">
        <f>$AB$6</f>
        <v>FY24</v>
      </c>
      <c r="AD15" s="466" t="str">
        <f>IF(AB15="","",AB15)</f>
        <v>Y/N</v>
      </c>
      <c r="AE15" s="465" t="str">
        <f>$AD$6</f>
        <v>FY25</v>
      </c>
      <c r="AG15" s="446"/>
      <c r="AH15" s="446"/>
    </row>
    <row r="16" spans="1:34" s="304" customFormat="1" ht="12" outlineLevel="1" x14ac:dyDescent="0.2">
      <c r="B16" s="306"/>
      <c r="C16" s="533" t="s">
        <v>547</v>
      </c>
      <c r="D16" s="533" t="s">
        <v>510</v>
      </c>
      <c r="E16" s="534">
        <v>88000</v>
      </c>
      <c r="F16" s="535" t="s">
        <v>583</v>
      </c>
      <c r="G16" s="664"/>
      <c r="H16" s="663">
        <f>IF(COUNTA(G16)=1,K16,0)</f>
        <v>0</v>
      </c>
      <c r="I16" s="536" t="s">
        <v>586</v>
      </c>
      <c r="J16" s="467">
        <f>IF(E16="","",IF(F16="ER",E16*(1-$E$79),E16*$E$78))</f>
        <v>87450</v>
      </c>
      <c r="K16" s="468">
        <f>IF(J16="","",J16/12*SUM(L16:W16))</f>
        <v>21862.5</v>
      </c>
      <c r="L16" s="585">
        <v>0.25</v>
      </c>
      <c r="M16" s="585">
        <v>0.25</v>
      </c>
      <c r="N16" s="585">
        <v>0.25</v>
      </c>
      <c r="O16" s="585">
        <v>0.25</v>
      </c>
      <c r="P16" s="585">
        <v>0.25</v>
      </c>
      <c r="Q16" s="585">
        <v>0.25</v>
      </c>
      <c r="R16" s="585">
        <v>0.25</v>
      </c>
      <c r="S16" s="585">
        <v>0.25</v>
      </c>
      <c r="T16" s="585">
        <v>0.25</v>
      </c>
      <c r="U16" s="585">
        <v>0.25</v>
      </c>
      <c r="V16" s="585">
        <v>0.25</v>
      </c>
      <c r="W16" s="585">
        <v>0.25</v>
      </c>
      <c r="X16" s="464" t="str">
        <f t="shared" ref="X16:X17" si="12">IF(I16="","",I16)</f>
        <v>N</v>
      </c>
      <c r="Y16" s="469">
        <f>IF(J16="","",J16*(1+Y$7))</f>
        <v>89199</v>
      </c>
      <c r="Z16" s="470" t="str">
        <f t="shared" ref="Z16" si="13">IF(X16="","",X16)</f>
        <v>N</v>
      </c>
      <c r="AA16" s="469">
        <f>IF(Y16="","",Y16*(1+AA$7))</f>
        <v>90982.98</v>
      </c>
      <c r="AB16" s="470" t="str">
        <f t="shared" ref="AB16" si="14">IF(Z16="","",Z16)</f>
        <v>N</v>
      </c>
      <c r="AC16" s="469">
        <f>IF(AA16="","",AA16*(1+AC$7))</f>
        <v>92802.639599999995</v>
      </c>
      <c r="AD16" s="470" t="str">
        <f t="shared" ref="AD16" si="15">IF(AB16="","",AB16)</f>
        <v>N</v>
      </c>
      <c r="AE16" s="469">
        <f>IF(AC16="","",AC16*(1+AE$7))</f>
        <v>94658.692391999997</v>
      </c>
      <c r="AG16" s="446"/>
      <c r="AH16" s="446"/>
    </row>
    <row r="17" spans="2:34" s="304" customFormat="1" ht="12" outlineLevel="1" x14ac:dyDescent="0.2">
      <c r="B17" s="306"/>
      <c r="C17" s="537"/>
      <c r="D17" s="537"/>
      <c r="E17" s="538"/>
      <c r="F17" s="539"/>
      <c r="G17" s="539"/>
      <c r="H17" s="539"/>
      <c r="I17" s="540"/>
      <c r="J17" s="467"/>
      <c r="K17" s="468" t="str">
        <f t="shared" ref="K17" si="16">IF(J17="","",J17/12*SUM(L17:W17))</f>
        <v/>
      </c>
      <c r="L17" s="586"/>
      <c r="M17" s="586"/>
      <c r="N17" s="586"/>
      <c r="O17" s="586"/>
      <c r="P17" s="586"/>
      <c r="Q17" s="586"/>
      <c r="R17" s="586"/>
      <c r="S17" s="586"/>
      <c r="T17" s="586"/>
      <c r="U17" s="586"/>
      <c r="V17" s="586"/>
      <c r="W17" s="586"/>
      <c r="X17" s="464" t="str">
        <f t="shared" si="12"/>
        <v/>
      </c>
      <c r="Y17" s="469" t="str">
        <f t="shared" ref="Y17" si="17">IF(J17="","",J17*(1+Y$7))</f>
        <v/>
      </c>
      <c r="Z17" s="470" t="str">
        <f t="shared" ref="Z17" si="18">IF(X17="","",X17)</f>
        <v/>
      </c>
      <c r="AA17" s="469" t="str">
        <f t="shared" ref="AA17" si="19">IF(Y17="","",Y17*(1+AA$7))</f>
        <v/>
      </c>
      <c r="AB17" s="470" t="str">
        <f t="shared" ref="AB17" si="20">IF(Z17="","",Z17)</f>
        <v/>
      </c>
      <c r="AC17" s="469" t="str">
        <f t="shared" ref="AC17" si="21">IF(AA17="","",AA17*(1+AC$7))</f>
        <v/>
      </c>
      <c r="AD17" s="470" t="str">
        <f t="shared" ref="AD17" si="22">IF(AB17="","",AB17)</f>
        <v/>
      </c>
      <c r="AE17" s="469" t="str">
        <f t="shared" ref="AE17" si="23">IF(AC17="","",AC17*(1+AE$7))</f>
        <v/>
      </c>
      <c r="AG17" s="446"/>
      <c r="AH17" s="446"/>
    </row>
    <row r="18" spans="2:34" s="304" customFormat="1" ht="6.6" customHeight="1" outlineLevel="1" thickBot="1" x14ac:dyDescent="0.25">
      <c r="B18" s="306"/>
      <c r="C18" s="308"/>
      <c r="D18" s="308"/>
      <c r="E18" s="307"/>
      <c r="F18" s="484"/>
      <c r="G18" s="484"/>
      <c r="H18" s="484"/>
      <c r="I18" s="473"/>
      <c r="J18" s="474"/>
      <c r="K18" s="475"/>
      <c r="L18" s="587"/>
      <c r="M18" s="587"/>
      <c r="N18" s="587"/>
      <c r="O18" s="587"/>
      <c r="P18" s="587"/>
      <c r="Q18" s="587"/>
      <c r="R18" s="587"/>
      <c r="S18" s="587"/>
      <c r="T18" s="587"/>
      <c r="U18" s="587"/>
      <c r="V18" s="587"/>
      <c r="W18" s="587"/>
      <c r="X18" s="375"/>
      <c r="Y18" s="476"/>
      <c r="Z18" s="309"/>
      <c r="AA18" s="476"/>
      <c r="AB18" s="309"/>
      <c r="AC18" s="476"/>
      <c r="AD18" s="309"/>
      <c r="AE18" s="476"/>
      <c r="AG18" s="446"/>
      <c r="AH18" s="446"/>
    </row>
    <row r="19" spans="2:34" s="313" customFormat="1" ht="12.75" thickBot="1" x14ac:dyDescent="0.25">
      <c r="B19" s="305"/>
      <c r="C19" s="308" t="str">
        <f>C14</f>
        <v>Salaries: Licensed Admin</v>
      </c>
      <c r="D19" s="477"/>
      <c r="E19" s="478"/>
      <c r="F19" s="644">
        <v>6114</v>
      </c>
      <c r="G19" s="644"/>
      <c r="H19" s="644"/>
      <c r="I19" s="645">
        <f>COUNTIF(I16:I17,"Y")</f>
        <v>0</v>
      </c>
      <c r="J19" s="646">
        <f>SUBTOTAL(9,J15:J18)</f>
        <v>87450</v>
      </c>
      <c r="K19" s="647">
        <f>SUBTOTAL(9,K15:K18)</f>
        <v>21862.5</v>
      </c>
      <c r="L19" s="620">
        <f>SUMPRODUCT(Payroll!$J$16:$J$18,Payroll!L16:L18)/12</f>
        <v>1821.875</v>
      </c>
      <c r="M19" s="620">
        <f>SUMPRODUCT(Payroll!$J$16:$J$18,Payroll!M16:M18)/12</f>
        <v>1821.875</v>
      </c>
      <c r="N19" s="620">
        <f>SUMPRODUCT(Payroll!$J$16:$J$18,Payroll!N16:N18)/12</f>
        <v>1821.875</v>
      </c>
      <c r="O19" s="620">
        <f>SUMPRODUCT(Payroll!$J$16:$J$18,Payroll!O16:O18)/12</f>
        <v>1821.875</v>
      </c>
      <c r="P19" s="620">
        <f>SUMPRODUCT(Payroll!$J$16:$J$18,Payroll!P16:P18)/12</f>
        <v>1821.875</v>
      </c>
      <c r="Q19" s="620">
        <f>SUMPRODUCT(Payroll!$J$16:$J$18,Payroll!Q16:Q18)/12</f>
        <v>1821.875</v>
      </c>
      <c r="R19" s="620">
        <f>SUMPRODUCT(Payroll!$J$16:$J$18,Payroll!R16:R18)/12</f>
        <v>1821.875</v>
      </c>
      <c r="S19" s="620">
        <f>SUMPRODUCT(Payroll!$J$16:$J$18,Payroll!S16:S18)/12</f>
        <v>1821.875</v>
      </c>
      <c r="T19" s="620">
        <f>SUMPRODUCT(Payroll!$J$16:$J$18,Payroll!T16:T18)/12</f>
        <v>1821.875</v>
      </c>
      <c r="U19" s="620">
        <f>SUMPRODUCT(Payroll!$J$16:$J$18,Payroll!U16:U18)/12</f>
        <v>1821.875</v>
      </c>
      <c r="V19" s="620">
        <f>SUMPRODUCT(Payroll!$J$16:$J$18,Payroll!V16:V18)/12</f>
        <v>1821.875</v>
      </c>
      <c r="W19" s="620">
        <f>SUMPRODUCT(Payroll!$J$16:$J$18,Payroll!W16:W18)/12</f>
        <v>1821.875</v>
      </c>
      <c r="X19" s="479">
        <f>I19</f>
        <v>0</v>
      </c>
      <c r="Y19" s="480">
        <f>SUBTOTAL(9,Y15:Y18)</f>
        <v>89199</v>
      </c>
      <c r="Z19" s="481">
        <f>COUNTIF(Z15:Z18,"y")</f>
        <v>0</v>
      </c>
      <c r="AA19" s="480">
        <f>SUBTOTAL(9,AA15:AA18)</f>
        <v>90982.98</v>
      </c>
      <c r="AB19" s="481">
        <f>COUNTIF(AB15:AB18,"y")</f>
        <v>0</v>
      </c>
      <c r="AC19" s="480">
        <f>SUBTOTAL(9,AC15:AC18)</f>
        <v>92802.639599999995</v>
      </c>
      <c r="AD19" s="481">
        <f>COUNTIF(AD15:AD18,"y")</f>
        <v>0</v>
      </c>
      <c r="AE19" s="480">
        <f>SUBTOTAL(9,AE15:AE18)</f>
        <v>94658.692391999997</v>
      </c>
      <c r="AG19" s="482">
        <v>0.01</v>
      </c>
      <c r="AH19" s="482">
        <f>K19-AG19</f>
        <v>21862.49</v>
      </c>
    </row>
    <row r="20" spans="2:34" s="304" customFormat="1" ht="12" outlineLevel="1" x14ac:dyDescent="0.2">
      <c r="B20" s="305" t="s">
        <v>46</v>
      </c>
      <c r="C20" s="313" t="s">
        <v>213</v>
      </c>
      <c r="E20" s="323"/>
      <c r="F20" s="483"/>
      <c r="G20" s="483"/>
      <c r="H20" s="483"/>
      <c r="I20" s="345"/>
      <c r="J20" s="460"/>
      <c r="K20" s="445"/>
      <c r="L20" s="581"/>
      <c r="M20" s="581"/>
      <c r="N20" s="581"/>
      <c r="O20" s="581"/>
      <c r="P20" s="581"/>
      <c r="Q20" s="581"/>
      <c r="R20" s="581"/>
      <c r="S20" s="581"/>
      <c r="T20" s="581"/>
      <c r="U20" s="581"/>
      <c r="V20" s="581"/>
      <c r="W20" s="581"/>
      <c r="X20" s="376"/>
      <c r="Z20" s="306"/>
      <c r="AB20" s="306"/>
      <c r="AD20" s="306"/>
      <c r="AG20" s="446"/>
      <c r="AH20" s="446"/>
    </row>
    <row r="21" spans="2:34" s="304" customFormat="1" ht="12" outlineLevel="1" x14ac:dyDescent="0.2">
      <c r="B21" s="306"/>
      <c r="C21" s="461" t="s">
        <v>79</v>
      </c>
      <c r="D21" s="461" t="s">
        <v>317</v>
      </c>
      <c r="E21" s="462" t="s">
        <v>339</v>
      </c>
      <c r="F21" s="462" t="s">
        <v>340</v>
      </c>
      <c r="G21" s="462" t="s">
        <v>81</v>
      </c>
      <c r="H21" s="462"/>
      <c r="I21" s="463" t="s">
        <v>391</v>
      </c>
      <c r="J21" s="450" t="str">
        <f>$J$6</f>
        <v>FY21 -Full</v>
      </c>
      <c r="K21" s="451" t="str">
        <f>$K$6</f>
        <v>FY21 -Partial</v>
      </c>
      <c r="L21" s="584" t="s">
        <v>156</v>
      </c>
      <c r="M21" s="584" t="s">
        <v>157</v>
      </c>
      <c r="N21" s="584" t="s">
        <v>158</v>
      </c>
      <c r="O21" s="584" t="s">
        <v>159</v>
      </c>
      <c r="P21" s="584" t="s">
        <v>160</v>
      </c>
      <c r="Q21" s="584" t="s">
        <v>161</v>
      </c>
      <c r="R21" s="584" t="s">
        <v>162</v>
      </c>
      <c r="S21" s="584" t="s">
        <v>163</v>
      </c>
      <c r="T21" s="584" t="s">
        <v>164</v>
      </c>
      <c r="U21" s="584" t="s">
        <v>165</v>
      </c>
      <c r="V21" s="584" t="s">
        <v>166</v>
      </c>
      <c r="W21" s="584" t="s">
        <v>167</v>
      </c>
      <c r="X21" s="653" t="str">
        <f t="shared" ref="X21" si="24">IF(I21="","",I21)</f>
        <v>Y/N</v>
      </c>
      <c r="Y21" s="465" t="str">
        <f>X$6</f>
        <v>FY22</v>
      </c>
      <c r="Z21" s="466" t="str">
        <f>IF(X21="","",X21)</f>
        <v>Y/N</v>
      </c>
      <c r="AA21" s="465" t="str">
        <f>$Z$6</f>
        <v>FY23</v>
      </c>
      <c r="AB21" s="466" t="str">
        <f>IF(Z21="","",Z21)</f>
        <v>Y/N</v>
      </c>
      <c r="AC21" s="465" t="str">
        <f>$AB$6</f>
        <v>FY24</v>
      </c>
      <c r="AD21" s="466" t="str">
        <f>IF(AB21="","",AB21)</f>
        <v>Y/N</v>
      </c>
      <c r="AE21" s="465" t="str">
        <f>$AD$6</f>
        <v>FY25</v>
      </c>
      <c r="AG21" s="446"/>
      <c r="AH21" s="446"/>
    </row>
    <row r="22" spans="2:34" s="304" customFormat="1" ht="12" outlineLevel="1" x14ac:dyDescent="0.2">
      <c r="B22" s="306"/>
      <c r="C22" s="533" t="s">
        <v>546</v>
      </c>
      <c r="D22" s="533" t="s">
        <v>511</v>
      </c>
      <c r="E22" s="534">
        <v>35000</v>
      </c>
      <c r="F22" s="535" t="s">
        <v>507</v>
      </c>
      <c r="G22" s="664"/>
      <c r="H22" s="663">
        <f>IF(COUNTA(G22)=1,K22,0)</f>
        <v>0</v>
      </c>
      <c r="I22" s="536" t="s">
        <v>508</v>
      </c>
      <c r="J22" s="467">
        <f>IF(E22="","",IF(F22="ER",E22*(1-$E$79),E22*$E$78))</f>
        <v>40320.945</v>
      </c>
      <c r="K22" s="468">
        <f t="shared" ref="K22" si="25">IF(J22="","",J22/12*SUM(L22:W22))</f>
        <v>40320.945</v>
      </c>
      <c r="L22" s="585">
        <v>1</v>
      </c>
      <c r="M22" s="585">
        <v>1</v>
      </c>
      <c r="N22" s="585">
        <v>1</v>
      </c>
      <c r="O22" s="585">
        <v>1</v>
      </c>
      <c r="P22" s="585">
        <v>1</v>
      </c>
      <c r="Q22" s="585">
        <v>1</v>
      </c>
      <c r="R22" s="585">
        <v>1</v>
      </c>
      <c r="S22" s="585">
        <v>1</v>
      </c>
      <c r="T22" s="585">
        <v>1</v>
      </c>
      <c r="U22" s="585">
        <v>1</v>
      </c>
      <c r="V22" s="585">
        <v>1</v>
      </c>
      <c r="W22" s="585">
        <v>1</v>
      </c>
      <c r="X22" s="464" t="str">
        <f t="shared" ref="X22:X23" si="26">IF(I22="","",I22)</f>
        <v>Y</v>
      </c>
      <c r="Y22" s="469">
        <f>IF(J22="","",J22*(1+Y$7))</f>
        <v>41127.363900000004</v>
      </c>
      <c r="Z22" s="470" t="str">
        <f t="shared" ref="Z22" si="27">IF(X22="","",X22)</f>
        <v>Y</v>
      </c>
      <c r="AA22" s="469">
        <f>IF(Y22="","",Y22*(1+AA$7))</f>
        <v>41949.911178000002</v>
      </c>
      <c r="AB22" s="470" t="str">
        <f t="shared" ref="AB22" si="28">IF(Z22="","",Z22)</f>
        <v>Y</v>
      </c>
      <c r="AC22" s="469">
        <f>IF(AA22="","",AA22*(1+AC$7))</f>
        <v>42788.909401560006</v>
      </c>
      <c r="AD22" s="470" t="str">
        <f t="shared" ref="AD22" si="29">IF(AB22="","",AB22)</f>
        <v>Y</v>
      </c>
      <c r="AE22" s="469">
        <f>IF(AC22="","",AC22*(1+AE$7))</f>
        <v>43644.687589591209</v>
      </c>
      <c r="AG22" s="446"/>
      <c r="AH22" s="446"/>
    </row>
    <row r="23" spans="2:34" s="304" customFormat="1" ht="12" outlineLevel="1" x14ac:dyDescent="0.2">
      <c r="B23" s="306"/>
      <c r="C23" s="537"/>
      <c r="D23" s="537"/>
      <c r="E23" s="538"/>
      <c r="F23" s="539"/>
      <c r="G23" s="664"/>
      <c r="H23" s="663">
        <f>IF(COUNTA(G23)=1,K23,0)</f>
        <v>0</v>
      </c>
      <c r="I23" s="540"/>
      <c r="J23" s="467"/>
      <c r="K23" s="468" t="str">
        <f t="shared" ref="K23" si="30">IF(J23="","",J23/12*SUM(L23:W23))</f>
        <v/>
      </c>
      <c r="L23" s="586"/>
      <c r="M23" s="586"/>
      <c r="N23" s="586"/>
      <c r="O23" s="586"/>
      <c r="P23" s="586"/>
      <c r="Q23" s="586"/>
      <c r="R23" s="586"/>
      <c r="S23" s="586"/>
      <c r="T23" s="586"/>
      <c r="U23" s="586"/>
      <c r="V23" s="586"/>
      <c r="W23" s="586"/>
      <c r="X23" s="464" t="str">
        <f t="shared" si="26"/>
        <v/>
      </c>
      <c r="Y23" s="469" t="str">
        <f t="shared" ref="Y23" si="31">IF(J23="","",J23*(1+Y$7))</f>
        <v/>
      </c>
      <c r="Z23" s="470" t="str">
        <f t="shared" ref="Z23" si="32">IF(X23="","",X23)</f>
        <v/>
      </c>
      <c r="AA23" s="469" t="str">
        <f t="shared" ref="AA23" si="33">IF(Y23="","",Y23*(1+AA$7))</f>
        <v/>
      </c>
      <c r="AB23" s="470" t="str">
        <f t="shared" ref="AB23" si="34">IF(Z23="","",Z23)</f>
        <v/>
      </c>
      <c r="AC23" s="469" t="str">
        <f t="shared" ref="AC23" si="35">IF(AA23="","",AA23*(1+AC$7))</f>
        <v/>
      </c>
      <c r="AD23" s="470" t="str">
        <f t="shared" ref="AD23" si="36">IF(AB23="","",AB23)</f>
        <v/>
      </c>
      <c r="AE23" s="469" t="str">
        <f t="shared" ref="AE23" si="37">IF(AC23="","",AC23*(1+AE$7))</f>
        <v/>
      </c>
      <c r="AG23" s="446"/>
      <c r="AH23" s="446"/>
    </row>
    <row r="24" spans="2:34" s="304" customFormat="1" ht="6.6" customHeight="1" outlineLevel="1" thickBot="1" x14ac:dyDescent="0.25">
      <c r="B24" s="306"/>
      <c r="C24" s="308"/>
      <c r="D24" s="308"/>
      <c r="E24" s="307"/>
      <c r="F24" s="484"/>
      <c r="G24" s="484"/>
      <c r="H24" s="484"/>
      <c r="I24" s="473"/>
      <c r="J24" s="474"/>
      <c r="K24" s="475"/>
      <c r="L24" s="587"/>
      <c r="M24" s="587"/>
      <c r="N24" s="587"/>
      <c r="O24" s="587"/>
      <c r="P24" s="587"/>
      <c r="Q24" s="587"/>
      <c r="R24" s="587"/>
      <c r="S24" s="587"/>
      <c r="T24" s="587"/>
      <c r="U24" s="587"/>
      <c r="V24" s="587"/>
      <c r="W24" s="587"/>
      <c r="X24" s="375"/>
      <c r="Y24" s="476"/>
      <c r="Z24" s="309"/>
      <c r="AA24" s="476"/>
      <c r="AB24" s="309"/>
      <c r="AC24" s="476"/>
      <c r="AD24" s="309"/>
      <c r="AE24" s="476"/>
      <c r="AG24" s="446"/>
      <c r="AH24" s="446"/>
    </row>
    <row r="25" spans="2:34" s="313" customFormat="1" ht="12.75" thickBot="1" x14ac:dyDescent="0.25">
      <c r="B25" s="305"/>
      <c r="C25" s="308" t="str">
        <f>C20</f>
        <v>Salaries: Other Classified/Support Staff</v>
      </c>
      <c r="D25" s="477"/>
      <c r="E25" s="478"/>
      <c r="F25" s="644">
        <v>6117</v>
      </c>
      <c r="G25" s="644"/>
      <c r="H25" s="644"/>
      <c r="I25" s="645">
        <f>COUNTIF(I22:I23,"Y")</f>
        <v>1</v>
      </c>
      <c r="J25" s="646">
        <f>SUBTOTAL(9,J21:J24)</f>
        <v>40320.945</v>
      </c>
      <c r="K25" s="647">
        <f>SUBTOTAL(9,K21:K24)</f>
        <v>40320.945</v>
      </c>
      <c r="L25" s="620">
        <f>SUMPRODUCT(Payroll!$J$22:$J$24,Payroll!L22:L24)/12</f>
        <v>3360.0787500000001</v>
      </c>
      <c r="M25" s="620">
        <f>SUMPRODUCT(Payroll!$J$22:$J$24,Payroll!M22:M24)/12</f>
        <v>3360.0787500000001</v>
      </c>
      <c r="N25" s="620">
        <f>SUMPRODUCT(Payroll!$J$22:$J$24,Payroll!N22:N24)/12</f>
        <v>3360.0787500000001</v>
      </c>
      <c r="O25" s="620">
        <f>SUMPRODUCT(Payroll!$J$22:$J$24,Payroll!O22:O24)/12</f>
        <v>3360.0787500000001</v>
      </c>
      <c r="P25" s="620">
        <f>SUMPRODUCT(Payroll!$J$22:$J$24,Payroll!P22:P24)/12</f>
        <v>3360.0787500000001</v>
      </c>
      <c r="Q25" s="620">
        <f>SUMPRODUCT(Payroll!$J$22:$J$24,Payroll!Q22:Q24)/12</f>
        <v>3360.0787500000001</v>
      </c>
      <c r="R25" s="620">
        <f>SUMPRODUCT(Payroll!$J$22:$J$24,Payroll!R22:R24)/12</f>
        <v>3360.0787500000001</v>
      </c>
      <c r="S25" s="620">
        <f>SUMPRODUCT(Payroll!$J$22:$J$24,Payroll!S22:S24)/12</f>
        <v>3360.0787500000001</v>
      </c>
      <c r="T25" s="620">
        <f>SUMPRODUCT(Payroll!$J$22:$J$24,Payroll!T22:T24)/12</f>
        <v>3360.0787500000001</v>
      </c>
      <c r="U25" s="620">
        <f>SUMPRODUCT(Payroll!$J$22:$J$24,Payroll!U22:U24)/12</f>
        <v>3360.0787500000001</v>
      </c>
      <c r="V25" s="620">
        <f>SUMPRODUCT(Payroll!$J$22:$J$24,Payroll!V22:V24)/12</f>
        <v>3360.0787500000001</v>
      </c>
      <c r="W25" s="620">
        <f>SUMPRODUCT(Payroll!$J$22:$J$24,Payroll!W22:W24)/12</f>
        <v>3360.0787500000001</v>
      </c>
      <c r="X25" s="479">
        <f>I25</f>
        <v>1</v>
      </c>
      <c r="Y25" s="480">
        <f>SUBTOTAL(9,Y21:Y24)</f>
        <v>41127.363900000004</v>
      </c>
      <c r="Z25" s="481">
        <f>COUNTIF(Z21:Z24,"y")</f>
        <v>1</v>
      </c>
      <c r="AA25" s="480">
        <f>SUBTOTAL(9,AA21:AA24)</f>
        <v>41949.911178000002</v>
      </c>
      <c r="AB25" s="481">
        <f>COUNTIF(AB21:AB24,"y")</f>
        <v>1</v>
      </c>
      <c r="AC25" s="480">
        <f>SUBTOTAL(9,AC21:AC24)</f>
        <v>42788.909401560006</v>
      </c>
      <c r="AD25" s="481">
        <f>COUNTIF(AD21:AD24,"y")</f>
        <v>1</v>
      </c>
      <c r="AE25" s="480">
        <f>SUBTOTAL(9,AE21:AE24)</f>
        <v>43644.687589591209</v>
      </c>
      <c r="AG25" s="482">
        <v>0.01</v>
      </c>
      <c r="AH25" s="482">
        <f>K25-AG25</f>
        <v>40320.934999999998</v>
      </c>
    </row>
    <row r="26" spans="2:34" s="304" customFormat="1" ht="12" outlineLevel="1" x14ac:dyDescent="0.2">
      <c r="B26" s="305" t="s">
        <v>47</v>
      </c>
      <c r="C26" s="313" t="s">
        <v>214</v>
      </c>
      <c r="E26" s="323"/>
      <c r="F26" s="483"/>
      <c r="G26" s="483"/>
      <c r="H26" s="483"/>
      <c r="I26" s="345"/>
      <c r="J26" s="460"/>
      <c r="K26" s="445"/>
      <c r="L26" s="581"/>
      <c r="M26" s="581"/>
      <c r="N26" s="581"/>
      <c r="O26" s="581"/>
      <c r="P26" s="581"/>
      <c r="Q26" s="581"/>
      <c r="R26" s="581"/>
      <c r="S26" s="581"/>
      <c r="T26" s="581"/>
      <c r="U26" s="581"/>
      <c r="V26" s="581"/>
      <c r="W26" s="581"/>
      <c r="X26" s="376"/>
      <c r="Z26" s="306"/>
      <c r="AB26" s="306"/>
      <c r="AD26" s="306"/>
      <c r="AG26" s="446"/>
      <c r="AH26" s="446"/>
    </row>
    <row r="27" spans="2:34" s="304" customFormat="1" ht="12" outlineLevel="1" x14ac:dyDescent="0.2">
      <c r="B27" s="306"/>
      <c r="C27" s="461" t="s">
        <v>79</v>
      </c>
      <c r="D27" s="461" t="s">
        <v>317</v>
      </c>
      <c r="E27" s="462" t="s">
        <v>318</v>
      </c>
      <c r="F27" s="485" t="s">
        <v>84</v>
      </c>
      <c r="G27" s="462" t="s">
        <v>81</v>
      </c>
      <c r="H27" s="462"/>
      <c r="I27" s="485" t="s">
        <v>84</v>
      </c>
      <c r="J27" s="450" t="str">
        <f>$J$6</f>
        <v>FY21 -Full</v>
      </c>
      <c r="K27" s="451" t="str">
        <f>$K$6</f>
        <v>FY21 -Partial</v>
      </c>
      <c r="L27" s="584" t="s">
        <v>156</v>
      </c>
      <c r="M27" s="584" t="s">
        <v>157</v>
      </c>
      <c r="N27" s="584" t="s">
        <v>158</v>
      </c>
      <c r="O27" s="584" t="s">
        <v>159</v>
      </c>
      <c r="P27" s="584" t="s">
        <v>160</v>
      </c>
      <c r="Q27" s="584" t="s">
        <v>161</v>
      </c>
      <c r="R27" s="584" t="s">
        <v>162</v>
      </c>
      <c r="S27" s="584" t="s">
        <v>163</v>
      </c>
      <c r="T27" s="584" t="s">
        <v>164</v>
      </c>
      <c r="U27" s="584" t="s">
        <v>165</v>
      </c>
      <c r="V27" s="584" t="s">
        <v>166</v>
      </c>
      <c r="W27" s="584" t="s">
        <v>167</v>
      </c>
      <c r="X27" s="653"/>
      <c r="Y27" s="465" t="str">
        <f>X$6</f>
        <v>FY22</v>
      </c>
      <c r="Z27" s="466" t="str">
        <f>IF(X27="","",X27)</f>
        <v/>
      </c>
      <c r="AA27" s="465" t="str">
        <f>$Z$6</f>
        <v>FY23</v>
      </c>
      <c r="AB27" s="466" t="str">
        <f>IF(Z27="","",Z27)</f>
        <v/>
      </c>
      <c r="AC27" s="465" t="str">
        <f>$AB$6</f>
        <v>FY24</v>
      </c>
      <c r="AD27" s="466" t="str">
        <f>IF(AB27="","",AB27)</f>
        <v/>
      </c>
      <c r="AE27" s="465" t="str">
        <f>$AD$6</f>
        <v>FY25</v>
      </c>
      <c r="AG27" s="446"/>
      <c r="AH27" s="446"/>
    </row>
    <row r="28" spans="2:34" s="304" customFormat="1" ht="12" outlineLevel="1" x14ac:dyDescent="0.2">
      <c r="B28" s="306"/>
      <c r="C28" s="533" t="s">
        <v>584</v>
      </c>
      <c r="D28" s="533" t="s">
        <v>585</v>
      </c>
      <c r="E28" s="534">
        <v>10</v>
      </c>
      <c r="F28" s="486" t="s">
        <v>84</v>
      </c>
      <c r="G28" s="664"/>
      <c r="H28" s="663">
        <f>IF(COUNTA(G28)=1,K28,0)</f>
        <v>0</v>
      </c>
      <c r="I28" s="486" t="s">
        <v>84</v>
      </c>
      <c r="J28" s="467">
        <f>E28*20*52</f>
        <v>10400</v>
      </c>
      <c r="K28" s="468">
        <f>IF(J28="","",J28/12*SUM(L28:W28))</f>
        <v>10400</v>
      </c>
      <c r="L28" s="585">
        <v>1</v>
      </c>
      <c r="M28" s="585">
        <v>1</v>
      </c>
      <c r="N28" s="585">
        <v>1</v>
      </c>
      <c r="O28" s="585">
        <v>1</v>
      </c>
      <c r="P28" s="585">
        <v>1</v>
      </c>
      <c r="Q28" s="585">
        <v>1</v>
      </c>
      <c r="R28" s="585">
        <v>1</v>
      </c>
      <c r="S28" s="585">
        <v>1</v>
      </c>
      <c r="T28" s="585">
        <v>1</v>
      </c>
      <c r="U28" s="585">
        <v>1</v>
      </c>
      <c r="V28" s="585">
        <v>1</v>
      </c>
      <c r="W28" s="585">
        <v>1</v>
      </c>
      <c r="X28" s="464"/>
      <c r="Y28" s="469">
        <f>IF(J28="","",J28*(1+Y$7))</f>
        <v>10608</v>
      </c>
      <c r="Z28" s="470"/>
      <c r="AA28" s="469">
        <f>IF(Y28="","",Y28*(1+AA$7))</f>
        <v>10820.16</v>
      </c>
      <c r="AB28" s="470"/>
      <c r="AC28" s="469">
        <f>IF(AA28="","",AA28*(1+AC$7))</f>
        <v>11036.563200000001</v>
      </c>
      <c r="AD28" s="470"/>
      <c r="AE28" s="469">
        <f>IF(AC28="","",AC28*(1+AE$7))</f>
        <v>11257.294464000001</v>
      </c>
      <c r="AG28" s="446"/>
      <c r="AH28" s="446"/>
    </row>
    <row r="29" spans="2:34" s="304" customFormat="1" ht="12" outlineLevel="1" x14ac:dyDescent="0.2">
      <c r="B29" s="306"/>
      <c r="C29" s="537"/>
      <c r="D29" s="537"/>
      <c r="E29" s="538"/>
      <c r="F29" s="486" t="s">
        <v>84</v>
      </c>
      <c r="G29" s="664"/>
      <c r="H29" s="663">
        <f>IF(COUNTA(G29)=1,K29,0)</f>
        <v>0</v>
      </c>
      <c r="I29" s="486" t="s">
        <v>84</v>
      </c>
      <c r="J29" s="467">
        <f>E29*20*52</f>
        <v>0</v>
      </c>
      <c r="K29" s="468">
        <f t="shared" ref="K29" si="38">IF(J29="","",J29/12*SUM(L29:W29))</f>
        <v>0</v>
      </c>
      <c r="L29" s="586"/>
      <c r="M29" s="586"/>
      <c r="N29" s="586"/>
      <c r="O29" s="586"/>
      <c r="P29" s="586"/>
      <c r="Q29" s="586"/>
      <c r="R29" s="586"/>
      <c r="S29" s="586"/>
      <c r="T29" s="586"/>
      <c r="U29" s="586"/>
      <c r="V29" s="586"/>
      <c r="W29" s="586"/>
      <c r="X29" s="464"/>
      <c r="Y29" s="469">
        <f t="shared" ref="Y29" si="39">IF(J29="","",J29*(1+Y$7))</f>
        <v>0</v>
      </c>
      <c r="Z29" s="470"/>
      <c r="AA29" s="469">
        <f t="shared" ref="AA29" si="40">IF(Y29="","",Y29*(1+AA$7))</f>
        <v>0</v>
      </c>
      <c r="AB29" s="470"/>
      <c r="AC29" s="469">
        <f t="shared" ref="AC29" si="41">IF(AA29="","",AA29*(1+AC$7))</f>
        <v>0</v>
      </c>
      <c r="AD29" s="470"/>
      <c r="AE29" s="469">
        <f t="shared" ref="AE29" si="42">IF(AC29="","",AC29*(1+AE$7))</f>
        <v>0</v>
      </c>
      <c r="AG29" s="446"/>
      <c r="AH29" s="446"/>
    </row>
    <row r="30" spans="2:34" s="304" customFormat="1" ht="6.6" customHeight="1" outlineLevel="1" thickBot="1" x14ac:dyDescent="0.25">
      <c r="B30" s="306"/>
      <c r="C30" s="308"/>
      <c r="D30" s="308"/>
      <c r="E30" s="307"/>
      <c r="F30" s="484"/>
      <c r="G30" s="484"/>
      <c r="H30" s="484"/>
      <c r="I30" s="473"/>
      <c r="J30" s="474"/>
      <c r="K30" s="475"/>
      <c r="L30" s="587"/>
      <c r="M30" s="587"/>
      <c r="N30" s="587"/>
      <c r="O30" s="587"/>
      <c r="P30" s="587"/>
      <c r="Q30" s="587"/>
      <c r="R30" s="587"/>
      <c r="S30" s="587"/>
      <c r="T30" s="587"/>
      <c r="U30" s="587"/>
      <c r="V30" s="587"/>
      <c r="W30" s="587"/>
      <c r="X30" s="375"/>
      <c r="Y30" s="476"/>
      <c r="Z30" s="309"/>
      <c r="AA30" s="476"/>
      <c r="AB30" s="309"/>
      <c r="AC30" s="476"/>
      <c r="AD30" s="309"/>
      <c r="AE30" s="476"/>
      <c r="AG30" s="446"/>
      <c r="AH30" s="446"/>
    </row>
    <row r="31" spans="2:34" s="313" customFormat="1" ht="12.75" thickBot="1" x14ac:dyDescent="0.25">
      <c r="B31" s="305"/>
      <c r="C31" s="308" t="str">
        <f>C26</f>
        <v>Temp Salaries: Other Classified/Support Staff</v>
      </c>
      <c r="D31" s="477"/>
      <c r="E31" s="478"/>
      <c r="F31" s="644">
        <v>6127</v>
      </c>
      <c r="G31" s="644"/>
      <c r="H31" s="644"/>
      <c r="I31" s="645"/>
      <c r="J31" s="646">
        <f>SUBTOTAL(9,J27:J30)</f>
        <v>10400</v>
      </c>
      <c r="K31" s="647">
        <f>SUBTOTAL(9,K27:K30)</f>
        <v>10400</v>
      </c>
      <c r="L31" s="620">
        <f>SUMPRODUCT(Payroll!$J$28:$J$30,Payroll!L28:L30)/12</f>
        <v>866.66666666666663</v>
      </c>
      <c r="M31" s="620">
        <f>SUMPRODUCT(Payroll!$J$28:$J$30,Payroll!M28:M30)/12</f>
        <v>866.66666666666663</v>
      </c>
      <c r="N31" s="620">
        <f>SUMPRODUCT(Payroll!$J$28:$J$30,Payroll!N28:N30)/12</f>
        <v>866.66666666666663</v>
      </c>
      <c r="O31" s="620">
        <f>SUMPRODUCT(Payroll!$J$28:$J$30,Payroll!O28:O30)/12</f>
        <v>866.66666666666663</v>
      </c>
      <c r="P31" s="620">
        <f>SUMPRODUCT(Payroll!$J$28:$J$30,Payroll!P28:P30)/12</f>
        <v>866.66666666666663</v>
      </c>
      <c r="Q31" s="620">
        <f>SUMPRODUCT(Payroll!$J$28:$J$30,Payroll!Q28:Q30)/12</f>
        <v>866.66666666666663</v>
      </c>
      <c r="R31" s="620">
        <f>SUMPRODUCT(Payroll!$J$28:$J$30,Payroll!R28:R30)/12</f>
        <v>866.66666666666663</v>
      </c>
      <c r="S31" s="620">
        <f>SUMPRODUCT(Payroll!$J$28:$J$30,Payroll!S28:S30)/12</f>
        <v>866.66666666666663</v>
      </c>
      <c r="T31" s="620">
        <f>SUMPRODUCT(Payroll!$J$28:$J$30,Payroll!T28:T30)/12</f>
        <v>866.66666666666663</v>
      </c>
      <c r="U31" s="620">
        <f>SUMPRODUCT(Payroll!$J$28:$J$30,Payroll!U28:U30)/12</f>
        <v>866.66666666666663</v>
      </c>
      <c r="V31" s="620">
        <f>SUMPRODUCT(Payroll!$J$28:$J$30,Payroll!V28:V30)/12</f>
        <v>866.66666666666663</v>
      </c>
      <c r="W31" s="620">
        <f>SUMPRODUCT(Payroll!$J$28:$J$30,Payroll!W28:W30)/12</f>
        <v>866.66666666666663</v>
      </c>
      <c r="X31" s="479"/>
      <c r="Y31" s="480">
        <f>SUBTOTAL(9,Y27:Y30)</f>
        <v>10608</v>
      </c>
      <c r="Z31" s="481"/>
      <c r="AA31" s="480">
        <f>SUBTOTAL(9,AA27:AA30)</f>
        <v>10820.16</v>
      </c>
      <c r="AB31" s="481"/>
      <c r="AC31" s="480">
        <f>SUBTOTAL(9,AC27:AC30)</f>
        <v>11036.563200000001</v>
      </c>
      <c r="AD31" s="481"/>
      <c r="AE31" s="480">
        <f>SUBTOTAL(9,AE27:AE30)</f>
        <v>11257.294464000001</v>
      </c>
      <c r="AG31" s="482">
        <v>0.01</v>
      </c>
      <c r="AH31" s="482">
        <f>K31-AG31</f>
        <v>10399.99</v>
      </c>
    </row>
    <row r="32" spans="2:34" s="304" customFormat="1" ht="12" outlineLevel="1" x14ac:dyDescent="0.2">
      <c r="B32" s="305" t="s">
        <v>48</v>
      </c>
      <c r="C32" s="313" t="s">
        <v>320</v>
      </c>
      <c r="E32" s="323"/>
      <c r="F32" s="483"/>
      <c r="G32" s="483"/>
      <c r="H32" s="483"/>
      <c r="I32" s="345"/>
      <c r="J32" s="460"/>
      <c r="K32" s="445"/>
      <c r="L32" s="581"/>
      <c r="M32" s="581"/>
      <c r="N32" s="581"/>
      <c r="O32" s="581"/>
      <c r="P32" s="581"/>
      <c r="Q32" s="581"/>
      <c r="R32" s="581"/>
      <c r="S32" s="581"/>
      <c r="T32" s="581"/>
      <c r="U32" s="581"/>
      <c r="V32" s="581"/>
      <c r="W32" s="581"/>
      <c r="X32" s="376"/>
      <c r="Z32" s="306"/>
      <c r="AB32" s="306"/>
      <c r="AD32" s="306"/>
      <c r="AG32" s="446"/>
      <c r="AH32" s="446"/>
    </row>
    <row r="33" spans="2:34" s="304" customFormat="1" ht="12" outlineLevel="1" x14ac:dyDescent="0.2">
      <c r="B33" s="306"/>
      <c r="C33" s="461" t="s">
        <v>79</v>
      </c>
      <c r="D33" s="461" t="s">
        <v>80</v>
      </c>
      <c r="E33" s="462" t="s">
        <v>323</v>
      </c>
      <c r="F33" s="487" t="s">
        <v>84</v>
      </c>
      <c r="G33" s="462" t="s">
        <v>81</v>
      </c>
      <c r="H33" s="462"/>
      <c r="I33" s="487" t="s">
        <v>84</v>
      </c>
      <c r="J33" s="450" t="str">
        <f>$J$6</f>
        <v>FY21 -Full</v>
      </c>
      <c r="K33" s="451" t="str">
        <f>$K$6</f>
        <v>FY21 -Partial</v>
      </c>
      <c r="L33" s="584" t="s">
        <v>156</v>
      </c>
      <c r="M33" s="584" t="s">
        <v>157</v>
      </c>
      <c r="N33" s="584" t="s">
        <v>158</v>
      </c>
      <c r="O33" s="584" t="s">
        <v>159</v>
      </c>
      <c r="P33" s="584" t="s">
        <v>160</v>
      </c>
      <c r="Q33" s="584" t="s">
        <v>161</v>
      </c>
      <c r="R33" s="584" t="s">
        <v>162</v>
      </c>
      <c r="S33" s="584" t="s">
        <v>163</v>
      </c>
      <c r="T33" s="584" t="s">
        <v>164</v>
      </c>
      <c r="U33" s="584" t="s">
        <v>165</v>
      </c>
      <c r="V33" s="584" t="s">
        <v>166</v>
      </c>
      <c r="W33" s="584" t="s">
        <v>167</v>
      </c>
      <c r="X33" s="653"/>
      <c r="Y33" s="465" t="str">
        <f>X$6</f>
        <v>FY22</v>
      </c>
      <c r="Z33" s="466" t="str">
        <f>IF(X33="","",X33)</f>
        <v/>
      </c>
      <c r="AA33" s="465" t="str">
        <f>$Z$6</f>
        <v>FY23</v>
      </c>
      <c r="AB33" s="466" t="str">
        <f>IF(Z33="","",Z33)</f>
        <v/>
      </c>
      <c r="AC33" s="465" t="str">
        <f>$AB$6</f>
        <v>FY24</v>
      </c>
      <c r="AD33" s="466" t="str">
        <f>IF(AB33="","",AB33)</f>
        <v/>
      </c>
      <c r="AE33" s="465" t="str">
        <f>$AD$6</f>
        <v>FY25</v>
      </c>
      <c r="AG33" s="446"/>
      <c r="AH33" s="446"/>
    </row>
    <row r="34" spans="2:34" s="304" customFormat="1" ht="12" outlineLevel="1" x14ac:dyDescent="0.2">
      <c r="B34" s="306"/>
      <c r="C34" s="533" t="s">
        <v>544</v>
      </c>
      <c r="D34" s="533" t="s">
        <v>545</v>
      </c>
      <c r="E34" s="534">
        <v>840</v>
      </c>
      <c r="F34" s="486" t="s">
        <v>84</v>
      </c>
      <c r="G34" s="664"/>
      <c r="H34" s="663">
        <f>IF(COUNTA(G34)=1,K34,0)</f>
        <v>0</v>
      </c>
      <c r="I34" s="486" t="s">
        <v>84</v>
      </c>
      <c r="J34" s="467">
        <f>E34*SUM(L34:W34)</f>
        <v>4200</v>
      </c>
      <c r="K34" s="468">
        <f>E34*SUM(L34:W34)</f>
        <v>4200</v>
      </c>
      <c r="L34" s="585"/>
      <c r="M34" s="585">
        <v>1</v>
      </c>
      <c r="N34" s="585">
        <v>1</v>
      </c>
      <c r="O34" s="585">
        <v>1</v>
      </c>
      <c r="P34" s="585"/>
      <c r="Q34" s="585"/>
      <c r="R34" s="585"/>
      <c r="S34" s="585">
        <v>1</v>
      </c>
      <c r="T34" s="585">
        <v>1</v>
      </c>
      <c r="U34" s="585"/>
      <c r="V34" s="585"/>
      <c r="W34" s="585"/>
      <c r="X34" s="464"/>
      <c r="Y34" s="469">
        <f>IF(J34="","",J34*(1+Y$7))</f>
        <v>4284</v>
      </c>
      <c r="Z34" s="470"/>
      <c r="AA34" s="469">
        <f>IF(Y34="","",Y34*(1+AA$7))</f>
        <v>4369.68</v>
      </c>
      <c r="AB34" s="470"/>
      <c r="AC34" s="469">
        <f>IF(AA34="","",AA34*(1+AC$7))</f>
        <v>4457.0736000000006</v>
      </c>
      <c r="AD34" s="470"/>
      <c r="AE34" s="469">
        <f>IF(AC34="","",AC34*(1+AE$7))</f>
        <v>4546.2150720000009</v>
      </c>
      <c r="AG34" s="446"/>
      <c r="AH34" s="446"/>
    </row>
    <row r="35" spans="2:34" s="304" customFormat="1" ht="12" outlineLevel="1" x14ac:dyDescent="0.2">
      <c r="B35" s="306"/>
      <c r="C35" s="537"/>
      <c r="D35" s="537"/>
      <c r="E35" s="538"/>
      <c r="F35" s="486" t="s">
        <v>84</v>
      </c>
      <c r="G35" s="664"/>
      <c r="H35" s="663">
        <f>IF(COUNTA(G35)=1,K35,0)</f>
        <v>0</v>
      </c>
      <c r="I35" s="486" t="s">
        <v>84</v>
      </c>
      <c r="J35" s="467">
        <f>E35*SUM(L35:W35)</f>
        <v>0</v>
      </c>
      <c r="K35" s="468">
        <f>E35*SUM(L35:W35)</f>
        <v>0</v>
      </c>
      <c r="L35" s="586"/>
      <c r="M35" s="586"/>
      <c r="N35" s="586"/>
      <c r="O35" s="586"/>
      <c r="P35" s="586"/>
      <c r="Q35" s="586"/>
      <c r="R35" s="586"/>
      <c r="S35" s="586"/>
      <c r="T35" s="586"/>
      <c r="U35" s="586"/>
      <c r="V35" s="586"/>
      <c r="W35" s="586"/>
      <c r="X35" s="464"/>
      <c r="Y35" s="469">
        <f t="shared" ref="Y35" si="43">IF(J35="","",J35*(1+Y$7))</f>
        <v>0</v>
      </c>
      <c r="Z35" s="470"/>
      <c r="AA35" s="469">
        <f t="shared" ref="AA35" si="44">IF(Y35="","",Y35*(1+AA$7))</f>
        <v>0</v>
      </c>
      <c r="AB35" s="470"/>
      <c r="AC35" s="469">
        <f t="shared" ref="AC35" si="45">IF(AA35="","",AA35*(1+AC$7))</f>
        <v>0</v>
      </c>
      <c r="AD35" s="470"/>
      <c r="AE35" s="469">
        <f t="shared" ref="AE35" si="46">IF(AC35="","",AC35*(1+AE$7))</f>
        <v>0</v>
      </c>
      <c r="AG35" s="446"/>
      <c r="AH35" s="446"/>
    </row>
    <row r="36" spans="2:34" s="304" customFormat="1" ht="6.6" customHeight="1" outlineLevel="1" thickBot="1" x14ac:dyDescent="0.25">
      <c r="B36" s="306"/>
      <c r="C36" s="308"/>
      <c r="D36" s="308"/>
      <c r="E36" s="307"/>
      <c r="F36" s="484"/>
      <c r="G36" s="484"/>
      <c r="H36" s="484"/>
      <c r="I36" s="473"/>
      <c r="J36" s="474"/>
      <c r="K36" s="475"/>
      <c r="L36" s="587"/>
      <c r="M36" s="587"/>
      <c r="N36" s="587"/>
      <c r="O36" s="587"/>
      <c r="P36" s="587"/>
      <c r="Q36" s="587"/>
      <c r="R36" s="587"/>
      <c r="S36" s="587"/>
      <c r="T36" s="587"/>
      <c r="U36" s="587"/>
      <c r="V36" s="587"/>
      <c r="W36" s="587"/>
      <c r="X36" s="375"/>
      <c r="Y36" s="476"/>
      <c r="Z36" s="309"/>
      <c r="AA36" s="476"/>
      <c r="AB36" s="309"/>
      <c r="AC36" s="476"/>
      <c r="AD36" s="309"/>
      <c r="AE36" s="476"/>
      <c r="AG36" s="446"/>
      <c r="AH36" s="446"/>
    </row>
    <row r="37" spans="2:34" s="313" customFormat="1" ht="12.75" thickBot="1" x14ac:dyDescent="0.25">
      <c r="B37" s="305"/>
      <c r="C37" s="308" t="str">
        <f>C32</f>
        <v xml:space="preserve">Performance Incentives: Teachers </v>
      </c>
      <c r="D37" s="477"/>
      <c r="E37" s="478"/>
      <c r="F37" s="644">
        <v>6151</v>
      </c>
      <c r="G37" s="644"/>
      <c r="H37" s="644"/>
      <c r="I37" s="645"/>
      <c r="J37" s="646">
        <f>SUBTOTAL(9,J33:J36)</f>
        <v>4200</v>
      </c>
      <c r="K37" s="647">
        <f>SUBTOTAL(9,K33:K36)</f>
        <v>4200</v>
      </c>
      <c r="L37" s="620">
        <f>SUMPRODUCT(Payroll!$E$34:$E$36,Payroll!L34:L36)</f>
        <v>0</v>
      </c>
      <c r="M37" s="620">
        <f>SUMPRODUCT(Payroll!$E$34:$E$36,Payroll!M34:M36)</f>
        <v>840</v>
      </c>
      <c r="N37" s="620">
        <f>SUMPRODUCT(Payroll!$E$34:$E$36,Payroll!N34:N36)</f>
        <v>840</v>
      </c>
      <c r="O37" s="620">
        <f>SUMPRODUCT(Payroll!$E$34:$E$36,Payroll!O34:O36)</f>
        <v>840</v>
      </c>
      <c r="P37" s="620">
        <f>SUMPRODUCT(Payroll!$E$34:$E$36,Payroll!P34:P36)</f>
        <v>0</v>
      </c>
      <c r="Q37" s="620">
        <f>SUMPRODUCT(Payroll!$E$34:$E$36,Payroll!Q34:Q36)</f>
        <v>0</v>
      </c>
      <c r="R37" s="620">
        <f>SUMPRODUCT(Payroll!$E$34:$E$36,Payroll!R34:R36)</f>
        <v>0</v>
      </c>
      <c r="S37" s="620">
        <f>SUMPRODUCT(Payroll!$E$34:$E$36,Payroll!S34:S36)</f>
        <v>840</v>
      </c>
      <c r="T37" s="620">
        <f>SUMPRODUCT(Payroll!$E$34:$E$36,Payroll!T34:T36)</f>
        <v>840</v>
      </c>
      <c r="U37" s="620">
        <f>SUMPRODUCT(Payroll!$E$34:$E$36,Payroll!U34:U36)</f>
        <v>0</v>
      </c>
      <c r="V37" s="620">
        <f>SUMPRODUCT(Payroll!$E$34:$E$36,Payroll!V34:V36)</f>
        <v>0</v>
      </c>
      <c r="W37" s="620">
        <f>SUMPRODUCT(Payroll!$E$34:$E$36,Payroll!W34:W36)</f>
        <v>0</v>
      </c>
      <c r="X37" s="479">
        <f>I37</f>
        <v>0</v>
      </c>
      <c r="Y37" s="480">
        <f>SUBTOTAL(9,Y33:Y36)</f>
        <v>4284</v>
      </c>
      <c r="Z37" s="481">
        <f>COUNTIF(Z33:Z36,"y")</f>
        <v>0</v>
      </c>
      <c r="AA37" s="480">
        <f>SUBTOTAL(9,AA33:AA36)</f>
        <v>4369.68</v>
      </c>
      <c r="AB37" s="481">
        <f>COUNTIF(AB33:AB36,"y")</f>
        <v>0</v>
      </c>
      <c r="AC37" s="480">
        <f>SUBTOTAL(9,AC33:AC36)</f>
        <v>4457.0736000000006</v>
      </c>
      <c r="AD37" s="481">
        <f>COUNTIF(AD33:AD36,"y")</f>
        <v>0</v>
      </c>
      <c r="AE37" s="480">
        <f>SUBTOTAL(9,AE33:AE36)</f>
        <v>4546.2150720000009</v>
      </c>
      <c r="AG37" s="482">
        <v>0.01</v>
      </c>
      <c r="AH37" s="482">
        <f>K37-AG37</f>
        <v>4199.99</v>
      </c>
    </row>
    <row r="38" spans="2:34" s="304" customFormat="1" ht="12" outlineLevel="1" x14ac:dyDescent="0.2">
      <c r="B38" s="305" t="s">
        <v>49</v>
      </c>
      <c r="C38" s="313" t="s">
        <v>321</v>
      </c>
      <c r="E38" s="323"/>
      <c r="F38" s="483"/>
      <c r="G38" s="483"/>
      <c r="H38" s="483"/>
      <c r="I38" s="345"/>
      <c r="J38" s="460"/>
      <c r="K38" s="445"/>
      <c r="L38" s="581"/>
      <c r="M38" s="581"/>
      <c r="N38" s="581"/>
      <c r="O38" s="581"/>
      <c r="P38" s="581"/>
      <c r="Q38" s="581"/>
      <c r="R38" s="581"/>
      <c r="S38" s="581"/>
      <c r="T38" s="581"/>
      <c r="U38" s="581"/>
      <c r="V38" s="581"/>
      <c r="W38" s="581"/>
      <c r="X38" s="376"/>
      <c r="Z38" s="306"/>
      <c r="AB38" s="306"/>
      <c r="AD38" s="306"/>
      <c r="AG38" s="446"/>
      <c r="AH38" s="446"/>
    </row>
    <row r="39" spans="2:34" s="304" customFormat="1" ht="12" outlineLevel="1" x14ac:dyDescent="0.2">
      <c r="B39" s="306"/>
      <c r="C39" s="461" t="s">
        <v>79</v>
      </c>
      <c r="D39" s="461" t="s">
        <v>80</v>
      </c>
      <c r="E39" s="462" t="s">
        <v>323</v>
      </c>
      <c r="F39" s="487" t="s">
        <v>84</v>
      </c>
      <c r="G39" s="462" t="s">
        <v>81</v>
      </c>
      <c r="H39" s="462"/>
      <c r="I39" s="487" t="s">
        <v>84</v>
      </c>
      <c r="J39" s="450" t="str">
        <f>$J$6</f>
        <v>FY21 -Full</v>
      </c>
      <c r="K39" s="451" t="str">
        <f>$K$6</f>
        <v>FY21 -Partial</v>
      </c>
      <c r="L39" s="584" t="s">
        <v>156</v>
      </c>
      <c r="M39" s="584" t="s">
        <v>157</v>
      </c>
      <c r="N39" s="584" t="s">
        <v>158</v>
      </c>
      <c r="O39" s="584" t="s">
        <v>159</v>
      </c>
      <c r="P39" s="584" t="s">
        <v>160</v>
      </c>
      <c r="Q39" s="584" t="s">
        <v>161</v>
      </c>
      <c r="R39" s="584" t="s">
        <v>162</v>
      </c>
      <c r="S39" s="584" t="s">
        <v>163</v>
      </c>
      <c r="T39" s="584" t="s">
        <v>164</v>
      </c>
      <c r="U39" s="584" t="s">
        <v>165</v>
      </c>
      <c r="V39" s="584" t="s">
        <v>166</v>
      </c>
      <c r="W39" s="584" t="s">
        <v>167</v>
      </c>
      <c r="X39" s="653"/>
      <c r="Y39" s="465" t="str">
        <f>X$6</f>
        <v>FY22</v>
      </c>
      <c r="Z39" s="466" t="str">
        <f>IF(X39="","",X39)</f>
        <v/>
      </c>
      <c r="AA39" s="465" t="str">
        <f>$Z$6</f>
        <v>FY23</v>
      </c>
      <c r="AB39" s="466" t="str">
        <f>IF(Z39="","",Z39)</f>
        <v/>
      </c>
      <c r="AC39" s="465" t="str">
        <f>$AB$6</f>
        <v>FY24</v>
      </c>
      <c r="AD39" s="466" t="str">
        <f>IF(AB39="","",AB39)</f>
        <v/>
      </c>
      <c r="AE39" s="465" t="str">
        <f>$AD$6</f>
        <v>FY25</v>
      </c>
      <c r="AG39" s="446"/>
      <c r="AH39" s="446"/>
    </row>
    <row r="40" spans="2:34" s="304" customFormat="1" ht="12" outlineLevel="1" x14ac:dyDescent="0.2">
      <c r="B40" s="306"/>
      <c r="C40" s="533" t="s">
        <v>547</v>
      </c>
      <c r="D40" s="533" t="s">
        <v>510</v>
      </c>
      <c r="E40" s="534">
        <v>840</v>
      </c>
      <c r="F40" s="486" t="s">
        <v>84</v>
      </c>
      <c r="G40" s="664"/>
      <c r="H40" s="663">
        <f>IF(COUNTA(G40)=1,K40,0)</f>
        <v>0</v>
      </c>
      <c r="I40" s="486" t="s">
        <v>84</v>
      </c>
      <c r="J40" s="467">
        <f>E40*SUM(L40:W40)</f>
        <v>840</v>
      </c>
      <c r="K40" s="468">
        <f>E40*SUM(L40:W40)</f>
        <v>840</v>
      </c>
      <c r="L40" s="585"/>
      <c r="M40" s="585"/>
      <c r="N40" s="585"/>
      <c r="O40" s="585"/>
      <c r="P40" s="585"/>
      <c r="Q40" s="585"/>
      <c r="R40" s="585"/>
      <c r="S40" s="585"/>
      <c r="T40" s="585">
        <v>1</v>
      </c>
      <c r="U40" s="585"/>
      <c r="V40" s="585"/>
      <c r="W40" s="585"/>
      <c r="X40" s="464"/>
      <c r="Y40" s="469">
        <f>IF(J40="","",J40*(1+Y$7))</f>
        <v>856.80000000000007</v>
      </c>
      <c r="Z40" s="470"/>
      <c r="AA40" s="469">
        <f>IF(Y40="","",Y40*(1+AA$7))</f>
        <v>873.93600000000004</v>
      </c>
      <c r="AB40" s="470"/>
      <c r="AC40" s="469">
        <f>IF(AA40="","",AA40*(1+AC$7))</f>
        <v>891.4147200000001</v>
      </c>
      <c r="AD40" s="470"/>
      <c r="AE40" s="469">
        <f>IF(AC40="","",AC40*(1+AE$7))</f>
        <v>909.24301440000011</v>
      </c>
      <c r="AG40" s="446"/>
      <c r="AH40" s="446"/>
    </row>
    <row r="41" spans="2:34" s="304" customFormat="1" ht="12" outlineLevel="1" x14ac:dyDescent="0.2">
      <c r="B41" s="306"/>
      <c r="C41" s="666" t="s">
        <v>547</v>
      </c>
      <c r="D41" s="666" t="s">
        <v>510</v>
      </c>
      <c r="E41" s="538">
        <v>3000</v>
      </c>
      <c r="F41" s="486" t="s">
        <v>84</v>
      </c>
      <c r="G41" s="664"/>
      <c r="H41" s="663">
        <f>IF(COUNTA(G41)=1,K41,0)</f>
        <v>0</v>
      </c>
      <c r="I41" s="486" t="s">
        <v>84</v>
      </c>
      <c r="J41" s="467">
        <f>E41*SUM(L41:W41)</f>
        <v>750</v>
      </c>
      <c r="K41" s="468">
        <f>E41*SUM(L41:W41)</f>
        <v>750</v>
      </c>
      <c r="L41" s="586"/>
      <c r="M41" s="586"/>
      <c r="N41" s="586"/>
      <c r="O41" s="586"/>
      <c r="P41" s="586"/>
      <c r="Q41" s="586"/>
      <c r="R41" s="586"/>
      <c r="S41" s="586"/>
      <c r="T41" s="586"/>
      <c r="U41" s="586"/>
      <c r="V41" s="586"/>
      <c r="W41" s="586">
        <v>0.25</v>
      </c>
      <c r="X41" s="464"/>
      <c r="Y41" s="469">
        <f t="shared" ref="Y41" si="47">IF(J41="","",J41*(1+Y$7))</f>
        <v>765</v>
      </c>
      <c r="Z41" s="470"/>
      <c r="AA41" s="469">
        <f t="shared" ref="AA41" si="48">IF(Y41="","",Y41*(1+AA$7))</f>
        <v>780.30000000000007</v>
      </c>
      <c r="AB41" s="470"/>
      <c r="AC41" s="469">
        <f t="shared" ref="AC41" si="49">IF(AA41="","",AA41*(1+AC$7))</f>
        <v>795.90600000000006</v>
      </c>
      <c r="AD41" s="470"/>
      <c r="AE41" s="469">
        <f t="shared" ref="AE41" si="50">IF(AC41="","",AC41*(1+AE$7))</f>
        <v>811.82412000000011</v>
      </c>
      <c r="AG41" s="446"/>
      <c r="AH41" s="446"/>
    </row>
    <row r="42" spans="2:34" s="304" customFormat="1" ht="6.6" customHeight="1" outlineLevel="1" thickBot="1" x14ac:dyDescent="0.25">
      <c r="B42" s="306"/>
      <c r="C42" s="308"/>
      <c r="D42" s="308"/>
      <c r="E42" s="307"/>
      <c r="F42" s="484"/>
      <c r="G42" s="484"/>
      <c r="H42" s="484"/>
      <c r="I42" s="473"/>
      <c r="J42" s="474"/>
      <c r="K42" s="475"/>
      <c r="L42" s="587"/>
      <c r="M42" s="587"/>
      <c r="N42" s="587"/>
      <c r="O42" s="587"/>
      <c r="P42" s="587"/>
      <c r="Q42" s="587"/>
      <c r="R42" s="587"/>
      <c r="S42" s="587"/>
      <c r="T42" s="587"/>
      <c r="U42" s="587"/>
      <c r="V42" s="587"/>
      <c r="W42" s="587"/>
      <c r="X42" s="375"/>
      <c r="Y42" s="476"/>
      <c r="Z42" s="309"/>
      <c r="AA42" s="476"/>
      <c r="AB42" s="309"/>
      <c r="AC42" s="476"/>
      <c r="AD42" s="309"/>
      <c r="AE42" s="476"/>
      <c r="AG42" s="446"/>
      <c r="AH42" s="446"/>
    </row>
    <row r="43" spans="2:34" s="313" customFormat="1" ht="12.75" thickBot="1" x14ac:dyDescent="0.25">
      <c r="B43" s="305"/>
      <c r="C43" s="308" t="str">
        <f>C38</f>
        <v xml:space="preserve">Performance Incentives: Licensed Admin </v>
      </c>
      <c r="D43" s="477"/>
      <c r="E43" s="478"/>
      <c r="F43" s="644">
        <v>6154</v>
      </c>
      <c r="G43" s="644"/>
      <c r="H43" s="644"/>
      <c r="I43" s="645"/>
      <c r="J43" s="646">
        <f>SUBTOTAL(9,J39:J42)</f>
        <v>1590</v>
      </c>
      <c r="K43" s="647">
        <f>SUBTOTAL(9,K39:K42)</f>
        <v>1590</v>
      </c>
      <c r="L43" s="620">
        <f>SUMPRODUCT(Payroll!$E$40:$E$42,Payroll!L40:L42)</f>
        <v>0</v>
      </c>
      <c r="M43" s="620">
        <f>SUMPRODUCT(Payroll!$E$40:$E$42,Payroll!M40:M42)</f>
        <v>0</v>
      </c>
      <c r="N43" s="620">
        <f>SUMPRODUCT(Payroll!$E$40:$E$42,Payroll!N40:N42)</f>
        <v>0</v>
      </c>
      <c r="O43" s="620">
        <f>SUMPRODUCT(Payroll!$E$40:$E$42,Payroll!O40:O42)</f>
        <v>0</v>
      </c>
      <c r="P43" s="620">
        <f>SUMPRODUCT(Payroll!$E$40:$E$42,Payroll!P40:P42)</f>
        <v>0</v>
      </c>
      <c r="Q43" s="620">
        <f>SUMPRODUCT(Payroll!$E$40:$E$42,Payroll!Q40:Q42)</f>
        <v>0</v>
      </c>
      <c r="R43" s="620">
        <f>SUMPRODUCT(Payroll!$E$40:$E$42,Payroll!R40:R42)</f>
        <v>0</v>
      </c>
      <c r="S43" s="620">
        <f>SUMPRODUCT(Payroll!$E$40:$E$42,Payroll!S40:S42)</f>
        <v>0</v>
      </c>
      <c r="T43" s="620">
        <f>SUMPRODUCT(Payroll!$E$40:$E$42,Payroll!T40:T42)</f>
        <v>840</v>
      </c>
      <c r="U43" s="620">
        <f>SUMPRODUCT(Payroll!$E$40:$E$42,Payroll!U40:U42)</f>
        <v>0</v>
      </c>
      <c r="V43" s="620">
        <f>SUMPRODUCT(Payroll!$E$40:$E$42,Payroll!V40:V42)</f>
        <v>0</v>
      </c>
      <c r="W43" s="620">
        <f>SUMPRODUCT(Payroll!$E$40:$E$42,Payroll!W40:W42)</f>
        <v>750</v>
      </c>
      <c r="X43" s="464"/>
      <c r="Y43" s="541">
        <f>SUBTOTAL(9,Y39:Y42)</f>
        <v>1621.8000000000002</v>
      </c>
      <c r="Z43" s="542"/>
      <c r="AA43" s="541">
        <f>SUBTOTAL(9,AA39:AA42)</f>
        <v>1654.2360000000001</v>
      </c>
      <c r="AB43" s="542"/>
      <c r="AC43" s="541">
        <f>SUBTOTAL(9,AC39:AC42)</f>
        <v>1687.3207200000002</v>
      </c>
      <c r="AD43" s="542"/>
      <c r="AE43" s="541">
        <f>SUBTOTAL(9,AE39:AE42)</f>
        <v>1721.0671344000002</v>
      </c>
      <c r="AG43" s="482">
        <v>0.01</v>
      </c>
      <c r="AH43" s="482">
        <f>K43-AG43</f>
        <v>1589.99</v>
      </c>
    </row>
    <row r="44" spans="2:34" s="304" customFormat="1" ht="12" outlineLevel="1" x14ac:dyDescent="0.2">
      <c r="B44" s="305" t="s">
        <v>50</v>
      </c>
      <c r="C44" s="313" t="s">
        <v>322</v>
      </c>
      <c r="E44" s="323"/>
      <c r="F44" s="483"/>
      <c r="G44" s="483"/>
      <c r="H44" s="483"/>
      <c r="I44" s="345"/>
      <c r="J44" s="460"/>
      <c r="K44" s="445"/>
      <c r="L44" s="581"/>
      <c r="M44" s="581"/>
      <c r="N44" s="581"/>
      <c r="O44" s="581"/>
      <c r="P44" s="581"/>
      <c r="Q44" s="581"/>
      <c r="R44" s="581"/>
      <c r="S44" s="581"/>
      <c r="T44" s="581"/>
      <c r="U44" s="581"/>
      <c r="V44" s="581"/>
      <c r="W44" s="581"/>
      <c r="X44" s="376"/>
      <c r="Z44" s="306"/>
      <c r="AB44" s="306"/>
      <c r="AD44" s="306"/>
      <c r="AG44" s="446"/>
      <c r="AH44" s="446"/>
    </row>
    <row r="45" spans="2:34" s="304" customFormat="1" ht="12" outlineLevel="1" x14ac:dyDescent="0.2">
      <c r="B45" s="306"/>
      <c r="C45" s="461" t="s">
        <v>79</v>
      </c>
      <c r="D45" s="461" t="s">
        <v>80</v>
      </c>
      <c r="E45" s="462" t="s">
        <v>323</v>
      </c>
      <c r="F45" s="487" t="s">
        <v>84</v>
      </c>
      <c r="G45" s="462" t="s">
        <v>81</v>
      </c>
      <c r="H45" s="462"/>
      <c r="I45" s="487" t="s">
        <v>84</v>
      </c>
      <c r="J45" s="450" t="str">
        <f>$J$6</f>
        <v>FY21 -Full</v>
      </c>
      <c r="K45" s="451" t="str">
        <f>$K$6</f>
        <v>FY21 -Partial</v>
      </c>
      <c r="L45" s="584" t="s">
        <v>156</v>
      </c>
      <c r="M45" s="584" t="s">
        <v>157</v>
      </c>
      <c r="N45" s="584" t="s">
        <v>158</v>
      </c>
      <c r="O45" s="584" t="s">
        <v>159</v>
      </c>
      <c r="P45" s="584" t="s">
        <v>160</v>
      </c>
      <c r="Q45" s="584" t="s">
        <v>161</v>
      </c>
      <c r="R45" s="584" t="s">
        <v>162</v>
      </c>
      <c r="S45" s="584" t="s">
        <v>163</v>
      </c>
      <c r="T45" s="584" t="s">
        <v>164</v>
      </c>
      <c r="U45" s="584" t="s">
        <v>165</v>
      </c>
      <c r="V45" s="584" t="s">
        <v>166</v>
      </c>
      <c r="W45" s="584" t="s">
        <v>167</v>
      </c>
      <c r="X45" s="653"/>
      <c r="Y45" s="465" t="str">
        <f>X$6</f>
        <v>FY22</v>
      </c>
      <c r="Z45" s="466" t="str">
        <f>IF(X45="","",X45)</f>
        <v/>
      </c>
      <c r="AA45" s="465" t="str">
        <f>$Z$6</f>
        <v>FY23</v>
      </c>
      <c r="AB45" s="466" t="str">
        <f>IF(Z45="","",Z45)</f>
        <v/>
      </c>
      <c r="AC45" s="465" t="str">
        <f>$AB$6</f>
        <v>FY24</v>
      </c>
      <c r="AD45" s="466" t="str">
        <f>IF(AB45="","",AB45)</f>
        <v/>
      </c>
      <c r="AE45" s="465" t="str">
        <f>$AD$6</f>
        <v>FY25</v>
      </c>
      <c r="AG45" s="446"/>
      <c r="AH45" s="446"/>
    </row>
    <row r="46" spans="2:34" s="304" customFormat="1" ht="12" outlineLevel="1" x14ac:dyDescent="0.2">
      <c r="B46" s="306"/>
      <c r="C46" s="533" t="s">
        <v>546</v>
      </c>
      <c r="D46" s="533" t="s">
        <v>511</v>
      </c>
      <c r="E46" s="534">
        <v>750</v>
      </c>
      <c r="F46" s="486" t="s">
        <v>84</v>
      </c>
      <c r="G46" s="664"/>
      <c r="H46" s="663">
        <f>IF(COUNTA(G46)=1,K46,0)</f>
        <v>0</v>
      </c>
      <c r="I46" s="486" t="s">
        <v>84</v>
      </c>
      <c r="J46" s="467">
        <f>E46*SUM(L46:W46)</f>
        <v>3000</v>
      </c>
      <c r="K46" s="468">
        <f>E46*SUM(L46:W46)</f>
        <v>3000</v>
      </c>
      <c r="L46" s="585"/>
      <c r="M46" s="585">
        <v>1</v>
      </c>
      <c r="N46" s="585">
        <v>1</v>
      </c>
      <c r="O46" s="585"/>
      <c r="P46" s="585"/>
      <c r="Q46" s="585"/>
      <c r="R46" s="585">
        <v>1</v>
      </c>
      <c r="S46" s="585">
        <v>1</v>
      </c>
      <c r="T46" s="585"/>
      <c r="U46" s="585"/>
      <c r="V46" s="585"/>
      <c r="W46" s="585"/>
      <c r="X46" s="464"/>
      <c r="Y46" s="469">
        <f t="shared" ref="Y46:Y47" si="51">IF(J46="","",J46*(1+Y$7))</f>
        <v>3060</v>
      </c>
      <c r="Z46" s="470"/>
      <c r="AA46" s="469">
        <f t="shared" ref="AA46:AA47" si="52">IF(Y46="","",Y46*(1+AA$7))</f>
        <v>3121.2000000000003</v>
      </c>
      <c r="AB46" s="470"/>
      <c r="AC46" s="469">
        <f t="shared" ref="AC46:AC47" si="53">IF(AA46="","",AA46*(1+AC$7))</f>
        <v>3183.6240000000003</v>
      </c>
      <c r="AD46" s="470"/>
      <c r="AE46" s="469">
        <f t="shared" ref="AE46:AE47" si="54">IF(AC46="","",AC46*(1+AE$7))</f>
        <v>3247.2964800000004</v>
      </c>
      <c r="AG46" s="446"/>
      <c r="AH46" s="446"/>
    </row>
    <row r="47" spans="2:34" s="304" customFormat="1" ht="12" outlineLevel="1" x14ac:dyDescent="0.2">
      <c r="B47" s="306"/>
      <c r="C47" s="537"/>
      <c r="D47" s="537"/>
      <c r="E47" s="538"/>
      <c r="F47" s="486" t="s">
        <v>84</v>
      </c>
      <c r="G47" s="664"/>
      <c r="H47" s="663">
        <f>IF(COUNTA(G47)=1,K47,0)</f>
        <v>0</v>
      </c>
      <c r="I47" s="486" t="s">
        <v>84</v>
      </c>
      <c r="J47" s="467">
        <f>E47*SUM(L47:W47)</f>
        <v>0</v>
      </c>
      <c r="K47" s="468">
        <f>E47*SUM(L47:W47)</f>
        <v>0</v>
      </c>
      <c r="L47" s="586"/>
      <c r="M47" s="586"/>
      <c r="N47" s="586"/>
      <c r="O47" s="586"/>
      <c r="P47" s="586"/>
      <c r="Q47" s="586"/>
      <c r="R47" s="586"/>
      <c r="S47" s="586"/>
      <c r="T47" s="586"/>
      <c r="U47" s="586"/>
      <c r="V47" s="586"/>
      <c r="W47" s="586"/>
      <c r="X47" s="464"/>
      <c r="Y47" s="469">
        <f t="shared" si="51"/>
        <v>0</v>
      </c>
      <c r="Z47" s="470"/>
      <c r="AA47" s="469">
        <f t="shared" si="52"/>
        <v>0</v>
      </c>
      <c r="AB47" s="470"/>
      <c r="AC47" s="469">
        <f t="shared" si="53"/>
        <v>0</v>
      </c>
      <c r="AD47" s="470"/>
      <c r="AE47" s="469">
        <f t="shared" si="54"/>
        <v>0</v>
      </c>
      <c r="AG47" s="471"/>
      <c r="AH47" s="471"/>
    </row>
    <row r="48" spans="2:34" s="304" customFormat="1" ht="6.6" customHeight="1" outlineLevel="1" thickBot="1" x14ac:dyDescent="0.25">
      <c r="B48" s="306"/>
      <c r="C48" s="308"/>
      <c r="D48" s="308"/>
      <c r="E48" s="307"/>
      <c r="F48" s="484"/>
      <c r="G48" s="484"/>
      <c r="H48" s="484"/>
      <c r="I48" s="473"/>
      <c r="J48" s="474"/>
      <c r="K48" s="475"/>
      <c r="L48" s="587"/>
      <c r="M48" s="587"/>
      <c r="N48" s="587"/>
      <c r="O48" s="587"/>
      <c r="P48" s="587"/>
      <c r="Q48" s="587"/>
      <c r="R48" s="587"/>
      <c r="S48" s="587"/>
      <c r="T48" s="587"/>
      <c r="U48" s="587"/>
      <c r="V48" s="587"/>
      <c r="W48" s="587"/>
      <c r="X48" s="375"/>
      <c r="Y48" s="476"/>
      <c r="Z48" s="309"/>
      <c r="AA48" s="476"/>
      <c r="AB48" s="309"/>
      <c r="AC48" s="476"/>
      <c r="AD48" s="309"/>
      <c r="AE48" s="476"/>
      <c r="AG48" s="471"/>
      <c r="AH48" s="471"/>
    </row>
    <row r="49" spans="2:34" s="313" customFormat="1" ht="12.75" thickBot="1" x14ac:dyDescent="0.25">
      <c r="B49" s="305"/>
      <c r="C49" s="308" t="str">
        <f>C44</f>
        <v>Performance Incentives: Other Classified/Support Staff</v>
      </c>
      <c r="D49" s="477"/>
      <c r="E49" s="478"/>
      <c r="F49" s="644">
        <v>6157</v>
      </c>
      <c r="G49" s="644"/>
      <c r="H49" s="644"/>
      <c r="I49" s="645"/>
      <c r="J49" s="646">
        <f>SUBTOTAL(9,J45:J48)</f>
        <v>3000</v>
      </c>
      <c r="K49" s="647">
        <f>SUBTOTAL(9,K45:K48)</f>
        <v>3000</v>
      </c>
      <c r="L49" s="620">
        <f>SUMPRODUCT(Payroll!$E$46:$E$48,Payroll!L46:L48)</f>
        <v>0</v>
      </c>
      <c r="M49" s="620">
        <f>SUMPRODUCT(Payroll!$E$46:$E$48,Payroll!M46:M48)</f>
        <v>750</v>
      </c>
      <c r="N49" s="620">
        <f>SUMPRODUCT(Payroll!$E$46:$E$48,Payroll!N46:N48)</f>
        <v>750</v>
      </c>
      <c r="O49" s="620">
        <f>SUMPRODUCT(Payroll!$E$46:$E$48,Payroll!O46:O48)</f>
        <v>0</v>
      </c>
      <c r="P49" s="620">
        <f>SUMPRODUCT(Payroll!$E$46:$E$48,Payroll!P46:P48)</f>
        <v>0</v>
      </c>
      <c r="Q49" s="620">
        <f>SUMPRODUCT(Payroll!$E$46:$E$48,Payroll!Q46:Q48)</f>
        <v>0</v>
      </c>
      <c r="R49" s="620">
        <f>SUMPRODUCT(Payroll!$E$46:$E$48,Payroll!R46:R48)</f>
        <v>750</v>
      </c>
      <c r="S49" s="620">
        <f>SUMPRODUCT(Payroll!$E$46:$E$48,Payroll!S46:S48)</f>
        <v>750</v>
      </c>
      <c r="T49" s="620">
        <f>SUMPRODUCT(Payroll!$E$46:$E$48,Payroll!T46:T48)</f>
        <v>0</v>
      </c>
      <c r="U49" s="620">
        <f>SUMPRODUCT(Payroll!$E$46:$E$48,Payroll!U46:U48)</f>
        <v>0</v>
      </c>
      <c r="V49" s="620">
        <f>SUMPRODUCT(Payroll!$E$46:$E$48,Payroll!V46:V48)</f>
        <v>0</v>
      </c>
      <c r="W49" s="620">
        <f>SUMPRODUCT(Payroll!$E$46:$E$48,Payroll!W46:W48)</f>
        <v>0</v>
      </c>
      <c r="X49" s="543"/>
      <c r="Y49" s="541">
        <f>SUBTOTAL(9,Y45:Y48)</f>
        <v>3060</v>
      </c>
      <c r="Z49" s="542"/>
      <c r="AA49" s="541">
        <f>SUBTOTAL(9,AA45:AA48)</f>
        <v>3121.2000000000003</v>
      </c>
      <c r="AB49" s="542"/>
      <c r="AC49" s="541">
        <f>SUBTOTAL(9,AC45:AC48)</f>
        <v>3183.6240000000003</v>
      </c>
      <c r="AD49" s="542"/>
      <c r="AE49" s="541">
        <f>SUBTOTAL(9,AE45:AE48)</f>
        <v>3247.2964800000004</v>
      </c>
      <c r="AG49" s="482">
        <v>0.01</v>
      </c>
      <c r="AH49" s="482">
        <f>K49-AG49</f>
        <v>2999.99</v>
      </c>
    </row>
    <row r="50" spans="2:34" s="304" customFormat="1" ht="12" outlineLevel="1" x14ac:dyDescent="0.2">
      <c r="B50" s="305" t="s">
        <v>51</v>
      </c>
      <c r="C50" s="313" t="s">
        <v>97</v>
      </c>
      <c r="E50" s="323"/>
      <c r="F50" s="483"/>
      <c r="G50" s="483"/>
      <c r="H50" s="483"/>
      <c r="I50" s="345"/>
      <c r="J50" s="460"/>
      <c r="K50" s="445"/>
      <c r="L50" s="581"/>
      <c r="M50" s="581"/>
      <c r="N50" s="581"/>
      <c r="O50" s="581"/>
      <c r="P50" s="581"/>
      <c r="Q50" s="581"/>
      <c r="R50" s="581"/>
      <c r="S50" s="581"/>
      <c r="T50" s="581"/>
      <c r="U50" s="581"/>
      <c r="V50" s="581"/>
      <c r="W50" s="581"/>
      <c r="X50" s="376"/>
      <c r="Z50" s="306"/>
      <c r="AB50" s="306"/>
      <c r="AD50" s="306"/>
      <c r="AG50" s="446"/>
      <c r="AH50" s="446"/>
    </row>
    <row r="51" spans="2:34" s="304" customFormat="1" ht="12" outlineLevel="1" x14ac:dyDescent="0.2">
      <c r="B51" s="306"/>
      <c r="C51" s="488" t="s">
        <v>79</v>
      </c>
      <c r="D51" s="488" t="s">
        <v>317</v>
      </c>
      <c r="E51" s="489" t="s">
        <v>318</v>
      </c>
      <c r="F51" s="485" t="s">
        <v>84</v>
      </c>
      <c r="G51" s="462" t="s">
        <v>81</v>
      </c>
      <c r="H51" s="462"/>
      <c r="I51" s="485" t="s">
        <v>84</v>
      </c>
      <c r="J51" s="450" t="str">
        <f>$J$6</f>
        <v>FY21 -Full</v>
      </c>
      <c r="K51" s="490" t="s">
        <v>319</v>
      </c>
      <c r="L51" s="584" t="s">
        <v>156</v>
      </c>
      <c r="M51" s="584" t="s">
        <v>157</v>
      </c>
      <c r="N51" s="584" t="s">
        <v>158</v>
      </c>
      <c r="O51" s="584" t="s">
        <v>159</v>
      </c>
      <c r="P51" s="584" t="s">
        <v>160</v>
      </c>
      <c r="Q51" s="584" t="s">
        <v>161</v>
      </c>
      <c r="R51" s="584" t="s">
        <v>162</v>
      </c>
      <c r="S51" s="584" t="s">
        <v>163</v>
      </c>
      <c r="T51" s="584" t="s">
        <v>164</v>
      </c>
      <c r="U51" s="584" t="s">
        <v>165</v>
      </c>
      <c r="V51" s="584" t="s">
        <v>166</v>
      </c>
      <c r="W51" s="584" t="s">
        <v>167</v>
      </c>
      <c r="X51" s="653"/>
      <c r="Y51" s="465" t="str">
        <f>X$6</f>
        <v>FY22</v>
      </c>
      <c r="Z51" s="466" t="str">
        <f>IF(X51="","",X51)</f>
        <v/>
      </c>
      <c r="AA51" s="465" t="str">
        <f>$Z$6</f>
        <v>FY23</v>
      </c>
      <c r="AB51" s="466" t="str">
        <f>IF(Z51="","",Z51)</f>
        <v/>
      </c>
      <c r="AC51" s="465" t="str">
        <f>$AB$6</f>
        <v>FY24</v>
      </c>
      <c r="AD51" s="466" t="str">
        <f>IF(AB51="","",AB51)</f>
        <v/>
      </c>
      <c r="AE51" s="465" t="str">
        <f>$AD$6</f>
        <v>FY25</v>
      </c>
      <c r="AG51" s="446"/>
      <c r="AH51" s="446"/>
    </row>
    <row r="52" spans="2:34" s="304" customFormat="1" ht="12" outlineLevel="1" x14ac:dyDescent="0.2">
      <c r="B52" s="306"/>
      <c r="C52" s="533" t="s">
        <v>544</v>
      </c>
      <c r="D52" s="533" t="s">
        <v>545</v>
      </c>
      <c r="E52" s="534">
        <v>30</v>
      </c>
      <c r="F52" s="486" t="s">
        <v>84</v>
      </c>
      <c r="G52" s="664"/>
      <c r="H52" s="663">
        <f>IF(COUNTA(G52)=1,K52,0)</f>
        <v>0</v>
      </c>
      <c r="I52" s="486" t="s">
        <v>84</v>
      </c>
      <c r="J52" s="467">
        <f>E52*SUM(L52:W52)</f>
        <v>0</v>
      </c>
      <c r="K52" s="468">
        <f>E52*SUM(L52:W52)</f>
        <v>0</v>
      </c>
      <c r="L52" s="585"/>
      <c r="M52" s="585"/>
      <c r="N52" s="585"/>
      <c r="O52" s="585"/>
      <c r="P52" s="585"/>
      <c r="Q52" s="585"/>
      <c r="R52" s="585"/>
      <c r="S52" s="585"/>
      <c r="T52" s="585"/>
      <c r="U52" s="585"/>
      <c r="V52" s="585"/>
      <c r="W52" s="585"/>
      <c r="X52" s="464"/>
      <c r="Y52" s="469">
        <f>IF(J52="","",J52*(1+Y$7))</f>
        <v>0</v>
      </c>
      <c r="Z52" s="470"/>
      <c r="AA52" s="469">
        <f>IF(Y52="","",Y52*(1+AA$7))</f>
        <v>0</v>
      </c>
      <c r="AB52" s="470"/>
      <c r="AC52" s="469">
        <f>IF(AA52="","",AA52*(1+AC$7))</f>
        <v>0</v>
      </c>
      <c r="AD52" s="470"/>
      <c r="AE52" s="469">
        <f>IF(AC52="","",AC52*(1+AE$7))</f>
        <v>0</v>
      </c>
      <c r="AG52" s="446"/>
      <c r="AH52" s="446"/>
    </row>
    <row r="53" spans="2:34" s="304" customFormat="1" ht="12" outlineLevel="1" x14ac:dyDescent="0.2">
      <c r="B53" s="306"/>
      <c r="C53" s="537"/>
      <c r="D53" s="537"/>
      <c r="E53" s="538"/>
      <c r="F53" s="486" t="s">
        <v>84</v>
      </c>
      <c r="G53" s="664"/>
      <c r="H53" s="663">
        <f>IF(COUNTA(G53)=1,K53,0)</f>
        <v>0</v>
      </c>
      <c r="I53" s="486" t="s">
        <v>84</v>
      </c>
      <c r="J53" s="467">
        <f>E53*SUM(L53:W53)</f>
        <v>0</v>
      </c>
      <c r="K53" s="468">
        <f>E53*SUM(L53:W53)</f>
        <v>0</v>
      </c>
      <c r="L53" s="586"/>
      <c r="M53" s="586"/>
      <c r="N53" s="586"/>
      <c r="O53" s="586"/>
      <c r="P53" s="586"/>
      <c r="Q53" s="586"/>
      <c r="R53" s="586"/>
      <c r="S53" s="586"/>
      <c r="T53" s="586"/>
      <c r="U53" s="586"/>
      <c r="V53" s="586"/>
      <c r="W53" s="586"/>
      <c r="X53" s="464"/>
      <c r="Y53" s="469">
        <f t="shared" ref="Y53" si="55">IF(J53="","",J53*(1+Y$7))</f>
        <v>0</v>
      </c>
      <c r="Z53" s="470"/>
      <c r="AA53" s="469">
        <f t="shared" ref="AA53" si="56">IF(Y53="","",Y53*(1+AA$7))</f>
        <v>0</v>
      </c>
      <c r="AB53" s="470"/>
      <c r="AC53" s="469">
        <f t="shared" ref="AC53" si="57">IF(AA53="","",AA53*(1+AC$7))</f>
        <v>0</v>
      </c>
      <c r="AD53" s="470"/>
      <c r="AE53" s="469">
        <f t="shared" ref="AE53" si="58">IF(AC53="","",AC53*(1+AE$7))</f>
        <v>0</v>
      </c>
      <c r="AG53" s="446"/>
      <c r="AH53" s="446"/>
    </row>
    <row r="54" spans="2:34" s="304" customFormat="1" ht="6.6" customHeight="1" outlineLevel="1" thickBot="1" x14ac:dyDescent="0.25">
      <c r="B54" s="306"/>
      <c r="C54" s="308"/>
      <c r="D54" s="308"/>
      <c r="E54" s="307"/>
      <c r="F54" s="484"/>
      <c r="G54" s="484"/>
      <c r="H54" s="484"/>
      <c r="I54" s="473"/>
      <c r="J54" s="474"/>
      <c r="K54" s="475"/>
      <c r="L54" s="587"/>
      <c r="M54" s="587"/>
      <c r="N54" s="587"/>
      <c r="O54" s="587"/>
      <c r="P54" s="587"/>
      <c r="Q54" s="587"/>
      <c r="R54" s="587"/>
      <c r="S54" s="587"/>
      <c r="T54" s="587"/>
      <c r="U54" s="587"/>
      <c r="V54" s="587"/>
      <c r="W54" s="587"/>
      <c r="X54" s="375"/>
      <c r="Y54" s="476"/>
      <c r="Z54" s="309"/>
      <c r="AA54" s="476"/>
      <c r="AB54" s="309"/>
      <c r="AC54" s="476"/>
      <c r="AD54" s="309"/>
      <c r="AE54" s="476"/>
      <c r="AG54" s="446"/>
      <c r="AH54" s="446"/>
    </row>
    <row r="55" spans="2:34" s="313" customFormat="1" ht="12.75" thickBot="1" x14ac:dyDescent="0.25">
      <c r="B55" s="305"/>
      <c r="C55" s="308" t="str">
        <f>C50</f>
        <v>Extra Duties: Teachers</v>
      </c>
      <c r="D55" s="477"/>
      <c r="E55" s="478"/>
      <c r="F55" s="644">
        <v>6161</v>
      </c>
      <c r="G55" s="644"/>
      <c r="H55" s="644"/>
      <c r="I55" s="645"/>
      <c r="J55" s="646">
        <f>SUBTOTAL(9,J51:J54)</f>
        <v>0</v>
      </c>
      <c r="K55" s="647">
        <f>SUBTOTAL(9,K51:K54)</f>
        <v>0</v>
      </c>
      <c r="L55" s="620">
        <f>SUMPRODUCT(Payroll!$E$52:$E$54,Payroll!L52:L54)</f>
        <v>0</v>
      </c>
      <c r="M55" s="620">
        <f>SUMPRODUCT(Payroll!$E$52:$E$54,Payroll!M52:M54)</f>
        <v>0</v>
      </c>
      <c r="N55" s="620">
        <f>SUMPRODUCT(Payroll!$E$52:$E$54,Payroll!N52:N54)</f>
        <v>0</v>
      </c>
      <c r="O55" s="620">
        <f>SUMPRODUCT(Payroll!$E$52:$E$54,Payroll!O52:O54)</f>
        <v>0</v>
      </c>
      <c r="P55" s="620">
        <f>SUMPRODUCT(Payroll!$E$52:$E$54,Payroll!P52:P54)</f>
        <v>0</v>
      </c>
      <c r="Q55" s="620">
        <f>SUMPRODUCT(Payroll!$E$52:$E$54,Payroll!Q52:Q54)</f>
        <v>0</v>
      </c>
      <c r="R55" s="620">
        <f>SUMPRODUCT(Payroll!$E$52:$E$54,Payroll!R52:R54)</f>
        <v>0</v>
      </c>
      <c r="S55" s="620">
        <f>SUMPRODUCT(Payroll!$E$52:$E$54,Payroll!S52:S54)</f>
        <v>0</v>
      </c>
      <c r="T55" s="620">
        <f>SUMPRODUCT(Payroll!$E$52:$E$54,Payroll!T52:T54)</f>
        <v>0</v>
      </c>
      <c r="U55" s="620">
        <f>SUMPRODUCT(Payroll!$E$52:$E$54,Payroll!U52:U54)</f>
        <v>0</v>
      </c>
      <c r="V55" s="620">
        <f>SUMPRODUCT(Payroll!$E$52:$E$54,Payroll!V52:V54)</f>
        <v>0</v>
      </c>
      <c r="W55" s="620">
        <f>SUMPRODUCT(Payroll!$E$52:$E$54,Payroll!W52:W54)</f>
        <v>0</v>
      </c>
      <c r="X55" s="543"/>
      <c r="Y55" s="541">
        <f>SUBTOTAL(9,Y51:Y54)</f>
        <v>0</v>
      </c>
      <c r="Z55" s="542"/>
      <c r="AA55" s="541">
        <f>SUBTOTAL(9,AA51:AA54)</f>
        <v>0</v>
      </c>
      <c r="AB55" s="542"/>
      <c r="AC55" s="541">
        <f>SUBTOTAL(9,AC51:AC54)</f>
        <v>0</v>
      </c>
      <c r="AD55" s="542"/>
      <c r="AE55" s="541">
        <f>SUBTOTAL(9,AE51:AE54)</f>
        <v>0</v>
      </c>
      <c r="AG55" s="482">
        <v>0.01</v>
      </c>
      <c r="AH55" s="482">
        <f>K55-AG55</f>
        <v>-0.01</v>
      </c>
    </row>
    <row r="56" spans="2:34" s="304" customFormat="1" ht="12" outlineLevel="1" x14ac:dyDescent="0.2">
      <c r="B56" s="305" t="s">
        <v>52</v>
      </c>
      <c r="C56" s="313" t="s">
        <v>203</v>
      </c>
      <c r="E56" s="323"/>
      <c r="F56" s="483"/>
      <c r="G56" s="483"/>
      <c r="H56" s="483"/>
      <c r="I56" s="345"/>
      <c r="J56" s="460"/>
      <c r="K56" s="445"/>
      <c r="L56" s="581"/>
      <c r="M56" s="581"/>
      <c r="N56" s="581"/>
      <c r="O56" s="581"/>
      <c r="P56" s="581"/>
      <c r="Q56" s="581"/>
      <c r="R56" s="581"/>
      <c r="S56" s="581"/>
      <c r="T56" s="581"/>
      <c r="U56" s="581"/>
      <c r="V56" s="581"/>
      <c r="W56" s="581"/>
      <c r="X56" s="376"/>
      <c r="Z56" s="306"/>
      <c r="AB56" s="306"/>
      <c r="AD56" s="306"/>
      <c r="AG56" s="446"/>
      <c r="AH56" s="446"/>
    </row>
    <row r="57" spans="2:34" s="304" customFormat="1" ht="12" outlineLevel="1" x14ac:dyDescent="0.2">
      <c r="B57" s="306"/>
      <c r="C57" s="488" t="s">
        <v>79</v>
      </c>
      <c r="D57" s="488" t="s">
        <v>317</v>
      </c>
      <c r="E57" s="489" t="s">
        <v>318</v>
      </c>
      <c r="F57" s="485" t="s">
        <v>84</v>
      </c>
      <c r="G57" s="462" t="s">
        <v>81</v>
      </c>
      <c r="H57" s="462"/>
      <c r="I57" s="485" t="s">
        <v>84</v>
      </c>
      <c r="J57" s="450" t="str">
        <f>$J$6</f>
        <v>FY21 -Full</v>
      </c>
      <c r="K57" s="490" t="s">
        <v>319</v>
      </c>
      <c r="L57" s="584" t="s">
        <v>156</v>
      </c>
      <c r="M57" s="584" t="s">
        <v>157</v>
      </c>
      <c r="N57" s="584" t="s">
        <v>158</v>
      </c>
      <c r="O57" s="584" t="s">
        <v>159</v>
      </c>
      <c r="P57" s="584" t="s">
        <v>160</v>
      </c>
      <c r="Q57" s="584" t="s">
        <v>161</v>
      </c>
      <c r="R57" s="584" t="s">
        <v>162</v>
      </c>
      <c r="S57" s="584" t="s">
        <v>163</v>
      </c>
      <c r="T57" s="584" t="s">
        <v>164</v>
      </c>
      <c r="U57" s="584" t="s">
        <v>165</v>
      </c>
      <c r="V57" s="584" t="s">
        <v>166</v>
      </c>
      <c r="W57" s="584" t="s">
        <v>167</v>
      </c>
      <c r="X57" s="653"/>
      <c r="Y57" s="465" t="str">
        <f>X$6</f>
        <v>FY22</v>
      </c>
      <c r="Z57" s="466" t="str">
        <f>IF(X57="","",X57)</f>
        <v/>
      </c>
      <c r="AA57" s="465" t="str">
        <f>$Z$6</f>
        <v>FY23</v>
      </c>
      <c r="AB57" s="466" t="str">
        <f>IF(Z57="","",Z57)</f>
        <v/>
      </c>
      <c r="AC57" s="465" t="str">
        <f>$AB$6</f>
        <v>FY24</v>
      </c>
      <c r="AD57" s="466" t="str">
        <f>IF(AB57="","",AB57)</f>
        <v/>
      </c>
      <c r="AE57" s="465" t="str">
        <f>$AD$6</f>
        <v>FY25</v>
      </c>
      <c r="AG57" s="446"/>
      <c r="AH57" s="446"/>
    </row>
    <row r="58" spans="2:34" s="304" customFormat="1" ht="12" outlineLevel="1" x14ac:dyDescent="0.2">
      <c r="B58" s="306"/>
      <c r="C58" s="533" t="s">
        <v>547</v>
      </c>
      <c r="D58" s="533" t="s">
        <v>510</v>
      </c>
      <c r="E58" s="534">
        <v>50</v>
      </c>
      <c r="F58" s="486" t="s">
        <v>84</v>
      </c>
      <c r="G58" s="664"/>
      <c r="H58" s="663">
        <f>IF(COUNTA(G58)=1,K58,0)</f>
        <v>0</v>
      </c>
      <c r="I58" s="486" t="s">
        <v>84</v>
      </c>
      <c r="J58" s="467">
        <f>E58*SUM(L58:W58)</f>
        <v>0</v>
      </c>
      <c r="K58" s="468">
        <f>E58*SUM(L58:W58)</f>
        <v>0</v>
      </c>
      <c r="L58" s="585"/>
      <c r="M58" s="585"/>
      <c r="N58" s="585"/>
      <c r="O58" s="585"/>
      <c r="P58" s="585"/>
      <c r="Q58" s="585"/>
      <c r="R58" s="585"/>
      <c r="S58" s="585"/>
      <c r="T58" s="585"/>
      <c r="U58" s="585"/>
      <c r="V58" s="585"/>
      <c r="W58" s="585"/>
      <c r="X58" s="464"/>
      <c r="Y58" s="469">
        <f>IF(J58="","",J58*(1+Y$7))</f>
        <v>0</v>
      </c>
      <c r="Z58" s="470"/>
      <c r="AA58" s="469">
        <f>IF(Y58="","",Y58*(1+AA$7))</f>
        <v>0</v>
      </c>
      <c r="AB58" s="470"/>
      <c r="AC58" s="469">
        <f>IF(AA58="","",AA58*(1+AC$7))</f>
        <v>0</v>
      </c>
      <c r="AD58" s="470"/>
      <c r="AE58" s="469">
        <f>IF(AC58="","",AC58*(1+AE$7))</f>
        <v>0</v>
      </c>
      <c r="AG58" s="446"/>
      <c r="AH58" s="446"/>
    </row>
    <row r="59" spans="2:34" s="304" customFormat="1" ht="12" outlineLevel="1" x14ac:dyDescent="0.2">
      <c r="B59" s="306"/>
      <c r="C59" s="537"/>
      <c r="D59" s="537"/>
      <c r="E59" s="538"/>
      <c r="F59" s="486" t="s">
        <v>84</v>
      </c>
      <c r="G59" s="664"/>
      <c r="H59" s="663">
        <f>IF(COUNTA(G59)=1,K59,0)</f>
        <v>0</v>
      </c>
      <c r="I59" s="486" t="s">
        <v>84</v>
      </c>
      <c r="J59" s="467">
        <f>E59*SUM(L59:W59)</f>
        <v>0</v>
      </c>
      <c r="K59" s="468">
        <f>E59*SUM(L59:W59)</f>
        <v>0</v>
      </c>
      <c r="L59" s="586"/>
      <c r="M59" s="586"/>
      <c r="N59" s="586"/>
      <c r="O59" s="586"/>
      <c r="P59" s="586"/>
      <c r="Q59" s="586"/>
      <c r="R59" s="586"/>
      <c r="S59" s="586"/>
      <c r="T59" s="586"/>
      <c r="U59" s="586"/>
      <c r="V59" s="586"/>
      <c r="W59" s="586"/>
      <c r="X59" s="464"/>
      <c r="Y59" s="469">
        <f t="shared" ref="Y59" si="59">IF(J59="","",J59*(1+Y$7))</f>
        <v>0</v>
      </c>
      <c r="Z59" s="470"/>
      <c r="AA59" s="469">
        <f t="shared" ref="AA59" si="60">IF(Y59="","",Y59*(1+AA$7))</f>
        <v>0</v>
      </c>
      <c r="AB59" s="470"/>
      <c r="AC59" s="469">
        <f t="shared" ref="AC59" si="61">IF(AA59="","",AA59*(1+AC$7))</f>
        <v>0</v>
      </c>
      <c r="AD59" s="470"/>
      <c r="AE59" s="469">
        <f t="shared" ref="AE59" si="62">IF(AC59="","",AC59*(1+AE$7))</f>
        <v>0</v>
      </c>
      <c r="AG59" s="471"/>
      <c r="AH59" s="471"/>
    </row>
    <row r="60" spans="2:34" s="304" customFormat="1" ht="6.6" customHeight="1" outlineLevel="1" thickBot="1" x14ac:dyDescent="0.25">
      <c r="B60" s="306"/>
      <c r="C60" s="308"/>
      <c r="D60" s="308"/>
      <c r="E60" s="307"/>
      <c r="F60" s="484"/>
      <c r="G60" s="484"/>
      <c r="H60" s="484"/>
      <c r="I60" s="473"/>
      <c r="J60" s="474"/>
      <c r="K60" s="475"/>
      <c r="L60" s="587"/>
      <c r="M60" s="587"/>
      <c r="N60" s="587"/>
      <c r="O60" s="587"/>
      <c r="P60" s="587"/>
      <c r="Q60" s="587"/>
      <c r="R60" s="587"/>
      <c r="S60" s="587"/>
      <c r="T60" s="587"/>
      <c r="U60" s="587"/>
      <c r="V60" s="587"/>
      <c r="W60" s="587"/>
      <c r="X60" s="375"/>
      <c r="Y60" s="476"/>
      <c r="Z60" s="309"/>
      <c r="AA60" s="476"/>
      <c r="AB60" s="309"/>
      <c r="AC60" s="476"/>
      <c r="AD60" s="309"/>
      <c r="AE60" s="476"/>
      <c r="AG60" s="471"/>
      <c r="AH60" s="471"/>
    </row>
    <row r="61" spans="2:34" s="313" customFormat="1" ht="12.75" thickBot="1" x14ac:dyDescent="0.25">
      <c r="B61" s="305"/>
      <c r="C61" s="308" t="str">
        <f>C56</f>
        <v>Extra Duties: Licensed Admin</v>
      </c>
      <c r="D61" s="477"/>
      <c r="E61" s="478"/>
      <c r="F61" s="644">
        <v>6164</v>
      </c>
      <c r="G61" s="644"/>
      <c r="H61" s="644"/>
      <c r="I61" s="645"/>
      <c r="J61" s="646">
        <f>SUBTOTAL(9,J57:J60)</f>
        <v>0</v>
      </c>
      <c r="K61" s="647">
        <f>SUBTOTAL(9,K57:K60)</f>
        <v>0</v>
      </c>
      <c r="L61" s="620">
        <f>SUMPRODUCT(Payroll!$E$58:$E$60,Payroll!L58:L60)</f>
        <v>0</v>
      </c>
      <c r="M61" s="620">
        <f>SUMPRODUCT(Payroll!$E$58:$E$60,Payroll!M58:M60)</f>
        <v>0</v>
      </c>
      <c r="N61" s="620">
        <f>SUMPRODUCT(Payroll!$E$58:$E$60,Payroll!N58:N60)</f>
        <v>0</v>
      </c>
      <c r="O61" s="620">
        <f>SUMPRODUCT(Payroll!$E$58:$E$60,Payroll!O58:O60)</f>
        <v>0</v>
      </c>
      <c r="P61" s="620">
        <f>SUMPRODUCT(Payroll!$E$58:$E$60,Payroll!P58:P60)</f>
        <v>0</v>
      </c>
      <c r="Q61" s="620">
        <f>SUMPRODUCT(Payroll!$E$58:$E$60,Payroll!Q58:Q60)</f>
        <v>0</v>
      </c>
      <c r="R61" s="620">
        <f>SUMPRODUCT(Payroll!$E$58:$E$60,Payroll!R58:R60)</f>
        <v>0</v>
      </c>
      <c r="S61" s="620">
        <f>SUMPRODUCT(Payroll!$E$58:$E$60,Payroll!S58:S60)</f>
        <v>0</v>
      </c>
      <c r="T61" s="620">
        <f>SUMPRODUCT(Payroll!$E$58:$E$60,Payroll!T58:T60)</f>
        <v>0</v>
      </c>
      <c r="U61" s="620">
        <f>SUMPRODUCT(Payroll!$E$58:$E$60,Payroll!U58:U60)</f>
        <v>0</v>
      </c>
      <c r="V61" s="620">
        <f>SUMPRODUCT(Payroll!$E$58:$E$60,Payroll!V58:V60)</f>
        <v>0</v>
      </c>
      <c r="W61" s="620">
        <f>SUMPRODUCT(Payroll!$E$58:$E$60,Payroll!W58:W60)</f>
        <v>0</v>
      </c>
      <c r="X61" s="544"/>
      <c r="Y61" s="545">
        <f>SUBTOTAL(9,Y57:Y60)</f>
        <v>0</v>
      </c>
      <c r="Z61" s="546"/>
      <c r="AA61" s="545">
        <f>SUBTOTAL(9,AA57:AA60)</f>
        <v>0</v>
      </c>
      <c r="AB61" s="546"/>
      <c r="AC61" s="545">
        <f>SUBTOTAL(9,AC57:AC60)</f>
        <v>0</v>
      </c>
      <c r="AD61" s="546"/>
      <c r="AE61" s="545">
        <f>SUBTOTAL(9,AE57:AE60)</f>
        <v>0</v>
      </c>
      <c r="AG61" s="482">
        <v>0.01</v>
      </c>
      <c r="AH61" s="482">
        <f>K61-AG61</f>
        <v>-0.01</v>
      </c>
    </row>
    <row r="62" spans="2:34" s="304" customFormat="1" ht="12" outlineLevel="1" x14ac:dyDescent="0.2">
      <c r="B62" s="305" t="s">
        <v>53</v>
      </c>
      <c r="C62" s="313" t="s">
        <v>212</v>
      </c>
      <c r="E62" s="323"/>
      <c r="F62" s="483"/>
      <c r="G62" s="483"/>
      <c r="H62" s="483"/>
      <c r="I62" s="345"/>
      <c r="J62" s="460"/>
      <c r="K62" s="445"/>
      <c r="L62" s="581"/>
      <c r="M62" s="581"/>
      <c r="N62" s="581"/>
      <c r="O62" s="581"/>
      <c r="P62" s="581"/>
      <c r="Q62" s="581"/>
      <c r="R62" s="581"/>
      <c r="S62" s="581"/>
      <c r="T62" s="581"/>
      <c r="U62" s="581"/>
      <c r="V62" s="581"/>
      <c r="W62" s="581"/>
      <c r="X62" s="376"/>
      <c r="Z62" s="306"/>
      <c r="AB62" s="306"/>
      <c r="AD62" s="306"/>
      <c r="AG62" s="446"/>
      <c r="AH62" s="446"/>
    </row>
    <row r="63" spans="2:34" s="304" customFormat="1" ht="12" outlineLevel="1" x14ac:dyDescent="0.2">
      <c r="B63" s="306"/>
      <c r="C63" s="488" t="s">
        <v>79</v>
      </c>
      <c r="D63" s="488" t="s">
        <v>317</v>
      </c>
      <c r="E63" s="489" t="s">
        <v>318</v>
      </c>
      <c r="F63" s="485" t="s">
        <v>84</v>
      </c>
      <c r="G63" s="462" t="s">
        <v>81</v>
      </c>
      <c r="H63" s="462"/>
      <c r="I63" s="485" t="s">
        <v>84</v>
      </c>
      <c r="J63" s="450" t="str">
        <f>$J$6</f>
        <v>FY21 -Full</v>
      </c>
      <c r="K63" s="490" t="s">
        <v>319</v>
      </c>
      <c r="L63" s="584" t="s">
        <v>156</v>
      </c>
      <c r="M63" s="584" t="s">
        <v>157</v>
      </c>
      <c r="N63" s="584" t="s">
        <v>158</v>
      </c>
      <c r="O63" s="584" t="s">
        <v>159</v>
      </c>
      <c r="P63" s="584" t="s">
        <v>160</v>
      </c>
      <c r="Q63" s="584" t="s">
        <v>161</v>
      </c>
      <c r="R63" s="584" t="s">
        <v>162</v>
      </c>
      <c r="S63" s="584" t="s">
        <v>163</v>
      </c>
      <c r="T63" s="584" t="s">
        <v>164</v>
      </c>
      <c r="U63" s="584" t="s">
        <v>165</v>
      </c>
      <c r="V63" s="584" t="s">
        <v>166</v>
      </c>
      <c r="W63" s="584" t="s">
        <v>167</v>
      </c>
      <c r="X63" s="653"/>
      <c r="Y63" s="465" t="str">
        <f>X$6</f>
        <v>FY22</v>
      </c>
      <c r="Z63" s="466" t="str">
        <f>IF(X63="","",X63)</f>
        <v/>
      </c>
      <c r="AA63" s="465" t="str">
        <f>$Z$6</f>
        <v>FY23</v>
      </c>
      <c r="AB63" s="466" t="str">
        <f>IF(Z63="","",Z63)</f>
        <v/>
      </c>
      <c r="AC63" s="465" t="str">
        <f>$AB$6</f>
        <v>FY24</v>
      </c>
      <c r="AD63" s="466" t="str">
        <f>IF(AB63="","",AB63)</f>
        <v/>
      </c>
      <c r="AE63" s="465" t="str">
        <f>$AD$6</f>
        <v>FY25</v>
      </c>
      <c r="AG63" s="446"/>
      <c r="AH63" s="446"/>
    </row>
    <row r="64" spans="2:34" s="304" customFormat="1" ht="12" outlineLevel="1" x14ac:dyDescent="0.2">
      <c r="B64" s="306"/>
      <c r="C64" s="533" t="s">
        <v>546</v>
      </c>
      <c r="D64" s="533" t="s">
        <v>511</v>
      </c>
      <c r="E64" s="534">
        <v>30</v>
      </c>
      <c r="F64" s="486" t="s">
        <v>84</v>
      </c>
      <c r="G64" s="664"/>
      <c r="H64" s="663">
        <f>IF(COUNTA(G64)=1,K64,0)</f>
        <v>0</v>
      </c>
      <c r="I64" s="486" t="s">
        <v>84</v>
      </c>
      <c r="J64" s="467">
        <f>E64*SUM(L64:W64)</f>
        <v>0</v>
      </c>
      <c r="K64" s="468">
        <f>E64*SUM(L64:W64)</f>
        <v>0</v>
      </c>
      <c r="L64" s="585"/>
      <c r="M64" s="585"/>
      <c r="N64" s="585"/>
      <c r="O64" s="585"/>
      <c r="P64" s="585"/>
      <c r="Q64" s="585"/>
      <c r="R64" s="585"/>
      <c r="S64" s="585"/>
      <c r="T64" s="585"/>
      <c r="U64" s="585"/>
      <c r="V64" s="585"/>
      <c r="W64" s="585"/>
      <c r="X64" s="464"/>
      <c r="Y64" s="469">
        <f>IF(J64="","",J64*(1+Y$7))</f>
        <v>0</v>
      </c>
      <c r="Z64" s="470"/>
      <c r="AA64" s="469">
        <f>IF(Y64="","",Y64*(1+AA$7))</f>
        <v>0</v>
      </c>
      <c r="AB64" s="470"/>
      <c r="AC64" s="469">
        <f>IF(AA64="","",AA64*(1+AC$7))</f>
        <v>0</v>
      </c>
      <c r="AD64" s="470"/>
      <c r="AE64" s="469">
        <f>IF(AC64="","",AC64*(1+AE$7))</f>
        <v>0</v>
      </c>
      <c r="AG64" s="446"/>
      <c r="AH64" s="446"/>
    </row>
    <row r="65" spans="2:34" s="304" customFormat="1" ht="12" outlineLevel="1" x14ac:dyDescent="0.2">
      <c r="B65" s="306"/>
      <c r="C65" s="537"/>
      <c r="D65" s="537"/>
      <c r="E65" s="538"/>
      <c r="F65" s="486" t="s">
        <v>84</v>
      </c>
      <c r="G65" s="664"/>
      <c r="H65" s="663">
        <f>IF(COUNTA(G65)=1,K65,0)</f>
        <v>0</v>
      </c>
      <c r="I65" s="486" t="s">
        <v>84</v>
      </c>
      <c r="J65" s="467">
        <f>E65*SUM(L65:W65)</f>
        <v>0</v>
      </c>
      <c r="K65" s="468">
        <f>E65*SUM(L65:W65)</f>
        <v>0</v>
      </c>
      <c r="L65" s="586"/>
      <c r="M65" s="586"/>
      <c r="N65" s="586"/>
      <c r="O65" s="586"/>
      <c r="P65" s="586"/>
      <c r="Q65" s="586"/>
      <c r="R65" s="586"/>
      <c r="S65" s="586"/>
      <c r="T65" s="586"/>
      <c r="U65" s="586"/>
      <c r="V65" s="586"/>
      <c r="W65" s="586"/>
      <c r="X65" s="464"/>
      <c r="Y65" s="469">
        <f t="shared" ref="Y65" si="63">IF(J65="","",J65*(1+Y$7))</f>
        <v>0</v>
      </c>
      <c r="Z65" s="470"/>
      <c r="AA65" s="469">
        <f t="shared" ref="AA65" si="64">IF(Y65="","",Y65*(1+AA$7))</f>
        <v>0</v>
      </c>
      <c r="AB65" s="470"/>
      <c r="AC65" s="469">
        <f t="shared" ref="AC65" si="65">IF(AA65="","",AA65*(1+AC$7))</f>
        <v>0</v>
      </c>
      <c r="AD65" s="470"/>
      <c r="AE65" s="469">
        <f t="shared" ref="AE65" si="66">IF(AC65="","",AC65*(1+AE$7))</f>
        <v>0</v>
      </c>
      <c r="AG65" s="446"/>
      <c r="AH65" s="446"/>
    </row>
    <row r="66" spans="2:34" s="304" customFormat="1" ht="6.6" customHeight="1" outlineLevel="1" thickBot="1" x14ac:dyDescent="0.25">
      <c r="B66" s="306"/>
      <c r="C66" s="308"/>
      <c r="D66" s="308"/>
      <c r="E66" s="307"/>
      <c r="F66" s="484"/>
      <c r="G66" s="484"/>
      <c r="H66" s="484"/>
      <c r="I66" s="473"/>
      <c r="J66" s="474"/>
      <c r="K66" s="475"/>
      <c r="L66" s="587"/>
      <c r="M66" s="587"/>
      <c r="N66" s="587"/>
      <c r="O66" s="587"/>
      <c r="P66" s="587"/>
      <c r="Q66" s="587"/>
      <c r="R66" s="587"/>
      <c r="S66" s="587"/>
      <c r="T66" s="587"/>
      <c r="U66" s="587"/>
      <c r="V66" s="587"/>
      <c r="W66" s="587"/>
      <c r="X66" s="375"/>
      <c r="Y66" s="476"/>
      <c r="Z66" s="309"/>
      <c r="AA66" s="476"/>
      <c r="AB66" s="309"/>
      <c r="AC66" s="476"/>
      <c r="AD66" s="309"/>
      <c r="AE66" s="476"/>
      <c r="AG66" s="446"/>
      <c r="AH66" s="446"/>
    </row>
    <row r="67" spans="2:34" s="313" customFormat="1" ht="12.75" thickBot="1" x14ac:dyDescent="0.25">
      <c r="B67" s="305"/>
      <c r="C67" s="308" t="str">
        <f>C62</f>
        <v>Extra Duties: Other Classified/Support Staff</v>
      </c>
      <c r="D67" s="477"/>
      <c r="E67" s="478"/>
      <c r="F67" s="644">
        <v>6167</v>
      </c>
      <c r="G67" s="644"/>
      <c r="H67" s="644"/>
      <c r="I67" s="645"/>
      <c r="J67" s="646">
        <f>SUBTOTAL(9,J63:J66)</f>
        <v>0</v>
      </c>
      <c r="K67" s="647">
        <f>SUBTOTAL(9,K63:K66)</f>
        <v>0</v>
      </c>
      <c r="L67" s="620">
        <f>SUMPRODUCT(Payroll!$E$64:$E$66,Payroll!L64:L66)</f>
        <v>0</v>
      </c>
      <c r="M67" s="620">
        <f>SUMPRODUCT(Payroll!$E$64:$E$66,Payroll!M64:M66)</f>
        <v>0</v>
      </c>
      <c r="N67" s="620">
        <f>SUMPRODUCT(Payroll!$E$64:$E$66,Payroll!N64:N66)</f>
        <v>0</v>
      </c>
      <c r="O67" s="620">
        <f>SUMPRODUCT(Payroll!$E$64:$E$66,Payroll!O64:O66)</f>
        <v>0</v>
      </c>
      <c r="P67" s="620">
        <f>SUMPRODUCT(Payroll!$E$64:$E$66,Payroll!P64:P66)</f>
        <v>0</v>
      </c>
      <c r="Q67" s="620">
        <f>SUMPRODUCT(Payroll!$E$64:$E$66,Payroll!Q64:Q66)</f>
        <v>0</v>
      </c>
      <c r="R67" s="620">
        <f>SUMPRODUCT(Payroll!$E$64:$E$66,Payroll!R64:R66)</f>
        <v>0</v>
      </c>
      <c r="S67" s="620">
        <f>SUMPRODUCT(Payroll!$E$64:$E$66,Payroll!S64:S66)</f>
        <v>0</v>
      </c>
      <c r="T67" s="620">
        <f>SUMPRODUCT(Payroll!$E$64:$E$66,Payroll!T64:T66)</f>
        <v>0</v>
      </c>
      <c r="U67" s="620">
        <f>SUMPRODUCT(Payroll!$E$64:$E$66,Payroll!U64:U66)</f>
        <v>0</v>
      </c>
      <c r="V67" s="620">
        <f>SUMPRODUCT(Payroll!$E$64:$E$66,Payroll!V64:V66)</f>
        <v>0</v>
      </c>
      <c r="W67" s="620">
        <f>SUMPRODUCT(Payroll!$E$64:$E$66,Payroll!W64:W66)</f>
        <v>0</v>
      </c>
      <c r="X67" s="543"/>
      <c r="Y67" s="541">
        <f>SUBTOTAL(9,Y63:Y66)</f>
        <v>0</v>
      </c>
      <c r="Z67" s="542"/>
      <c r="AA67" s="541">
        <f>SUBTOTAL(9,AA63:AA66)</f>
        <v>0</v>
      </c>
      <c r="AB67" s="542"/>
      <c r="AC67" s="541">
        <f>SUBTOTAL(9,AC63:AC66)</f>
        <v>0</v>
      </c>
      <c r="AD67" s="542"/>
      <c r="AE67" s="541">
        <f>SUBTOTAL(9,AE63:AE66)</f>
        <v>0</v>
      </c>
      <c r="AG67" s="482">
        <v>0.01</v>
      </c>
      <c r="AH67" s="482">
        <f>K67-AG67</f>
        <v>-0.01</v>
      </c>
    </row>
    <row r="68" spans="2:34" s="313" customFormat="1" ht="12" x14ac:dyDescent="0.2">
      <c r="B68" s="305"/>
      <c r="C68" s="491" t="s">
        <v>237</v>
      </c>
      <c r="D68" s="491"/>
      <c r="E68" s="492"/>
      <c r="F68" s="402"/>
      <c r="G68" s="402"/>
      <c r="H68" s="402"/>
      <c r="I68" s="493"/>
      <c r="J68" s="474">
        <f>SUBTOTAL(9,J8:J67)</f>
        <v>217234.592</v>
      </c>
      <c r="K68" s="341">
        <f>SUBTOTAL(9,K8:K67)</f>
        <v>151647.092</v>
      </c>
      <c r="L68" s="341">
        <f t="shared" ref="L68:V68" si="67">L67+L61+L55+L49+L43+L37+L31+L25+L19+L13</f>
        <v>11904.757666666666</v>
      </c>
      <c r="M68" s="341">
        <f t="shared" si="67"/>
        <v>13494.757666666666</v>
      </c>
      <c r="N68" s="341">
        <f t="shared" si="67"/>
        <v>13494.757666666666</v>
      </c>
      <c r="O68" s="341">
        <f t="shared" si="67"/>
        <v>12744.757666666666</v>
      </c>
      <c r="P68" s="341">
        <f t="shared" si="67"/>
        <v>11904.757666666666</v>
      </c>
      <c r="Q68" s="341">
        <f t="shared" si="67"/>
        <v>11904.757666666666</v>
      </c>
      <c r="R68" s="341">
        <f t="shared" si="67"/>
        <v>12654.757666666666</v>
      </c>
      <c r="S68" s="341">
        <f t="shared" si="67"/>
        <v>13494.757666666666</v>
      </c>
      <c r="T68" s="341">
        <f t="shared" si="67"/>
        <v>13584.757666666666</v>
      </c>
      <c r="U68" s="341">
        <f t="shared" si="67"/>
        <v>11904.757666666666</v>
      </c>
      <c r="V68" s="341">
        <f t="shared" si="67"/>
        <v>11904.757666666666</v>
      </c>
      <c r="W68" s="341">
        <f>W67+W61+W55+W49+W43+W37+W31+W25+W19+W13</f>
        <v>12654.757666666666</v>
      </c>
      <c r="X68" s="495"/>
      <c r="Y68" s="494">
        <f>SUBTOTAL(9,Y8:Y67)</f>
        <v>221579.28383999999</v>
      </c>
      <c r="Z68" s="477"/>
      <c r="AA68" s="494">
        <f>SUBTOTAL(9,AA8:AA67)</f>
        <v>226010.86951679998</v>
      </c>
      <c r="AB68" s="477"/>
      <c r="AC68" s="494">
        <f>SUBTOTAL(9,AC8:AC67)</f>
        <v>230531.08690713599</v>
      </c>
      <c r="AD68" s="477"/>
      <c r="AE68" s="494">
        <f>SUBTOTAL(9,AE8:AE67)</f>
        <v>235141.7086452787</v>
      </c>
      <c r="AG68" s="446"/>
      <c r="AH68" s="446"/>
    </row>
    <row r="69" spans="2:34" s="304" customFormat="1" ht="12" x14ac:dyDescent="0.2">
      <c r="B69" s="306"/>
      <c r="E69" s="323"/>
      <c r="F69" s="381"/>
      <c r="G69" s="381"/>
      <c r="H69" s="381"/>
      <c r="I69" s="345"/>
      <c r="K69" s="344"/>
      <c r="L69" s="581"/>
      <c r="M69" s="581"/>
      <c r="N69" s="581"/>
      <c r="O69" s="581"/>
      <c r="P69" s="581"/>
      <c r="Q69" s="581"/>
      <c r="R69" s="581"/>
      <c r="S69" s="581"/>
      <c r="T69" s="581"/>
      <c r="U69" s="581"/>
      <c r="V69" s="581"/>
      <c r="W69" s="581"/>
      <c r="X69" s="376"/>
      <c r="Z69" s="306"/>
      <c r="AB69" s="306"/>
      <c r="AD69" s="306"/>
      <c r="AG69" s="446"/>
      <c r="AH69" s="446"/>
    </row>
    <row r="70" spans="2:34" s="304" customFormat="1" ht="12" x14ac:dyDescent="0.2">
      <c r="B70" s="691" t="s">
        <v>85</v>
      </c>
      <c r="C70" s="692"/>
      <c r="D70" s="692"/>
      <c r="E70" s="692"/>
      <c r="F70" s="692"/>
      <c r="G70" s="692"/>
      <c r="H70" s="692"/>
      <c r="I70" s="692"/>
      <c r="J70" s="692"/>
      <c r="K70" s="692"/>
      <c r="L70" s="692"/>
      <c r="M70" s="692"/>
      <c r="N70" s="692"/>
      <c r="O70" s="692"/>
      <c r="P70" s="692"/>
      <c r="Q70" s="692"/>
      <c r="R70" s="692"/>
      <c r="S70" s="692"/>
      <c r="T70" s="692"/>
      <c r="U70" s="692"/>
      <c r="V70" s="692"/>
      <c r="W70" s="692"/>
      <c r="X70" s="692"/>
      <c r="Y70" s="692"/>
      <c r="Z70" s="692"/>
      <c r="AA70" s="692"/>
      <c r="AB70" s="692"/>
      <c r="AC70" s="692"/>
      <c r="AD70" s="692"/>
      <c r="AE70" s="693"/>
      <c r="AG70" s="471"/>
      <c r="AH70" s="471"/>
    </row>
    <row r="71" spans="2:34" s="304" customFormat="1" ht="12" x14ac:dyDescent="0.2">
      <c r="B71" s="477"/>
      <c r="C71" s="477"/>
      <c r="D71" s="477"/>
      <c r="E71" s="478"/>
      <c r="F71" s="382" t="s">
        <v>558</v>
      </c>
      <c r="G71" s="382"/>
      <c r="H71" s="382"/>
      <c r="I71" s="493"/>
      <c r="K71" s="496"/>
      <c r="L71" s="589"/>
      <c r="M71" s="589"/>
      <c r="N71" s="589"/>
      <c r="O71" s="589"/>
      <c r="P71" s="589"/>
      <c r="Q71" s="589"/>
      <c r="R71" s="589"/>
      <c r="S71" s="589"/>
      <c r="T71" s="589"/>
      <c r="U71" s="589"/>
      <c r="V71" s="589"/>
      <c r="W71" s="589"/>
      <c r="X71" s="495"/>
      <c r="Y71" s="477"/>
      <c r="Z71" s="477"/>
      <c r="AA71" s="477"/>
      <c r="AB71" s="477"/>
      <c r="AC71" s="477"/>
      <c r="AD71" s="477"/>
      <c r="AE71" s="477"/>
      <c r="AG71" s="446"/>
      <c r="AH71" s="446"/>
    </row>
    <row r="72" spans="2:34" s="304" customFormat="1" ht="12" x14ac:dyDescent="0.2">
      <c r="B72" s="305"/>
      <c r="C72" s="304" t="s">
        <v>89</v>
      </c>
      <c r="E72" s="323"/>
      <c r="F72" s="380">
        <v>2</v>
      </c>
      <c r="G72" s="661"/>
      <c r="H72" s="661"/>
      <c r="I72" s="345"/>
      <c r="K72" s="340">
        <f>F72*12</f>
        <v>24</v>
      </c>
      <c r="L72" s="521"/>
      <c r="M72" s="521"/>
      <c r="N72" s="521"/>
      <c r="O72" s="521"/>
      <c r="P72" s="521"/>
      <c r="Q72" s="521"/>
      <c r="R72" s="521"/>
      <c r="S72" s="521"/>
      <c r="T72" s="521"/>
      <c r="U72" s="521"/>
      <c r="V72" s="521"/>
      <c r="W72" s="521"/>
      <c r="X72" s="378"/>
      <c r="Y72" s="307">
        <f>K72*(1+Y$7)</f>
        <v>24.48</v>
      </c>
      <c r="Z72" s="308"/>
      <c r="AA72" s="307">
        <f>Y72*(1+AA$7)</f>
        <v>24.9696</v>
      </c>
      <c r="AB72" s="309"/>
      <c r="AC72" s="307">
        <f>AA72*(1+AC$7)</f>
        <v>25.468992</v>
      </c>
      <c r="AD72" s="309"/>
      <c r="AE72" s="307">
        <f>AC72*(1+AE$7)</f>
        <v>25.978371840000001</v>
      </c>
      <c r="AG72" s="446"/>
      <c r="AH72" s="446"/>
    </row>
    <row r="73" spans="2:34" s="304" customFormat="1" ht="12" x14ac:dyDescent="0.2">
      <c r="B73" s="305"/>
      <c r="C73" s="304" t="s">
        <v>90</v>
      </c>
      <c r="E73" s="323"/>
      <c r="F73" s="380">
        <v>12</v>
      </c>
      <c r="G73" s="661"/>
      <c r="H73" s="661"/>
      <c r="I73" s="345"/>
      <c r="K73" s="340">
        <f>F73*12</f>
        <v>144</v>
      </c>
      <c r="L73" s="521"/>
      <c r="M73" s="521"/>
      <c r="N73" s="521"/>
      <c r="O73" s="521"/>
      <c r="P73" s="521"/>
      <c r="Q73" s="521"/>
      <c r="R73" s="521"/>
      <c r="S73" s="521"/>
      <c r="T73" s="521"/>
      <c r="U73" s="521"/>
      <c r="V73" s="521"/>
      <c r="W73" s="521"/>
      <c r="X73" s="378"/>
      <c r="Y73" s="307">
        <f>K73*(1+Y$7)</f>
        <v>146.88</v>
      </c>
      <c r="Z73" s="308"/>
      <c r="AA73" s="307">
        <f t="shared" ref="AA73:AE74" si="68">Y73*(1+AA$7)</f>
        <v>149.8176</v>
      </c>
      <c r="AB73" s="309"/>
      <c r="AC73" s="307">
        <f t="shared" si="68"/>
        <v>152.813952</v>
      </c>
      <c r="AD73" s="309"/>
      <c r="AE73" s="307">
        <f t="shared" si="68"/>
        <v>155.87023103999999</v>
      </c>
      <c r="AG73" s="446"/>
      <c r="AH73" s="446"/>
    </row>
    <row r="74" spans="2:34" s="304" customFormat="1" ht="12" x14ac:dyDescent="0.2">
      <c r="B74" s="305"/>
      <c r="C74" s="304" t="s">
        <v>91</v>
      </c>
      <c r="E74" s="323"/>
      <c r="F74" s="380">
        <v>23</v>
      </c>
      <c r="G74" s="661"/>
      <c r="H74" s="661"/>
      <c r="I74" s="345"/>
      <c r="K74" s="340">
        <f>F74*12</f>
        <v>276</v>
      </c>
      <c r="L74" s="521"/>
      <c r="M74" s="521"/>
      <c r="N74" s="521"/>
      <c r="O74" s="521"/>
      <c r="P74" s="521"/>
      <c r="Q74" s="521"/>
      <c r="R74" s="521"/>
      <c r="S74" s="521"/>
      <c r="T74" s="521"/>
      <c r="U74" s="521"/>
      <c r="V74" s="521"/>
      <c r="W74" s="521"/>
      <c r="X74" s="378"/>
      <c r="Y74" s="307">
        <f>K74*(1+Y$7)</f>
        <v>281.52</v>
      </c>
      <c r="Z74" s="308"/>
      <c r="AA74" s="307">
        <f t="shared" si="68"/>
        <v>287.15039999999999</v>
      </c>
      <c r="AB74" s="309"/>
      <c r="AC74" s="307">
        <f t="shared" si="68"/>
        <v>292.89340800000002</v>
      </c>
      <c r="AD74" s="309"/>
      <c r="AE74" s="307">
        <f t="shared" si="68"/>
        <v>298.75127616000003</v>
      </c>
      <c r="AG74" s="446"/>
      <c r="AH74" s="446"/>
    </row>
    <row r="75" spans="2:34" s="304" customFormat="1" ht="12" x14ac:dyDescent="0.2">
      <c r="B75" s="305"/>
      <c r="C75" s="310" t="s">
        <v>88</v>
      </c>
      <c r="E75" s="323"/>
      <c r="F75" s="650">
        <f>SUM(F72:F74)</f>
        <v>37</v>
      </c>
      <c r="G75" s="650"/>
      <c r="H75" s="650"/>
      <c r="I75" s="345"/>
      <c r="K75" s="341">
        <f>SUM(K72:K74)</f>
        <v>444</v>
      </c>
      <c r="L75" s="588"/>
      <c r="M75" s="588"/>
      <c r="N75" s="588"/>
      <c r="O75" s="588"/>
      <c r="P75" s="588"/>
      <c r="Q75" s="588"/>
      <c r="R75" s="588"/>
      <c r="S75" s="588"/>
      <c r="T75" s="588"/>
      <c r="U75" s="588"/>
      <c r="V75" s="588"/>
      <c r="W75" s="588"/>
      <c r="X75" s="375"/>
      <c r="Y75" s="311">
        <f>SUM(Y72:Y74)</f>
        <v>452.88</v>
      </c>
      <c r="Z75" s="309"/>
      <c r="AA75" s="311">
        <f>SUM(AA72:AA74)</f>
        <v>461.93759999999997</v>
      </c>
      <c r="AB75" s="309"/>
      <c r="AC75" s="311">
        <f>SUM(AC72:AC74)</f>
        <v>471.17635200000001</v>
      </c>
      <c r="AD75" s="309"/>
      <c r="AE75" s="311">
        <f>SUM(AE72:AE74)</f>
        <v>480.59987904000002</v>
      </c>
      <c r="AG75" s="446"/>
      <c r="AH75" s="446"/>
    </row>
    <row r="76" spans="2:34" s="304" customFormat="1" ht="12" x14ac:dyDescent="0.2">
      <c r="B76" s="305"/>
      <c r="C76" s="310"/>
      <c r="E76" s="323"/>
      <c r="F76" s="381"/>
      <c r="G76" s="381"/>
      <c r="H76" s="381"/>
      <c r="I76" s="345"/>
      <c r="K76" s="342"/>
      <c r="L76" s="590"/>
      <c r="M76" s="590"/>
      <c r="N76" s="590"/>
      <c r="O76" s="590"/>
      <c r="P76" s="590"/>
      <c r="Q76" s="590"/>
      <c r="R76" s="590"/>
      <c r="S76" s="590"/>
      <c r="T76" s="590"/>
      <c r="U76" s="590"/>
      <c r="V76" s="590"/>
      <c r="W76" s="590"/>
      <c r="X76" s="376"/>
      <c r="Y76" s="312"/>
      <c r="Z76" s="306"/>
      <c r="AA76" s="312"/>
      <c r="AB76" s="306"/>
      <c r="AC76" s="312"/>
      <c r="AD76" s="306"/>
      <c r="AG76" s="446"/>
      <c r="AH76" s="446"/>
    </row>
    <row r="77" spans="2:34" s="304" customFormat="1" ht="12" x14ac:dyDescent="0.2">
      <c r="B77" s="305"/>
      <c r="C77" s="313" t="s">
        <v>86</v>
      </c>
      <c r="E77" s="323"/>
      <c r="F77" s="381"/>
      <c r="G77" s="381"/>
      <c r="H77" s="381"/>
      <c r="I77" s="345"/>
      <c r="K77" s="314">
        <v>6.2E-2</v>
      </c>
      <c r="L77" s="591"/>
      <c r="M77" s="591"/>
      <c r="N77" s="591"/>
      <c r="O77" s="591"/>
      <c r="P77" s="591"/>
      <c r="Q77" s="591"/>
      <c r="R77" s="591"/>
      <c r="S77" s="591"/>
      <c r="T77" s="591"/>
      <c r="U77" s="591"/>
      <c r="V77" s="591"/>
      <c r="W77" s="591"/>
      <c r="X77" s="376"/>
      <c r="Y77" s="316">
        <f t="shared" ref="Y77:Y82" si="69">K77</f>
        <v>6.2E-2</v>
      </c>
      <c r="Z77" s="306"/>
      <c r="AA77" s="316">
        <f>Y77</f>
        <v>6.2E-2</v>
      </c>
      <c r="AB77" s="306"/>
      <c r="AC77" s="316">
        <f>AA77</f>
        <v>6.2E-2</v>
      </c>
      <c r="AD77" s="306"/>
      <c r="AE77" s="316">
        <f>AC77</f>
        <v>6.2E-2</v>
      </c>
      <c r="AG77" s="446"/>
      <c r="AH77" s="446"/>
    </row>
    <row r="78" spans="2:34" s="304" customFormat="1" ht="12" x14ac:dyDescent="0.2">
      <c r="B78" s="305"/>
      <c r="C78" s="313" t="s">
        <v>247</v>
      </c>
      <c r="E78" s="325">
        <v>1.1520269999999999</v>
      </c>
      <c r="F78" s="381"/>
      <c r="G78" s="381"/>
      <c r="H78" s="381"/>
      <c r="I78" s="345"/>
      <c r="K78" s="314">
        <v>0.1525</v>
      </c>
      <c r="L78" s="587"/>
      <c r="M78" s="587"/>
      <c r="N78" s="587"/>
      <c r="O78" s="587"/>
      <c r="P78" s="587"/>
      <c r="Q78" s="587"/>
      <c r="R78" s="587"/>
      <c r="S78" s="587"/>
      <c r="T78" s="587"/>
      <c r="U78" s="587"/>
      <c r="V78" s="587"/>
      <c r="W78" s="587"/>
      <c r="X78" s="376"/>
      <c r="Y78" s="316">
        <f t="shared" si="69"/>
        <v>0.1525</v>
      </c>
      <c r="Z78" s="306"/>
      <c r="AA78" s="316">
        <f>Y78</f>
        <v>0.1525</v>
      </c>
      <c r="AB78" s="306"/>
      <c r="AC78" s="316">
        <f>AA78</f>
        <v>0.1525</v>
      </c>
      <c r="AD78" s="306"/>
      <c r="AE78" s="316">
        <f>AC78</f>
        <v>0.1525</v>
      </c>
      <c r="AG78" s="446"/>
      <c r="AH78" s="446"/>
    </row>
    <row r="79" spans="2:34" s="304" customFormat="1" ht="12" x14ac:dyDescent="0.2">
      <c r="B79" s="305"/>
      <c r="C79" s="313" t="s">
        <v>248</v>
      </c>
      <c r="E79" s="326">
        <v>6.2500000000000003E-3</v>
      </c>
      <c r="F79" s="381"/>
      <c r="G79" s="381"/>
      <c r="H79" s="381"/>
      <c r="I79" s="345"/>
      <c r="K79" s="314">
        <v>0.29249999999999998</v>
      </c>
      <c r="L79" s="587"/>
      <c r="M79" s="587"/>
      <c r="N79" s="587"/>
      <c r="O79" s="587"/>
      <c r="P79" s="587"/>
      <c r="Q79" s="587"/>
      <c r="R79" s="587"/>
      <c r="S79" s="587"/>
      <c r="T79" s="587"/>
      <c r="U79" s="587"/>
      <c r="V79" s="587"/>
      <c r="W79" s="587"/>
      <c r="X79" s="376"/>
      <c r="Y79" s="316">
        <f t="shared" si="69"/>
        <v>0.29249999999999998</v>
      </c>
      <c r="Z79" s="306"/>
      <c r="AA79" s="316">
        <f>Y79</f>
        <v>0.29249999999999998</v>
      </c>
      <c r="AB79" s="306"/>
      <c r="AC79" s="316">
        <f>AA79</f>
        <v>0.29249999999999998</v>
      </c>
      <c r="AD79" s="306"/>
      <c r="AE79" s="316">
        <f>AC79</f>
        <v>0.29249999999999998</v>
      </c>
      <c r="AG79" s="471"/>
      <c r="AH79" s="471"/>
    </row>
    <row r="80" spans="2:34" s="304" customFormat="1" ht="12" x14ac:dyDescent="0.2">
      <c r="B80" s="305"/>
      <c r="C80" s="313" t="s">
        <v>82</v>
      </c>
      <c r="E80" s="323"/>
      <c r="F80" s="381"/>
      <c r="G80" s="381"/>
      <c r="H80" s="381"/>
      <c r="I80" s="345"/>
      <c r="K80" s="314">
        <v>1.4500000000000001E-2</v>
      </c>
      <c r="L80" s="587"/>
      <c r="M80" s="587"/>
      <c r="N80" s="587"/>
      <c r="O80" s="587"/>
      <c r="P80" s="587"/>
      <c r="Q80" s="587"/>
      <c r="R80" s="587"/>
      <c r="S80" s="587"/>
      <c r="T80" s="587"/>
      <c r="U80" s="587"/>
      <c r="V80" s="587"/>
      <c r="W80" s="587"/>
      <c r="X80" s="376"/>
      <c r="Y80" s="316">
        <f t="shared" si="69"/>
        <v>1.4500000000000001E-2</v>
      </c>
      <c r="Z80" s="306"/>
      <c r="AA80" s="316">
        <f t="shared" ref="AA80:AE82" si="70">Y80</f>
        <v>1.4500000000000001E-2</v>
      </c>
      <c r="AB80" s="306"/>
      <c r="AC80" s="316">
        <f t="shared" si="70"/>
        <v>1.4500000000000001E-2</v>
      </c>
      <c r="AD80" s="306"/>
      <c r="AE80" s="316">
        <f t="shared" si="70"/>
        <v>1.4500000000000001E-2</v>
      </c>
      <c r="AG80" s="446"/>
      <c r="AH80" s="446"/>
    </row>
    <row r="81" spans="2:41" s="304" customFormat="1" ht="12" x14ac:dyDescent="0.2">
      <c r="B81" s="305"/>
      <c r="C81" s="313" t="s">
        <v>396</v>
      </c>
      <c r="E81" s="323"/>
      <c r="F81" s="381"/>
      <c r="G81" s="381"/>
      <c r="H81" s="381"/>
      <c r="I81" s="345"/>
      <c r="K81" s="314">
        <v>0.03</v>
      </c>
      <c r="L81" s="587"/>
      <c r="M81" s="587"/>
      <c r="N81" s="587"/>
      <c r="O81" s="587"/>
      <c r="P81" s="587"/>
      <c r="Q81" s="587"/>
      <c r="R81" s="587"/>
      <c r="S81" s="587"/>
      <c r="T81" s="587"/>
      <c r="U81" s="587"/>
      <c r="V81" s="587"/>
      <c r="W81" s="587"/>
      <c r="X81" s="376"/>
      <c r="Y81" s="316">
        <f t="shared" si="69"/>
        <v>0.03</v>
      </c>
      <c r="Z81" s="306"/>
      <c r="AA81" s="316">
        <f t="shared" si="70"/>
        <v>0.03</v>
      </c>
      <c r="AB81" s="306"/>
      <c r="AC81" s="316">
        <f t="shared" si="70"/>
        <v>0.03</v>
      </c>
      <c r="AD81" s="306"/>
      <c r="AE81" s="316">
        <f t="shared" si="70"/>
        <v>0.03</v>
      </c>
      <c r="AG81" s="446"/>
      <c r="AH81" s="446"/>
    </row>
    <row r="82" spans="2:41" s="304" customFormat="1" ht="12" x14ac:dyDescent="0.2">
      <c r="B82" s="305"/>
      <c r="C82" s="313" t="s">
        <v>83</v>
      </c>
      <c r="E82" s="323"/>
      <c r="F82" s="381"/>
      <c r="G82" s="381"/>
      <c r="H82" s="381"/>
      <c r="I82" s="345"/>
      <c r="K82" s="314">
        <v>6.4999999999999997E-3</v>
      </c>
      <c r="L82" s="587"/>
      <c r="M82" s="587"/>
      <c r="N82" s="587"/>
      <c r="O82" s="587"/>
      <c r="P82" s="587"/>
      <c r="Q82" s="587"/>
      <c r="R82" s="587"/>
      <c r="S82" s="587"/>
      <c r="T82" s="587"/>
      <c r="U82" s="587"/>
      <c r="V82" s="587"/>
      <c r="W82" s="587"/>
      <c r="X82" s="376"/>
      <c r="Y82" s="316">
        <f t="shared" si="69"/>
        <v>6.4999999999999997E-3</v>
      </c>
      <c r="Z82" s="306"/>
      <c r="AA82" s="316">
        <f t="shared" si="70"/>
        <v>6.4999999999999997E-3</v>
      </c>
      <c r="AB82" s="306"/>
      <c r="AC82" s="316">
        <f t="shared" si="70"/>
        <v>6.4999999999999997E-3</v>
      </c>
      <c r="AD82" s="306"/>
      <c r="AE82" s="316">
        <f t="shared" si="70"/>
        <v>6.4999999999999997E-3</v>
      </c>
      <c r="AG82" s="446"/>
      <c r="AH82" s="446"/>
    </row>
    <row r="83" spans="2:41" s="318" customFormat="1" ht="12" x14ac:dyDescent="0.2">
      <c r="B83" s="319"/>
      <c r="C83" s="320" t="s">
        <v>87</v>
      </c>
      <c r="D83" s="320"/>
      <c r="E83" s="324"/>
      <c r="F83" s="382" t="s">
        <v>558</v>
      </c>
      <c r="G83" s="382"/>
      <c r="H83" s="382"/>
      <c r="I83" s="346"/>
      <c r="K83" s="343" t="s">
        <v>84</v>
      </c>
      <c r="L83" s="592"/>
      <c r="M83" s="592"/>
      <c r="N83" s="592"/>
      <c r="O83" s="592"/>
      <c r="P83" s="592"/>
      <c r="Q83" s="592"/>
      <c r="R83" s="592"/>
      <c r="S83" s="592"/>
      <c r="T83" s="592"/>
      <c r="U83" s="592"/>
      <c r="V83" s="592"/>
      <c r="W83" s="592"/>
      <c r="X83" s="377"/>
      <c r="Y83" s="322">
        <v>0.1</v>
      </c>
      <c r="Z83" s="321"/>
      <c r="AA83" s="322">
        <v>0.1</v>
      </c>
      <c r="AB83" s="321"/>
      <c r="AC83" s="322">
        <v>0.1</v>
      </c>
      <c r="AD83" s="321"/>
      <c r="AE83" s="322">
        <v>0.1</v>
      </c>
      <c r="AG83" s="446"/>
      <c r="AH83" s="446"/>
    </row>
    <row r="84" spans="2:41" s="318" customFormat="1" ht="12" x14ac:dyDescent="0.2">
      <c r="B84" s="319"/>
      <c r="C84" s="304" t="s">
        <v>92</v>
      </c>
      <c r="D84" s="304"/>
      <c r="E84" s="323"/>
      <c r="F84" s="383">
        <v>350</v>
      </c>
      <c r="G84" s="662"/>
      <c r="H84" s="662"/>
      <c r="I84" s="345"/>
      <c r="K84" s="340">
        <f>F84*12</f>
        <v>4200</v>
      </c>
      <c r="L84" s="521"/>
      <c r="M84" s="521"/>
      <c r="N84" s="521"/>
      <c r="O84" s="521"/>
      <c r="P84" s="521"/>
      <c r="Q84" s="521"/>
      <c r="R84" s="521"/>
      <c r="S84" s="521"/>
      <c r="T84" s="521"/>
      <c r="U84" s="521"/>
      <c r="V84" s="521"/>
      <c r="W84" s="521"/>
      <c r="X84" s="379"/>
      <c r="Y84" s="307">
        <f>K84*(1+Y$83)</f>
        <v>4620</v>
      </c>
      <c r="Z84" s="308"/>
      <c r="AA84" s="307">
        <f>Y84*(1+AA$83)</f>
        <v>5082</v>
      </c>
      <c r="AB84" s="309"/>
      <c r="AC84" s="307">
        <f>AA84*(1+AC$83)</f>
        <v>5590.2000000000007</v>
      </c>
      <c r="AD84" s="309"/>
      <c r="AE84" s="307">
        <f>AC84*(1+AE$83)</f>
        <v>6149.2200000000012</v>
      </c>
      <c r="AG84" s="446"/>
      <c r="AH84" s="446"/>
    </row>
    <row r="85" spans="2:41" s="318" customFormat="1" ht="12" x14ac:dyDescent="0.2">
      <c r="B85" s="319"/>
      <c r="C85" s="304" t="s">
        <v>93</v>
      </c>
      <c r="D85" s="304"/>
      <c r="E85" s="323"/>
      <c r="F85" s="383">
        <v>35</v>
      </c>
      <c r="G85" s="662"/>
      <c r="H85" s="662"/>
      <c r="I85" s="345"/>
      <c r="K85" s="340">
        <f>F85*12</f>
        <v>420</v>
      </c>
      <c r="L85" s="521"/>
      <c r="M85" s="521"/>
      <c r="N85" s="521"/>
      <c r="O85" s="521"/>
      <c r="P85" s="521"/>
      <c r="Q85" s="521"/>
      <c r="R85" s="521"/>
      <c r="S85" s="521"/>
      <c r="T85" s="521"/>
      <c r="U85" s="521"/>
      <c r="V85" s="521"/>
      <c r="W85" s="521"/>
      <c r="X85" s="379"/>
      <c r="Y85" s="307">
        <f>K85*(1+Y$83)</f>
        <v>462.00000000000006</v>
      </c>
      <c r="Z85" s="308"/>
      <c r="AA85" s="307">
        <f t="shared" ref="AA85:AE86" si="71">Y85*(1+AA$83)</f>
        <v>508.2000000000001</v>
      </c>
      <c r="AB85" s="309"/>
      <c r="AC85" s="307">
        <f t="shared" si="71"/>
        <v>559.02000000000021</v>
      </c>
      <c r="AD85" s="309"/>
      <c r="AE85" s="307">
        <f t="shared" si="71"/>
        <v>614.92200000000025</v>
      </c>
      <c r="AG85" s="446"/>
      <c r="AH85" s="446"/>
    </row>
    <row r="86" spans="2:41" s="318" customFormat="1" ht="12" x14ac:dyDescent="0.2">
      <c r="B86" s="319"/>
      <c r="C86" s="304" t="s">
        <v>94</v>
      </c>
      <c r="D86" s="304"/>
      <c r="E86" s="323"/>
      <c r="F86" s="383">
        <v>20</v>
      </c>
      <c r="G86" s="662"/>
      <c r="H86" s="662"/>
      <c r="I86" s="345"/>
      <c r="K86" s="340">
        <f>F86*12</f>
        <v>240</v>
      </c>
      <c r="L86" s="521"/>
      <c r="M86" s="521"/>
      <c r="N86" s="521"/>
      <c r="O86" s="521"/>
      <c r="P86" s="521"/>
      <c r="Q86" s="521"/>
      <c r="R86" s="521"/>
      <c r="S86" s="521"/>
      <c r="T86" s="521"/>
      <c r="U86" s="521"/>
      <c r="V86" s="521"/>
      <c r="W86" s="521"/>
      <c r="X86" s="379"/>
      <c r="Y86" s="307">
        <f>K86*(1+Y$83)</f>
        <v>264</v>
      </c>
      <c r="Z86" s="308"/>
      <c r="AA86" s="307">
        <f t="shared" si="71"/>
        <v>290.40000000000003</v>
      </c>
      <c r="AB86" s="309"/>
      <c r="AC86" s="307">
        <f t="shared" si="71"/>
        <v>319.44000000000005</v>
      </c>
      <c r="AD86" s="309"/>
      <c r="AE86" s="307">
        <f t="shared" si="71"/>
        <v>351.38400000000007</v>
      </c>
      <c r="AG86" s="446"/>
      <c r="AH86" s="446"/>
    </row>
    <row r="87" spans="2:41" s="304" customFormat="1" ht="12" x14ac:dyDescent="0.2">
      <c r="B87" s="305"/>
      <c r="C87" s="310" t="s">
        <v>95</v>
      </c>
      <c r="E87" s="323"/>
      <c r="F87" s="342">
        <f>SUM(F84:F86)</f>
        <v>405</v>
      </c>
      <c r="G87" s="342"/>
      <c r="H87" s="342"/>
      <c r="I87" s="345"/>
      <c r="K87" s="342">
        <f>SUM(K84:K86)</f>
        <v>4860</v>
      </c>
      <c r="L87" s="590"/>
      <c r="M87" s="590"/>
      <c r="N87" s="590"/>
      <c r="O87" s="590"/>
      <c r="P87" s="590"/>
      <c r="Q87" s="590"/>
      <c r="R87" s="590"/>
      <c r="S87" s="590"/>
      <c r="T87" s="590"/>
      <c r="U87" s="590"/>
      <c r="V87" s="590"/>
      <c r="W87" s="590"/>
      <c r="X87" s="376"/>
      <c r="Y87" s="312">
        <f>SUM(Y84:Y86)</f>
        <v>5346</v>
      </c>
      <c r="Z87" s="306"/>
      <c r="AA87" s="312">
        <f>SUM(AA84:AA86)</f>
        <v>5880.5999999999995</v>
      </c>
      <c r="AB87" s="306"/>
      <c r="AC87" s="312">
        <f>SUM(AC84:AC86)</f>
        <v>6468.6600000000017</v>
      </c>
      <c r="AD87" s="306"/>
      <c r="AE87" s="312">
        <f>SUM(AE84:AE86)</f>
        <v>7115.5260000000017</v>
      </c>
      <c r="AF87" s="308"/>
      <c r="AG87" s="446"/>
      <c r="AH87" s="446"/>
    </row>
    <row r="88" spans="2:41" s="304" customFormat="1" ht="12" x14ac:dyDescent="0.2">
      <c r="B88" s="306"/>
      <c r="E88" s="323"/>
      <c r="F88" s="381"/>
      <c r="G88" s="381"/>
      <c r="H88" s="381"/>
      <c r="I88" s="345"/>
      <c r="K88" s="344"/>
      <c r="L88" s="581"/>
      <c r="M88" s="581"/>
      <c r="N88" s="581"/>
      <c r="O88" s="581"/>
      <c r="P88" s="581"/>
      <c r="Q88" s="581"/>
      <c r="R88" s="581"/>
      <c r="S88" s="581"/>
      <c r="T88" s="581"/>
      <c r="U88" s="581"/>
      <c r="V88" s="581"/>
      <c r="W88" s="581"/>
      <c r="X88" s="376"/>
      <c r="Z88" s="306"/>
      <c r="AB88" s="306"/>
      <c r="AD88" s="306"/>
      <c r="AG88" s="446"/>
      <c r="AH88" s="446"/>
    </row>
    <row r="89" spans="2:41" x14ac:dyDescent="0.25">
      <c r="K89" s="501"/>
      <c r="AG89" s="471"/>
      <c r="AH89" s="471"/>
    </row>
    <row r="90" spans="2:41" outlineLevel="1" x14ac:dyDescent="0.25">
      <c r="B90" s="503">
        <v>6211</v>
      </c>
      <c r="C90" s="504" t="s">
        <v>199</v>
      </c>
      <c r="D90" s="505"/>
      <c r="E90" s="506"/>
      <c r="F90" s="507"/>
      <c r="G90" s="507"/>
      <c r="H90" s="507"/>
      <c r="I90" s="508"/>
      <c r="J90" s="505"/>
      <c r="K90" s="509">
        <f>K75*I13</f>
        <v>444</v>
      </c>
      <c r="L90" s="509">
        <f t="shared" ref="L90:W90" si="72">SUM(L10:L12)*$F$75</f>
        <v>37</v>
      </c>
      <c r="M90" s="509">
        <f t="shared" si="72"/>
        <v>37</v>
      </c>
      <c r="N90" s="509">
        <f t="shared" si="72"/>
        <v>37</v>
      </c>
      <c r="O90" s="509">
        <f t="shared" si="72"/>
        <v>37</v>
      </c>
      <c r="P90" s="509">
        <f t="shared" si="72"/>
        <v>37</v>
      </c>
      <c r="Q90" s="509">
        <f t="shared" si="72"/>
        <v>37</v>
      </c>
      <c r="R90" s="509">
        <f t="shared" si="72"/>
        <v>37</v>
      </c>
      <c r="S90" s="509">
        <f t="shared" si="72"/>
        <v>37</v>
      </c>
      <c r="T90" s="509">
        <f t="shared" si="72"/>
        <v>37</v>
      </c>
      <c r="U90" s="509">
        <f t="shared" si="72"/>
        <v>37</v>
      </c>
      <c r="V90" s="509">
        <f t="shared" si="72"/>
        <v>37</v>
      </c>
      <c r="W90" s="509">
        <f t="shared" si="72"/>
        <v>37</v>
      </c>
      <c r="X90" s="511"/>
      <c r="Y90" s="510">
        <f>Y75*X13</f>
        <v>452.88</v>
      </c>
      <c r="Z90" s="512"/>
      <c r="AA90" s="510">
        <f>AA75*Z13</f>
        <v>461.93759999999997</v>
      </c>
      <c r="AB90" s="513"/>
      <c r="AC90" s="510">
        <f>AC75*AB13</f>
        <v>471.17635200000001</v>
      </c>
      <c r="AD90" s="513"/>
      <c r="AE90" s="510">
        <f>AE75*AD13</f>
        <v>480.59987904000002</v>
      </c>
      <c r="AG90" s="482">
        <f>VLOOKUP(B90,'FY21'!C:AC,22)</f>
        <v>0</v>
      </c>
      <c r="AH90" s="482">
        <f>K90-AG90</f>
        <v>444</v>
      </c>
    </row>
    <row r="91" spans="2:41" outlineLevel="1" x14ac:dyDescent="0.25">
      <c r="B91" s="503">
        <v>6214</v>
      </c>
      <c r="C91" s="504" t="s">
        <v>204</v>
      </c>
      <c r="D91" s="505"/>
      <c r="E91" s="506"/>
      <c r="F91" s="507"/>
      <c r="G91" s="507"/>
      <c r="H91" s="507"/>
      <c r="I91" s="508"/>
      <c r="J91" s="505"/>
      <c r="K91" s="509">
        <f>K75*I19</f>
        <v>0</v>
      </c>
      <c r="L91" s="514">
        <f t="shared" ref="L91:W91" si="73">SUM(L16:L18)*$F$75</f>
        <v>9.25</v>
      </c>
      <c r="M91" s="514">
        <f t="shared" si="73"/>
        <v>9.25</v>
      </c>
      <c r="N91" s="514">
        <f t="shared" si="73"/>
        <v>9.25</v>
      </c>
      <c r="O91" s="514">
        <f t="shared" si="73"/>
        <v>9.25</v>
      </c>
      <c r="P91" s="514">
        <f t="shared" si="73"/>
        <v>9.25</v>
      </c>
      <c r="Q91" s="514">
        <f t="shared" si="73"/>
        <v>9.25</v>
      </c>
      <c r="R91" s="514">
        <f t="shared" si="73"/>
        <v>9.25</v>
      </c>
      <c r="S91" s="514">
        <f t="shared" si="73"/>
        <v>9.25</v>
      </c>
      <c r="T91" s="514">
        <f t="shared" si="73"/>
        <v>9.25</v>
      </c>
      <c r="U91" s="514">
        <f t="shared" si="73"/>
        <v>9.25</v>
      </c>
      <c r="V91" s="514">
        <f t="shared" si="73"/>
        <v>9.25</v>
      </c>
      <c r="W91" s="514">
        <f t="shared" si="73"/>
        <v>9.25</v>
      </c>
      <c r="X91" s="511"/>
      <c r="Y91" s="514">
        <f>Y75*X19</f>
        <v>0</v>
      </c>
      <c r="Z91" s="515"/>
      <c r="AA91" s="514">
        <f>AA75*Z19</f>
        <v>0</v>
      </c>
      <c r="AB91" s="516"/>
      <c r="AC91" s="514">
        <f>AC75*AB19</f>
        <v>0</v>
      </c>
      <c r="AD91" s="516"/>
      <c r="AE91" s="514">
        <f>AE75*AD19</f>
        <v>0</v>
      </c>
      <c r="AG91" s="482">
        <f>VLOOKUP(B91,'FY21'!C:AC,22)</f>
        <v>-333</v>
      </c>
      <c r="AH91" s="482">
        <f t="shared" ref="AH91:AH114" si="74">K91-AG91</f>
        <v>333</v>
      </c>
    </row>
    <row r="92" spans="2:41" outlineLevel="1" x14ac:dyDescent="0.25">
      <c r="B92" s="503">
        <v>6217</v>
      </c>
      <c r="C92" s="504" t="s">
        <v>201</v>
      </c>
      <c r="D92" s="505"/>
      <c r="E92" s="506"/>
      <c r="F92" s="507"/>
      <c r="G92" s="507"/>
      <c r="H92" s="507"/>
      <c r="I92" s="508"/>
      <c r="J92" s="505"/>
      <c r="K92" s="509">
        <f>K75*I25</f>
        <v>444</v>
      </c>
      <c r="L92" s="514">
        <f t="shared" ref="L92:W92" si="75">SUM(L22:L24)*$F$75</f>
        <v>37</v>
      </c>
      <c r="M92" s="514">
        <f t="shared" si="75"/>
        <v>37</v>
      </c>
      <c r="N92" s="514">
        <f t="shared" si="75"/>
        <v>37</v>
      </c>
      <c r="O92" s="514">
        <f t="shared" si="75"/>
        <v>37</v>
      </c>
      <c r="P92" s="514">
        <f t="shared" si="75"/>
        <v>37</v>
      </c>
      <c r="Q92" s="514">
        <f t="shared" si="75"/>
        <v>37</v>
      </c>
      <c r="R92" s="514">
        <f t="shared" si="75"/>
        <v>37</v>
      </c>
      <c r="S92" s="514">
        <f t="shared" si="75"/>
        <v>37</v>
      </c>
      <c r="T92" s="514">
        <f t="shared" si="75"/>
        <v>37</v>
      </c>
      <c r="U92" s="514">
        <f t="shared" si="75"/>
        <v>37</v>
      </c>
      <c r="V92" s="514">
        <f t="shared" si="75"/>
        <v>37</v>
      </c>
      <c r="W92" s="514">
        <f t="shared" si="75"/>
        <v>37</v>
      </c>
      <c r="X92" s="511"/>
      <c r="Y92" s="514">
        <f>Y75*X25</f>
        <v>452.88</v>
      </c>
      <c r="Z92" s="515"/>
      <c r="AA92" s="514">
        <f>AA75*Z25</f>
        <v>461.93759999999997</v>
      </c>
      <c r="AB92" s="516"/>
      <c r="AC92" s="514">
        <f>AC75*AB25</f>
        <v>471.17635200000001</v>
      </c>
      <c r="AD92" s="516"/>
      <c r="AE92" s="514">
        <f>AE75*AD25</f>
        <v>480.59987904000002</v>
      </c>
      <c r="AG92" s="482">
        <f>VLOOKUP(B92,'FY21'!C:AC,22)</f>
        <v>444</v>
      </c>
      <c r="AH92" s="482">
        <f t="shared" si="74"/>
        <v>0</v>
      </c>
    </row>
    <row r="93" spans="2:41" x14ac:dyDescent="0.25">
      <c r="B93" s="517"/>
      <c r="C93" s="518" t="s">
        <v>238</v>
      </c>
      <c r="D93" s="505"/>
      <c r="E93" s="506"/>
      <c r="F93" s="507"/>
      <c r="G93" s="507"/>
      <c r="H93" s="507"/>
      <c r="I93" s="508"/>
      <c r="J93" s="505"/>
      <c r="K93" s="648">
        <f>SUBTOTAL(9,K90:K92)</f>
        <v>888</v>
      </c>
      <c r="L93" s="648">
        <f>SUBTOTAL(9,L90:L92)</f>
        <v>83.25</v>
      </c>
      <c r="M93" s="648">
        <f t="shared" ref="M93:W93" si="76">SUBTOTAL(9,M90:M92)</f>
        <v>83.25</v>
      </c>
      <c r="N93" s="648">
        <f t="shared" si="76"/>
        <v>83.25</v>
      </c>
      <c r="O93" s="648">
        <f t="shared" si="76"/>
        <v>83.25</v>
      </c>
      <c r="P93" s="648">
        <f t="shared" si="76"/>
        <v>83.25</v>
      </c>
      <c r="Q93" s="648">
        <f t="shared" si="76"/>
        <v>83.25</v>
      </c>
      <c r="R93" s="648">
        <f t="shared" si="76"/>
        <v>83.25</v>
      </c>
      <c r="S93" s="648">
        <f t="shared" si="76"/>
        <v>83.25</v>
      </c>
      <c r="T93" s="648">
        <f t="shared" si="76"/>
        <v>83.25</v>
      </c>
      <c r="U93" s="648">
        <f t="shared" si="76"/>
        <v>83.25</v>
      </c>
      <c r="V93" s="648">
        <f t="shared" si="76"/>
        <v>83.25</v>
      </c>
      <c r="W93" s="648">
        <f t="shared" si="76"/>
        <v>83.25</v>
      </c>
      <c r="X93" s="511"/>
      <c r="Y93" s="519">
        <f>SUBTOTAL(9,Y90:Y92)</f>
        <v>905.76</v>
      </c>
      <c r="Z93" s="515"/>
      <c r="AA93" s="519">
        <f>SUBTOTAL(9,AA90:AA92)</f>
        <v>923.87519999999995</v>
      </c>
      <c r="AB93" s="516"/>
      <c r="AC93" s="519">
        <f>SUBTOTAL(9,AC90:AC92)</f>
        <v>942.35270400000002</v>
      </c>
      <c r="AD93" s="516"/>
      <c r="AE93" s="519">
        <f>SUBTOTAL(9,AE90:AE92)</f>
        <v>961.19975808000004</v>
      </c>
      <c r="AG93" s="482"/>
      <c r="AH93" s="482"/>
      <c r="AI93" s="520"/>
      <c r="AJ93" s="520"/>
      <c r="AK93" s="520"/>
      <c r="AL93" s="520"/>
      <c r="AM93" s="520"/>
      <c r="AN93" s="520"/>
      <c r="AO93" s="520"/>
    </row>
    <row r="94" spans="2:41" outlineLevel="1" x14ac:dyDescent="0.25">
      <c r="B94" s="376">
        <v>6227</v>
      </c>
      <c r="C94" s="304" t="s">
        <v>222</v>
      </c>
      <c r="K94" s="522">
        <f>K77*(K31)</f>
        <v>644.79999999999995</v>
      </c>
      <c r="L94" s="522">
        <f t="shared" ref="L94:W94" si="77">$K$77*(L31)</f>
        <v>53.733333333333327</v>
      </c>
      <c r="M94" s="522">
        <f t="shared" si="77"/>
        <v>53.733333333333327</v>
      </c>
      <c r="N94" s="522">
        <f t="shared" si="77"/>
        <v>53.733333333333327</v>
      </c>
      <c r="O94" s="522">
        <f t="shared" si="77"/>
        <v>53.733333333333327</v>
      </c>
      <c r="P94" s="522">
        <f t="shared" si="77"/>
        <v>53.733333333333327</v>
      </c>
      <c r="Q94" s="522">
        <f t="shared" si="77"/>
        <v>53.733333333333327</v>
      </c>
      <c r="R94" s="522">
        <f t="shared" si="77"/>
        <v>53.733333333333327</v>
      </c>
      <c r="S94" s="522">
        <f t="shared" si="77"/>
        <v>53.733333333333327</v>
      </c>
      <c r="T94" s="522">
        <f t="shared" si="77"/>
        <v>53.733333333333327</v>
      </c>
      <c r="U94" s="522">
        <f t="shared" si="77"/>
        <v>53.733333333333327</v>
      </c>
      <c r="V94" s="522">
        <f t="shared" si="77"/>
        <v>53.733333333333327</v>
      </c>
      <c r="W94" s="522">
        <f t="shared" si="77"/>
        <v>53.733333333333327</v>
      </c>
      <c r="X94" s="379"/>
      <c r="Y94" s="522">
        <f>Y77*(Y31)</f>
        <v>657.69600000000003</v>
      </c>
      <c r="Z94" s="409"/>
      <c r="AA94" s="522">
        <f>AA77*(AA31)</f>
        <v>670.84992</v>
      </c>
      <c r="AB94" s="523"/>
      <c r="AC94" s="522">
        <f>AC77*(AC31)</f>
        <v>684.26691840000001</v>
      </c>
      <c r="AD94" s="523"/>
      <c r="AE94" s="522">
        <f>AE77*(AE31)</f>
        <v>697.95225676799998</v>
      </c>
      <c r="AG94" s="482">
        <f>VLOOKUP(B94,'FY21'!C:AC,22)</f>
        <v>644.80000000000007</v>
      </c>
      <c r="AH94" s="482">
        <f t="shared" si="74"/>
        <v>0</v>
      </c>
    </row>
    <row r="95" spans="2:41" x14ac:dyDescent="0.25">
      <c r="B95" s="306"/>
      <c r="C95" s="313" t="s">
        <v>86</v>
      </c>
      <c r="K95" s="649">
        <f>SUBTOTAL(9,K94:K94)</f>
        <v>644.79999999999995</v>
      </c>
      <c r="L95" s="649">
        <f>SUBTOTAL(9,L94:L94)</f>
        <v>53.733333333333327</v>
      </c>
      <c r="M95" s="649">
        <f t="shared" ref="M95:W95" si="78">SUBTOTAL(9,M94:M94)</f>
        <v>53.733333333333327</v>
      </c>
      <c r="N95" s="649">
        <f t="shared" si="78"/>
        <v>53.733333333333327</v>
      </c>
      <c r="O95" s="649">
        <f t="shared" si="78"/>
        <v>53.733333333333327</v>
      </c>
      <c r="P95" s="649">
        <f t="shared" si="78"/>
        <v>53.733333333333327</v>
      </c>
      <c r="Q95" s="649">
        <f t="shared" si="78"/>
        <v>53.733333333333327</v>
      </c>
      <c r="R95" s="649">
        <f t="shared" si="78"/>
        <v>53.733333333333327</v>
      </c>
      <c r="S95" s="649">
        <f t="shared" si="78"/>
        <v>53.733333333333327</v>
      </c>
      <c r="T95" s="649">
        <f t="shared" si="78"/>
        <v>53.733333333333327</v>
      </c>
      <c r="U95" s="649">
        <f t="shared" si="78"/>
        <v>53.733333333333327</v>
      </c>
      <c r="V95" s="649">
        <f t="shared" si="78"/>
        <v>53.733333333333327</v>
      </c>
      <c r="W95" s="649">
        <f t="shared" si="78"/>
        <v>53.733333333333327</v>
      </c>
      <c r="X95" s="379"/>
      <c r="Y95" s="524">
        <f>SUBTOTAL(9,Y94:Y94)</f>
        <v>657.69600000000003</v>
      </c>
      <c r="Z95" s="409"/>
      <c r="AA95" s="524">
        <f>SUBTOTAL(9,AA94:AA94)</f>
        <v>670.84992</v>
      </c>
      <c r="AB95" s="523"/>
      <c r="AC95" s="524">
        <f>SUBTOTAL(9,AC94:AC94)</f>
        <v>684.26691840000001</v>
      </c>
      <c r="AD95" s="523"/>
      <c r="AE95" s="524">
        <f>SUBTOTAL(9,AE94:AE94)</f>
        <v>697.95225676799998</v>
      </c>
      <c r="AG95" s="482"/>
      <c r="AH95" s="482"/>
      <c r="AI95" s="520"/>
      <c r="AJ95" s="520"/>
      <c r="AK95" s="520"/>
      <c r="AL95" s="520"/>
      <c r="AM95" s="520"/>
      <c r="AN95" s="520"/>
      <c r="AO95" s="520"/>
    </row>
    <row r="96" spans="2:41" outlineLevel="1" x14ac:dyDescent="0.25">
      <c r="B96" s="503">
        <v>6231</v>
      </c>
      <c r="C96" s="504" t="s">
        <v>206</v>
      </c>
      <c r="D96" s="505"/>
      <c r="E96" s="506"/>
      <c r="F96" s="507"/>
      <c r="G96" s="507"/>
      <c r="H96" s="507"/>
      <c r="I96" s="508"/>
      <c r="J96" s="505"/>
      <c r="K96" s="509">
        <f>K79*(SUMIF($F$9:$F$12,"ER",K9:K12))+K78*(SUMIF($F$9:$F$12,"EE",K9:K12))</f>
        <v>10716.7311675</v>
      </c>
      <c r="L96" s="514">
        <f t="shared" ref="L96:W96" si="79">((SUMPRODUCT(($F10:$F12="EE")*L10:L12*$J10:$J12)/12)*$K$78)+((SUMPRODUCT(($F10:$F12="ER")*L10:L12*$J10:$J12)/12)*$K$79)</f>
        <v>893.06093062499997</v>
      </c>
      <c r="M96" s="514">
        <f t="shared" si="79"/>
        <v>893.06093062499997</v>
      </c>
      <c r="N96" s="514">
        <f t="shared" si="79"/>
        <v>893.06093062499997</v>
      </c>
      <c r="O96" s="514">
        <f t="shared" si="79"/>
        <v>893.06093062499997</v>
      </c>
      <c r="P96" s="514">
        <f t="shared" si="79"/>
        <v>893.06093062499997</v>
      </c>
      <c r="Q96" s="514">
        <f t="shared" si="79"/>
        <v>893.06093062499997</v>
      </c>
      <c r="R96" s="514">
        <f t="shared" si="79"/>
        <v>893.06093062499997</v>
      </c>
      <c r="S96" s="514">
        <f t="shared" si="79"/>
        <v>893.06093062499997</v>
      </c>
      <c r="T96" s="514">
        <f t="shared" si="79"/>
        <v>893.06093062499997</v>
      </c>
      <c r="U96" s="514">
        <f t="shared" si="79"/>
        <v>893.06093062499997</v>
      </c>
      <c r="V96" s="514">
        <f t="shared" si="79"/>
        <v>893.06093062499997</v>
      </c>
      <c r="W96" s="514">
        <f t="shared" si="79"/>
        <v>893.06093062499997</v>
      </c>
      <c r="X96" s="511"/>
      <c r="Y96" s="510">
        <f>Y79*(SUMIF($F$9:$F$12,"ER",Y9:Y12))+Y78*(SUMIF($F$9:$F$12,"EE",Y9:Y12))</f>
        <v>10931.06579085</v>
      </c>
      <c r="Z96" s="512"/>
      <c r="AA96" s="510">
        <f>AA79*(SUMIF($F$9:$F$12,"ER",AA9:AA12))+AA78*(SUMIF($F$9:$F$12,"EE",AA9:AA12))</f>
        <v>11149.687106667001</v>
      </c>
      <c r="AB96" s="513"/>
      <c r="AC96" s="510">
        <f>AC79*(SUMIF($F$9:$F$12,"ER",AC9:AC12))+AC78*(SUMIF($F$9:$F$12,"EE",AC9:AC12))</f>
        <v>11372.680848800341</v>
      </c>
      <c r="AD96" s="513"/>
      <c r="AE96" s="510">
        <f>AE79*(SUMIF($F$9:$F$12,"ER",AE9:AE12))+AE78*(SUMIF($F$9:$F$12,"EE",AE9:AE12))</f>
        <v>11600.134465776347</v>
      </c>
      <c r="AG96" s="482">
        <f>VLOOKUP(B96,'FY21'!C:AC,22)</f>
        <v>3469.7613206250016</v>
      </c>
      <c r="AH96" s="482">
        <f t="shared" si="74"/>
        <v>7246.9698468749984</v>
      </c>
    </row>
    <row r="97" spans="2:41" outlineLevel="1" x14ac:dyDescent="0.25">
      <c r="B97" s="503">
        <v>6234</v>
      </c>
      <c r="C97" s="504" t="s">
        <v>220</v>
      </c>
      <c r="D97" s="505"/>
      <c r="E97" s="506"/>
      <c r="F97" s="507"/>
      <c r="G97" s="507"/>
      <c r="H97" s="507"/>
      <c r="I97" s="508"/>
      <c r="J97" s="505"/>
      <c r="K97" s="509">
        <f>K79*(SUMIF($F$15:$F$18,"ER",K15:K18))+K78*(SUMIF($F$15:$F$18,"EE",K15:K18))</f>
        <v>6394.78125</v>
      </c>
      <c r="L97" s="509">
        <f t="shared" ref="L97:W97" si="80">((SUMPRODUCT(($F16:$F18="EE")*L16:L18*$J16:$J18)/12)*$K$78)+((SUMPRODUCT(($F16:$F18="ER")*L16:L18*$J16:$J18)/12)*$K$79)</f>
        <v>532.8984375</v>
      </c>
      <c r="M97" s="509">
        <f t="shared" si="80"/>
        <v>532.8984375</v>
      </c>
      <c r="N97" s="509">
        <f t="shared" si="80"/>
        <v>532.8984375</v>
      </c>
      <c r="O97" s="509">
        <f t="shared" si="80"/>
        <v>532.8984375</v>
      </c>
      <c r="P97" s="509">
        <f t="shared" si="80"/>
        <v>532.8984375</v>
      </c>
      <c r="Q97" s="509">
        <f t="shared" si="80"/>
        <v>532.8984375</v>
      </c>
      <c r="R97" s="509">
        <f t="shared" si="80"/>
        <v>532.8984375</v>
      </c>
      <c r="S97" s="509">
        <f t="shared" si="80"/>
        <v>532.8984375</v>
      </c>
      <c r="T97" s="509">
        <f t="shared" si="80"/>
        <v>532.8984375</v>
      </c>
      <c r="U97" s="509">
        <f t="shared" si="80"/>
        <v>532.8984375</v>
      </c>
      <c r="V97" s="509">
        <f t="shared" si="80"/>
        <v>532.8984375</v>
      </c>
      <c r="W97" s="509">
        <f t="shared" si="80"/>
        <v>532.8984375</v>
      </c>
      <c r="X97" s="511"/>
      <c r="Y97" s="514">
        <f>Y79*(SUMIF($F$15:$F$18,"ER",Y15:Y18))+Y78*(SUMIF($F$15:$F$18,"EE",Y15:Y18))</f>
        <v>26090.707499999997</v>
      </c>
      <c r="Z97" s="515"/>
      <c r="AA97" s="514">
        <f>AA79*(SUMIF($F$15:$F$18,"ER",AA15:AA18))+AA78*(SUMIF($F$15:$F$18,"EE",AA15:AA18))</f>
        <v>26612.521649999999</v>
      </c>
      <c r="AB97" s="516"/>
      <c r="AC97" s="514">
        <f>AC79*(SUMIF($F$15:$F$18,"ER",AC15:AC18))+AC78*(SUMIF($F$15:$F$18,"EE",AC15:AC18))</f>
        <v>27144.772082999996</v>
      </c>
      <c r="AD97" s="516"/>
      <c r="AE97" s="514">
        <f>AE79*(SUMIF($F$15:$F$18,"ER",AE15:AE18))+AE78*(SUMIF($F$15:$F$18,"EE",AE15:AE18))</f>
        <v>27687.667524659999</v>
      </c>
      <c r="AG97" s="482">
        <f>VLOOKUP(B97,'FY21'!C:AC,22)</f>
        <v>-5903.106974999997</v>
      </c>
      <c r="AH97" s="482">
        <f t="shared" si="74"/>
        <v>12297.888224999997</v>
      </c>
    </row>
    <row r="98" spans="2:41" outlineLevel="1" x14ac:dyDescent="0.25">
      <c r="B98" s="503">
        <v>6237</v>
      </c>
      <c r="C98" s="504" t="s">
        <v>221</v>
      </c>
      <c r="D98" s="505"/>
      <c r="E98" s="506"/>
      <c r="F98" s="507"/>
      <c r="G98" s="507"/>
      <c r="H98" s="507"/>
      <c r="I98" s="508"/>
      <c r="J98" s="505"/>
      <c r="K98" s="509">
        <f>K79*(SUMIF($F$21:$F$24,"ER",K21:K24))+K78*(SUMIF($F$21:$F$24,"EE",K21:K24))</f>
        <v>6148.9441124999994</v>
      </c>
      <c r="L98" s="509">
        <f t="shared" ref="L98:W98" si="81">((SUMPRODUCT(($F22:$F24="EE")*L22:L24*$J22:$J24)/12)*$K$78)+((SUMPRODUCT(($F22:$F24="ER")*L22:L24*$J22:$J24)/12)*$K$79)</f>
        <v>512.41200937500003</v>
      </c>
      <c r="M98" s="509">
        <f t="shared" si="81"/>
        <v>512.41200937500003</v>
      </c>
      <c r="N98" s="509">
        <f t="shared" si="81"/>
        <v>512.41200937500003</v>
      </c>
      <c r="O98" s="509">
        <f t="shared" si="81"/>
        <v>512.41200937500003</v>
      </c>
      <c r="P98" s="509">
        <f t="shared" si="81"/>
        <v>512.41200937500003</v>
      </c>
      <c r="Q98" s="509">
        <f t="shared" si="81"/>
        <v>512.41200937500003</v>
      </c>
      <c r="R98" s="509">
        <f t="shared" si="81"/>
        <v>512.41200937500003</v>
      </c>
      <c r="S98" s="509">
        <f t="shared" si="81"/>
        <v>512.41200937500003</v>
      </c>
      <c r="T98" s="509">
        <f t="shared" si="81"/>
        <v>512.41200937500003</v>
      </c>
      <c r="U98" s="509">
        <f t="shared" si="81"/>
        <v>512.41200937500003</v>
      </c>
      <c r="V98" s="509">
        <f t="shared" si="81"/>
        <v>512.41200937500003</v>
      </c>
      <c r="W98" s="509">
        <f t="shared" si="81"/>
        <v>512.41200937500003</v>
      </c>
      <c r="X98" s="511"/>
      <c r="Y98" s="514">
        <f>Y79*(SUMIF($F$21:$F$24,"ER",Y21:Y24))+Y78*(SUMIF($F$21:$F$24,"EE",Y21:Y24))</f>
        <v>6271.9229947500007</v>
      </c>
      <c r="Z98" s="515"/>
      <c r="AA98" s="514">
        <f>AA79*(SUMIF($F$21:$F$24,"ER",AA21:AA24))+AA78*(SUMIF($F$21:$F$24,"EE",AA21:AA24))</f>
        <v>6397.3614546449999</v>
      </c>
      <c r="AB98" s="516"/>
      <c r="AC98" s="514">
        <f>AC79*(SUMIF($F$21:$F$24,"ER",AC21:AC24))+AC78*(SUMIF($F$21:$F$24,"EE",AC21:AC24))</f>
        <v>6525.3086837379005</v>
      </c>
      <c r="AD98" s="516"/>
      <c r="AE98" s="514">
        <f>AE79*(SUMIF($F$21:$F$24,"ER",AE21:AE24))+AE78*(SUMIF($F$21:$F$24,"EE",AE21:AE24))</f>
        <v>6655.814857412659</v>
      </c>
      <c r="AG98" s="482">
        <f>VLOOKUP(B98,'FY21'!C:AC,22)</f>
        <v>5517.579315234374</v>
      </c>
      <c r="AH98" s="482">
        <f t="shared" si="74"/>
        <v>631.36479726562538</v>
      </c>
    </row>
    <row r="99" spans="2:41" x14ac:dyDescent="0.25">
      <c r="B99" s="517"/>
      <c r="C99" s="518" t="s">
        <v>239</v>
      </c>
      <c r="D99" s="505"/>
      <c r="E99" s="506"/>
      <c r="F99" s="507"/>
      <c r="G99" s="507"/>
      <c r="H99" s="507"/>
      <c r="I99" s="508"/>
      <c r="J99" s="505"/>
      <c r="K99" s="648">
        <f>SUBTOTAL(9,K96:K98)</f>
        <v>23260.456530000003</v>
      </c>
      <c r="L99" s="648">
        <f t="shared" ref="L99:W99" si="82">SUBTOTAL(9,L96:L98)</f>
        <v>1938.3713774999999</v>
      </c>
      <c r="M99" s="648">
        <f t="shared" si="82"/>
        <v>1938.3713774999999</v>
      </c>
      <c r="N99" s="648">
        <f t="shared" si="82"/>
        <v>1938.3713774999999</v>
      </c>
      <c r="O99" s="648">
        <f t="shared" si="82"/>
        <v>1938.3713774999999</v>
      </c>
      <c r="P99" s="648">
        <f t="shared" si="82"/>
        <v>1938.3713774999999</v>
      </c>
      <c r="Q99" s="648">
        <f t="shared" si="82"/>
        <v>1938.3713774999999</v>
      </c>
      <c r="R99" s="648">
        <f t="shared" si="82"/>
        <v>1938.3713774999999</v>
      </c>
      <c r="S99" s="648">
        <f t="shared" si="82"/>
        <v>1938.3713774999999</v>
      </c>
      <c r="T99" s="648">
        <f t="shared" si="82"/>
        <v>1938.3713774999999</v>
      </c>
      <c r="U99" s="648">
        <f t="shared" si="82"/>
        <v>1938.3713774999999</v>
      </c>
      <c r="V99" s="648">
        <f t="shared" si="82"/>
        <v>1938.3713774999999</v>
      </c>
      <c r="W99" s="648">
        <f t="shared" si="82"/>
        <v>1938.3713774999999</v>
      </c>
      <c r="X99" s="511"/>
      <c r="Y99" s="519">
        <f>SUBTOTAL(9,Y96:Y98)</f>
        <v>43293.696285599995</v>
      </c>
      <c r="Z99" s="515"/>
      <c r="AA99" s="519">
        <f>SUBTOTAL(9,AA96:AA98)</f>
        <v>44159.570211311999</v>
      </c>
      <c r="AB99" s="516"/>
      <c r="AC99" s="519">
        <f>SUBTOTAL(9,AC96:AC98)</f>
        <v>45042.761615538235</v>
      </c>
      <c r="AD99" s="516"/>
      <c r="AE99" s="519">
        <f>SUBTOTAL(9,AE96:AE98)</f>
        <v>45943.616847849007</v>
      </c>
      <c r="AG99" s="482"/>
      <c r="AH99" s="482"/>
      <c r="AI99" s="520"/>
      <c r="AJ99" s="520"/>
      <c r="AK99" s="520"/>
      <c r="AL99" s="520"/>
      <c r="AM99" s="520"/>
      <c r="AN99" s="520"/>
      <c r="AO99" s="520"/>
    </row>
    <row r="100" spans="2:41" outlineLevel="1" x14ac:dyDescent="0.25">
      <c r="B100" s="376">
        <v>6241</v>
      </c>
      <c r="C100" s="304" t="s">
        <v>197</v>
      </c>
      <c r="K100" s="522">
        <f>K80*(K13+K37+K55)</f>
        <v>1079.8678815000001</v>
      </c>
      <c r="L100" s="522">
        <f t="shared" ref="L100:W100" si="83">$K$80*(L13+L37+L55)</f>
        <v>84.913990124999998</v>
      </c>
      <c r="M100" s="522">
        <f t="shared" si="83"/>
        <v>97.093990125000005</v>
      </c>
      <c r="N100" s="522">
        <f t="shared" si="83"/>
        <v>97.093990125000005</v>
      </c>
      <c r="O100" s="522">
        <f t="shared" si="83"/>
        <v>97.093990125000005</v>
      </c>
      <c r="P100" s="522">
        <f t="shared" si="83"/>
        <v>84.913990124999998</v>
      </c>
      <c r="Q100" s="522">
        <f t="shared" si="83"/>
        <v>84.913990124999998</v>
      </c>
      <c r="R100" s="522">
        <f t="shared" si="83"/>
        <v>84.913990124999998</v>
      </c>
      <c r="S100" s="522">
        <f t="shared" si="83"/>
        <v>97.093990125000005</v>
      </c>
      <c r="T100" s="522">
        <f t="shared" si="83"/>
        <v>97.093990125000005</v>
      </c>
      <c r="U100" s="522">
        <f t="shared" si="83"/>
        <v>84.913990124999998</v>
      </c>
      <c r="V100" s="522">
        <f t="shared" si="83"/>
        <v>84.913990124999998</v>
      </c>
      <c r="W100" s="522">
        <f t="shared" si="83"/>
        <v>84.913990124999998</v>
      </c>
      <c r="X100" s="379"/>
      <c r="Y100" s="525">
        <f>Y80*(Y13+Y37+Y55)</f>
        <v>1101.4652391300001</v>
      </c>
      <c r="Z100" s="526"/>
      <c r="AA100" s="525">
        <f>AA80*(AA13+AA37+AA55)</f>
        <v>1123.4945439126002</v>
      </c>
      <c r="AB100" s="527"/>
      <c r="AC100" s="525">
        <f>AC80*(AC13+AC37+AC55)</f>
        <v>1145.9644347908522</v>
      </c>
      <c r="AD100" s="527"/>
      <c r="AE100" s="525">
        <f>AE80*(AE13+AE37+AE55)</f>
        <v>1168.8837234866692</v>
      </c>
      <c r="AG100" s="482">
        <f>VLOOKUP(B100,'FY21'!C:AC,22)</f>
        <v>347.31173212500028</v>
      </c>
      <c r="AH100" s="482">
        <f t="shared" si="74"/>
        <v>732.55614937499979</v>
      </c>
    </row>
    <row r="101" spans="2:41" outlineLevel="1" x14ac:dyDescent="0.25">
      <c r="B101" s="376">
        <v>6244</v>
      </c>
      <c r="C101" s="304" t="s">
        <v>198</v>
      </c>
      <c r="K101" s="522">
        <f>K80*(K19+K43+K61)</f>
        <v>340.06125000000003</v>
      </c>
      <c r="L101" s="522">
        <f t="shared" ref="L101:W101" si="84">$K$80*(L19+L43+L61)</f>
        <v>26.417187500000001</v>
      </c>
      <c r="M101" s="522">
        <f t="shared" si="84"/>
        <v>26.417187500000001</v>
      </c>
      <c r="N101" s="522">
        <f t="shared" si="84"/>
        <v>26.417187500000001</v>
      </c>
      <c r="O101" s="522">
        <f t="shared" si="84"/>
        <v>26.417187500000001</v>
      </c>
      <c r="P101" s="522">
        <f t="shared" si="84"/>
        <v>26.417187500000001</v>
      </c>
      <c r="Q101" s="522">
        <f t="shared" si="84"/>
        <v>26.417187500000001</v>
      </c>
      <c r="R101" s="522">
        <f t="shared" si="84"/>
        <v>26.417187500000001</v>
      </c>
      <c r="S101" s="522">
        <f t="shared" si="84"/>
        <v>26.417187500000001</v>
      </c>
      <c r="T101" s="522">
        <f t="shared" si="84"/>
        <v>38.597187500000004</v>
      </c>
      <c r="U101" s="522">
        <f t="shared" si="84"/>
        <v>26.417187500000001</v>
      </c>
      <c r="V101" s="522">
        <f t="shared" si="84"/>
        <v>26.417187500000001</v>
      </c>
      <c r="W101" s="522">
        <f t="shared" si="84"/>
        <v>37.292187500000004</v>
      </c>
      <c r="X101" s="379"/>
      <c r="Y101" s="522">
        <f>Y80*(Y19+Y43+Y61)</f>
        <v>1316.9016000000001</v>
      </c>
      <c r="Z101" s="409"/>
      <c r="AA101" s="522">
        <f>AA80*(AA19+AA43+AA61)</f>
        <v>1343.239632</v>
      </c>
      <c r="AB101" s="523"/>
      <c r="AC101" s="522">
        <f>AC80*(AC19+AC43+AC61)</f>
        <v>1370.1044246399999</v>
      </c>
      <c r="AD101" s="523"/>
      <c r="AE101" s="522">
        <f>AE80*(AE19+AE43+AE61)</f>
        <v>1397.5065131328001</v>
      </c>
      <c r="AG101" s="482">
        <f>VLOOKUP(B101,'FY21'!C:AC,22)</f>
        <v>-927.12115499999993</v>
      </c>
      <c r="AH101" s="482">
        <f t="shared" si="74"/>
        <v>1267.182405</v>
      </c>
    </row>
    <row r="102" spans="2:41" outlineLevel="1" x14ac:dyDescent="0.25">
      <c r="B102" s="376">
        <v>6247</v>
      </c>
      <c r="C102" s="304" t="s">
        <v>215</v>
      </c>
      <c r="K102" s="522">
        <f>K80*(K25+K31+K49+K67)</f>
        <v>778.95370250000008</v>
      </c>
      <c r="L102" s="522">
        <f t="shared" ref="L102:W102" si="85">$K$80*(L25+L31+L49+L67)</f>
        <v>61.287808541666671</v>
      </c>
      <c r="M102" s="522">
        <f t="shared" si="85"/>
        <v>72.162808541666664</v>
      </c>
      <c r="N102" s="522">
        <f t="shared" si="85"/>
        <v>72.162808541666664</v>
      </c>
      <c r="O102" s="522">
        <f t="shared" si="85"/>
        <v>61.287808541666671</v>
      </c>
      <c r="P102" s="522">
        <f t="shared" si="85"/>
        <v>61.287808541666671</v>
      </c>
      <c r="Q102" s="522">
        <f t="shared" si="85"/>
        <v>61.287808541666671</v>
      </c>
      <c r="R102" s="522">
        <f t="shared" si="85"/>
        <v>72.162808541666664</v>
      </c>
      <c r="S102" s="522">
        <f t="shared" si="85"/>
        <v>72.162808541666664</v>
      </c>
      <c r="T102" s="522">
        <f t="shared" si="85"/>
        <v>61.287808541666671</v>
      </c>
      <c r="U102" s="522">
        <f t="shared" si="85"/>
        <v>61.287808541666671</v>
      </c>
      <c r="V102" s="522">
        <f t="shared" si="85"/>
        <v>61.287808541666671</v>
      </c>
      <c r="W102" s="522">
        <f t="shared" si="85"/>
        <v>61.287808541666671</v>
      </c>
      <c r="X102" s="379"/>
      <c r="Y102" s="522">
        <f>Y80*(Y25+Y31+Y49+Y67)</f>
        <v>794.53277655000011</v>
      </c>
      <c r="Z102" s="409"/>
      <c r="AA102" s="522">
        <f>AA80*(AA25+AA31+AA49+AA67)</f>
        <v>810.42343208099999</v>
      </c>
      <c r="AB102" s="523"/>
      <c r="AC102" s="522">
        <f>AC80*(AC25+AC31+AC49+AC67)</f>
        <v>826.63190072262012</v>
      </c>
      <c r="AD102" s="523"/>
      <c r="AE102" s="522">
        <f>AE80*(AE25+AE31+AE49+AE67)</f>
        <v>843.16453873707246</v>
      </c>
      <c r="AG102" s="482">
        <f>VLOOKUP(B102,'FY21'!C:AC,22)</f>
        <v>718.92229554687492</v>
      </c>
      <c r="AH102" s="482">
        <f t="shared" si="74"/>
        <v>60.031406953125156</v>
      </c>
    </row>
    <row r="103" spans="2:41" x14ac:dyDescent="0.25">
      <c r="B103" s="306"/>
      <c r="C103" s="313" t="s">
        <v>82</v>
      </c>
      <c r="K103" s="649">
        <f>SUBTOTAL(9,K100:K102)</f>
        <v>2198.882834</v>
      </c>
      <c r="L103" s="649">
        <f>SUBTOTAL(9,L100:L102)</f>
        <v>172.61898616666667</v>
      </c>
      <c r="M103" s="649">
        <f t="shared" ref="M103:W103" si="86">SUBTOTAL(9,M100:M102)</f>
        <v>195.67398616666668</v>
      </c>
      <c r="N103" s="649">
        <f t="shared" si="86"/>
        <v>195.67398616666668</v>
      </c>
      <c r="O103" s="649">
        <f t="shared" si="86"/>
        <v>184.79898616666668</v>
      </c>
      <c r="P103" s="649">
        <f t="shared" si="86"/>
        <v>172.61898616666667</v>
      </c>
      <c r="Q103" s="649">
        <f t="shared" si="86"/>
        <v>172.61898616666667</v>
      </c>
      <c r="R103" s="649">
        <f t="shared" si="86"/>
        <v>183.49398616666667</v>
      </c>
      <c r="S103" s="649">
        <f t="shared" si="86"/>
        <v>195.67398616666668</v>
      </c>
      <c r="T103" s="649">
        <f t="shared" si="86"/>
        <v>196.97898616666669</v>
      </c>
      <c r="U103" s="649">
        <f t="shared" si="86"/>
        <v>172.61898616666667</v>
      </c>
      <c r="V103" s="649">
        <f t="shared" si="86"/>
        <v>172.61898616666667</v>
      </c>
      <c r="W103" s="649">
        <f t="shared" si="86"/>
        <v>183.49398616666667</v>
      </c>
      <c r="X103" s="379"/>
      <c r="Y103" s="524">
        <f>SUBTOTAL(9,Y100:Y102)</f>
        <v>3212.8996156800004</v>
      </c>
      <c r="Z103" s="409"/>
      <c r="AA103" s="524">
        <f>SUBTOTAL(9,AA100:AA102)</f>
        <v>3277.1576079936003</v>
      </c>
      <c r="AB103" s="523"/>
      <c r="AC103" s="524">
        <f>SUBTOTAL(9,AC100:AC102)</f>
        <v>3342.7007601534724</v>
      </c>
      <c r="AD103" s="523"/>
      <c r="AE103" s="524">
        <f>SUBTOTAL(9,AE100:AE102)</f>
        <v>3409.5547753565415</v>
      </c>
      <c r="AG103" s="482"/>
      <c r="AH103" s="482"/>
      <c r="AI103" s="520"/>
      <c r="AJ103" s="520"/>
      <c r="AK103" s="520"/>
      <c r="AL103" s="520"/>
      <c r="AM103" s="520"/>
      <c r="AN103" s="520"/>
      <c r="AO103" s="520"/>
    </row>
    <row r="104" spans="2:41" outlineLevel="1" x14ac:dyDescent="0.25">
      <c r="B104" s="503">
        <v>6261</v>
      </c>
      <c r="C104" s="504" t="s">
        <v>208</v>
      </c>
      <c r="D104" s="505"/>
      <c r="E104" s="506"/>
      <c r="F104" s="507"/>
      <c r="G104" s="507"/>
      <c r="H104" s="507"/>
      <c r="I104" s="508"/>
      <c r="J104" s="505"/>
      <c r="K104" s="514">
        <f>(SUMIF(K9:K12,"&lt;31200")*K81)+(COUNTIF(K9:K12,"&gt;31200")*31200*K81)</f>
        <v>936</v>
      </c>
      <c r="L104" s="514">
        <f>$K104/12</f>
        <v>78</v>
      </c>
      <c r="M104" s="514">
        <f t="shared" ref="M104:W106" si="87">$K104/12</f>
        <v>78</v>
      </c>
      <c r="N104" s="514">
        <f t="shared" si="87"/>
        <v>78</v>
      </c>
      <c r="O104" s="514">
        <f t="shared" si="87"/>
        <v>78</v>
      </c>
      <c r="P104" s="514">
        <f t="shared" si="87"/>
        <v>78</v>
      </c>
      <c r="Q104" s="514">
        <f t="shared" si="87"/>
        <v>78</v>
      </c>
      <c r="R104" s="514">
        <f t="shared" si="87"/>
        <v>78</v>
      </c>
      <c r="S104" s="514">
        <f t="shared" si="87"/>
        <v>78</v>
      </c>
      <c r="T104" s="514">
        <f t="shared" si="87"/>
        <v>78</v>
      </c>
      <c r="U104" s="514">
        <f t="shared" si="87"/>
        <v>78</v>
      </c>
      <c r="V104" s="514">
        <f t="shared" si="87"/>
        <v>78</v>
      </c>
      <c r="W104" s="514">
        <f t="shared" si="87"/>
        <v>78</v>
      </c>
      <c r="X104" s="511"/>
      <c r="Y104" s="510">
        <f>(SUMIF(Y9:Y12,"&lt;31200")*Y81)+(COUNTIF(Y9:Y12,"&gt;31200")*31200*Y81)</f>
        <v>936</v>
      </c>
      <c r="Z104" s="512"/>
      <c r="AA104" s="510">
        <f>(SUMIF(AA9:AA12,"&lt;31200")*AA81)+(COUNTIF(AA9:AA12,"&gt;31200")*31200*AA81)</f>
        <v>936</v>
      </c>
      <c r="AB104" s="513"/>
      <c r="AC104" s="510">
        <f>(SUMIF(AC9:AC12,"&lt;31200")*AC81)+(COUNTIF(AC9:AC12,"&gt;31200")*31200*AC81)</f>
        <v>936</v>
      </c>
      <c r="AD104" s="513"/>
      <c r="AE104" s="510">
        <f>(SUMIF(AE9:AE12,"&lt;31200")*AE81)+(COUNTIF(AE9:AE12,"&gt;31200")*31200*AE81)</f>
        <v>936</v>
      </c>
      <c r="AG104" s="482">
        <f>VLOOKUP(B104,'FY21'!C:AC,22)</f>
        <v>0</v>
      </c>
      <c r="AH104" s="482">
        <f t="shared" si="74"/>
        <v>936</v>
      </c>
    </row>
    <row r="105" spans="2:41" outlineLevel="1" x14ac:dyDescent="0.25">
      <c r="B105" s="503">
        <v>6264</v>
      </c>
      <c r="C105" s="504" t="s">
        <v>216</v>
      </c>
      <c r="D105" s="505"/>
      <c r="E105" s="506"/>
      <c r="F105" s="507"/>
      <c r="G105" s="507"/>
      <c r="H105" s="507"/>
      <c r="I105" s="508"/>
      <c r="J105" s="505"/>
      <c r="K105" s="514">
        <f>(SUMIF(K15:K18,"&lt;31200")*K81)+(COUNTIF(K15:K18,"&gt;31200")*31200*K81)</f>
        <v>655.875</v>
      </c>
      <c r="L105" s="514">
        <f>$K105/12</f>
        <v>54.65625</v>
      </c>
      <c r="M105" s="514">
        <f t="shared" si="87"/>
        <v>54.65625</v>
      </c>
      <c r="N105" s="514">
        <f t="shared" si="87"/>
        <v>54.65625</v>
      </c>
      <c r="O105" s="514">
        <f t="shared" si="87"/>
        <v>54.65625</v>
      </c>
      <c r="P105" s="514">
        <f t="shared" si="87"/>
        <v>54.65625</v>
      </c>
      <c r="Q105" s="514">
        <f t="shared" si="87"/>
        <v>54.65625</v>
      </c>
      <c r="R105" s="514">
        <f t="shared" si="87"/>
        <v>54.65625</v>
      </c>
      <c r="S105" s="514">
        <f t="shared" si="87"/>
        <v>54.65625</v>
      </c>
      <c r="T105" s="514">
        <f t="shared" si="87"/>
        <v>54.65625</v>
      </c>
      <c r="U105" s="514">
        <f t="shared" si="87"/>
        <v>54.65625</v>
      </c>
      <c r="V105" s="514">
        <f t="shared" si="87"/>
        <v>54.65625</v>
      </c>
      <c r="W105" s="514">
        <f t="shared" si="87"/>
        <v>54.65625</v>
      </c>
      <c r="X105" s="511"/>
      <c r="Y105" s="514">
        <f>(SUMIF(Y15:Y18,"&lt;31200")*Y81)+(COUNTIF(Y15:Y18,"&gt;31200")*31200*Y81)</f>
        <v>936</v>
      </c>
      <c r="Z105" s="515"/>
      <c r="AA105" s="514">
        <f>(SUMIF(AA15:AA18,"&lt;31200")*AA81)+(COUNTIF(AA15:AA18,"&gt;31200")*31200*AA81)</f>
        <v>936</v>
      </c>
      <c r="AB105" s="516"/>
      <c r="AC105" s="514">
        <f>(SUMIF(AC15:AC18,"&lt;31200")*AC81)+(COUNTIF(AC15:AC18,"&gt;31200")*31200*AC81)</f>
        <v>936</v>
      </c>
      <c r="AD105" s="516"/>
      <c r="AE105" s="514">
        <f>(SUMIF(AE15:AE18,"&lt;31200")*AE81)+(COUNTIF(AE15:AE18,"&gt;31200")*31200*AE81)</f>
        <v>936</v>
      </c>
      <c r="AG105" s="482">
        <f>VLOOKUP(B105,'FY21'!C:AC,22)</f>
        <v>-280.125</v>
      </c>
      <c r="AH105" s="482">
        <f t="shared" si="74"/>
        <v>936</v>
      </c>
    </row>
    <row r="106" spans="2:41" outlineLevel="1" x14ac:dyDescent="0.25">
      <c r="B106" s="503">
        <v>6267</v>
      </c>
      <c r="C106" s="504" t="s">
        <v>217</v>
      </c>
      <c r="D106" s="505"/>
      <c r="E106" s="506"/>
      <c r="F106" s="507"/>
      <c r="G106" s="507"/>
      <c r="H106" s="507"/>
      <c r="I106" s="508"/>
      <c r="J106" s="505"/>
      <c r="K106" s="514">
        <f>(SUMIF(K28:K29,"&lt;31200")*K81)+(COUNTIF(K28:K29,"&gt;31200")*31200*K81)+(SUMIF(K21:K24,"&lt;31200")*K81)+(COUNTIF(K21:K24,"&gt;31200")*31200*K81)</f>
        <v>1248</v>
      </c>
      <c r="L106" s="514">
        <f t="shared" ref="L106:W110" si="88">$K106/12</f>
        <v>104</v>
      </c>
      <c r="M106" s="514">
        <f t="shared" si="87"/>
        <v>104</v>
      </c>
      <c r="N106" s="514">
        <f t="shared" si="87"/>
        <v>104</v>
      </c>
      <c r="O106" s="514">
        <f t="shared" si="87"/>
        <v>104</v>
      </c>
      <c r="P106" s="514">
        <f t="shared" si="87"/>
        <v>104</v>
      </c>
      <c r="Q106" s="514">
        <f t="shared" si="87"/>
        <v>104</v>
      </c>
      <c r="R106" s="514">
        <f t="shared" si="87"/>
        <v>104</v>
      </c>
      <c r="S106" s="514">
        <f t="shared" si="87"/>
        <v>104</v>
      </c>
      <c r="T106" s="514">
        <f t="shared" si="87"/>
        <v>104</v>
      </c>
      <c r="U106" s="514">
        <f t="shared" si="87"/>
        <v>104</v>
      </c>
      <c r="V106" s="514">
        <f t="shared" si="87"/>
        <v>104</v>
      </c>
      <c r="W106" s="514">
        <f t="shared" si="87"/>
        <v>104</v>
      </c>
      <c r="X106" s="511"/>
      <c r="Y106" s="514">
        <f>(SUMIF(Y21:Y24,"&lt;31200")*Y81)+(COUNTIF(Y21:Y24,"&gt;31200")*31200*Y81)</f>
        <v>936</v>
      </c>
      <c r="Z106" s="515"/>
      <c r="AA106" s="514">
        <f>(SUMIF(AA21:AA24,"&lt;31200")*AA81)+(COUNTIF(AA21:AA24,"&gt;31200")*31200*AA81)</f>
        <v>936</v>
      </c>
      <c r="AB106" s="516"/>
      <c r="AC106" s="514">
        <f>(SUMIF(AC21:AC24,"&lt;31200")*AC81)+(COUNTIF(AC21:AC24,"&gt;31200")*31200*AC81)</f>
        <v>936</v>
      </c>
      <c r="AD106" s="516"/>
      <c r="AE106" s="514">
        <f>(SUMIF(AE21:AE24,"&lt;31200")*AE81)+(COUNTIF(AE21:AE24,"&gt;31200")*31200*AE81)</f>
        <v>936</v>
      </c>
      <c r="AG106" s="482">
        <f>VLOOKUP(B106,'FY21'!C:AC,22)</f>
        <v>1123.7970890624999</v>
      </c>
      <c r="AH106" s="482">
        <f t="shared" si="74"/>
        <v>124.20291093750006</v>
      </c>
    </row>
    <row r="107" spans="2:41" x14ac:dyDescent="0.25">
      <c r="B107" s="517"/>
      <c r="C107" s="518" t="s">
        <v>240</v>
      </c>
      <c r="D107" s="505"/>
      <c r="E107" s="506"/>
      <c r="F107" s="507"/>
      <c r="G107" s="507"/>
      <c r="H107" s="507"/>
      <c r="I107" s="508"/>
      <c r="J107" s="505"/>
      <c r="K107" s="648">
        <f>SUBTOTAL(9,K104:K106)</f>
        <v>2839.875</v>
      </c>
      <c r="L107" s="648">
        <f>SUBTOTAL(9,L104:L106)</f>
        <v>236.65625</v>
      </c>
      <c r="M107" s="648">
        <f t="shared" ref="M107:T107" si="89">SUBTOTAL(9,M104:M106)</f>
        <v>236.65625</v>
      </c>
      <c r="N107" s="648">
        <f t="shared" si="89"/>
        <v>236.65625</v>
      </c>
      <c r="O107" s="648">
        <f t="shared" si="89"/>
        <v>236.65625</v>
      </c>
      <c r="P107" s="648">
        <f t="shared" si="89"/>
        <v>236.65625</v>
      </c>
      <c r="Q107" s="648">
        <f t="shared" si="89"/>
        <v>236.65625</v>
      </c>
      <c r="R107" s="648">
        <f t="shared" si="89"/>
        <v>236.65625</v>
      </c>
      <c r="S107" s="648">
        <f t="shared" si="89"/>
        <v>236.65625</v>
      </c>
      <c r="T107" s="651">
        <f t="shared" si="89"/>
        <v>236.65625</v>
      </c>
      <c r="U107" s="651">
        <f t="shared" ref="U107" si="90">SUBTOTAL(9,U104:U106)</f>
        <v>236.65625</v>
      </c>
      <c r="V107" s="651">
        <f t="shared" ref="V107" si="91">SUBTOTAL(9,V104:V106)</f>
        <v>236.65625</v>
      </c>
      <c r="W107" s="651">
        <f t="shared" ref="W107" si="92">SUBTOTAL(9,W104:W106)</f>
        <v>236.65625</v>
      </c>
      <c r="X107" s="511"/>
      <c r="Y107" s="519">
        <f>SUBTOTAL(9,Y104:Y106)</f>
        <v>2808</v>
      </c>
      <c r="Z107" s="515"/>
      <c r="AA107" s="519">
        <f>SUBTOTAL(9,AA104:AA106)</f>
        <v>2808</v>
      </c>
      <c r="AB107" s="516"/>
      <c r="AC107" s="519">
        <f>SUBTOTAL(9,AC104:AC106)</f>
        <v>2808</v>
      </c>
      <c r="AD107" s="516"/>
      <c r="AE107" s="519">
        <f>SUBTOTAL(9,AE104:AE106)</f>
        <v>2808</v>
      </c>
      <c r="AG107" s="482"/>
      <c r="AH107" s="482"/>
      <c r="AI107" s="520"/>
      <c r="AJ107" s="520"/>
      <c r="AK107" s="520"/>
      <c r="AL107" s="520"/>
      <c r="AM107" s="520"/>
      <c r="AN107" s="520"/>
      <c r="AO107" s="520"/>
    </row>
    <row r="108" spans="2:41" outlineLevel="1" x14ac:dyDescent="0.25">
      <c r="B108" s="376">
        <v>6271</v>
      </c>
      <c r="C108" s="304" t="s">
        <v>210</v>
      </c>
      <c r="K108" s="522">
        <f>K82*(K13+K37+K55)</f>
        <v>484.07870549999996</v>
      </c>
      <c r="L108" s="522">
        <f t="shared" si="88"/>
        <v>40.339892124999999</v>
      </c>
      <c r="M108" s="522">
        <f t="shared" si="88"/>
        <v>40.339892124999999</v>
      </c>
      <c r="N108" s="522">
        <f t="shared" si="88"/>
        <v>40.339892124999999</v>
      </c>
      <c r="O108" s="522">
        <f t="shared" si="88"/>
        <v>40.339892124999999</v>
      </c>
      <c r="P108" s="522">
        <f t="shared" si="88"/>
        <v>40.339892124999999</v>
      </c>
      <c r="Q108" s="522">
        <f t="shared" si="88"/>
        <v>40.339892124999999</v>
      </c>
      <c r="R108" s="522">
        <f t="shared" si="88"/>
        <v>40.339892124999999</v>
      </c>
      <c r="S108" s="522">
        <f t="shared" si="88"/>
        <v>40.339892124999999</v>
      </c>
      <c r="T108" s="522">
        <f t="shared" si="88"/>
        <v>40.339892124999999</v>
      </c>
      <c r="U108" s="522">
        <f t="shared" si="88"/>
        <v>40.339892124999999</v>
      </c>
      <c r="V108" s="522">
        <f t="shared" si="88"/>
        <v>40.339892124999999</v>
      </c>
      <c r="W108" s="522">
        <f t="shared" si="88"/>
        <v>40.339892124999999</v>
      </c>
      <c r="X108" s="379"/>
      <c r="Y108" s="525">
        <f>Y82*(Y13+Y37+Y55)</f>
        <v>493.76027961</v>
      </c>
      <c r="Z108" s="526"/>
      <c r="AA108" s="525">
        <f>AA82*(AA13+AA37+AA55)</f>
        <v>503.63548520220002</v>
      </c>
      <c r="AB108" s="527"/>
      <c r="AC108" s="525">
        <f>AC82*(AC13+AC37+AC55)</f>
        <v>513.70819490624399</v>
      </c>
      <c r="AD108" s="527"/>
      <c r="AE108" s="525">
        <f>AE82*(AE13+AE37+AE55)</f>
        <v>523.98235880436891</v>
      </c>
      <c r="AG108" s="482">
        <f>VLOOKUP(B108,'FY21'!C:AC,22)</f>
        <v>155.69146612500003</v>
      </c>
      <c r="AH108" s="482">
        <f t="shared" si="74"/>
        <v>328.38723937499992</v>
      </c>
    </row>
    <row r="109" spans="2:41" outlineLevel="1" x14ac:dyDescent="0.25">
      <c r="B109" s="376">
        <v>6274</v>
      </c>
      <c r="C109" s="304" t="s">
        <v>218</v>
      </c>
      <c r="K109" s="522">
        <f>K82*(K19+K43+K61)</f>
        <v>152.44125</v>
      </c>
      <c r="L109" s="522">
        <f t="shared" si="88"/>
        <v>12.7034375</v>
      </c>
      <c r="M109" s="522">
        <f t="shared" si="88"/>
        <v>12.7034375</v>
      </c>
      <c r="N109" s="522">
        <f t="shared" si="88"/>
        <v>12.7034375</v>
      </c>
      <c r="O109" s="522">
        <f t="shared" si="88"/>
        <v>12.7034375</v>
      </c>
      <c r="P109" s="522">
        <f t="shared" si="88"/>
        <v>12.7034375</v>
      </c>
      <c r="Q109" s="522">
        <f t="shared" si="88"/>
        <v>12.7034375</v>
      </c>
      <c r="R109" s="522">
        <f t="shared" si="88"/>
        <v>12.7034375</v>
      </c>
      <c r="S109" s="522">
        <f t="shared" si="88"/>
        <v>12.7034375</v>
      </c>
      <c r="T109" s="522">
        <f t="shared" si="88"/>
        <v>12.7034375</v>
      </c>
      <c r="U109" s="522">
        <f t="shared" si="88"/>
        <v>12.7034375</v>
      </c>
      <c r="V109" s="522">
        <f t="shared" si="88"/>
        <v>12.7034375</v>
      </c>
      <c r="W109" s="522">
        <f t="shared" si="88"/>
        <v>12.7034375</v>
      </c>
      <c r="X109" s="379"/>
      <c r="Y109" s="522">
        <f>Y82*(Y19+Y43+Y61)</f>
        <v>590.33519999999999</v>
      </c>
      <c r="Z109" s="409"/>
      <c r="AA109" s="522">
        <f>AA82*(AA19+AA43+AA61)</f>
        <v>602.14190399999995</v>
      </c>
      <c r="AB109" s="523"/>
      <c r="AC109" s="522">
        <f>AC82*(AC19+AC43+AC61)</f>
        <v>614.18474207999998</v>
      </c>
      <c r="AD109" s="523"/>
      <c r="AE109" s="522">
        <f>AE82*(AE19+AE43+AE61)</f>
        <v>626.46843692159996</v>
      </c>
      <c r="AG109" s="482">
        <f>VLOOKUP(B109,'FY21'!C:AC,22)</f>
        <v>-415.60603499999996</v>
      </c>
      <c r="AH109" s="482">
        <f t="shared" si="74"/>
        <v>568.04728499999999</v>
      </c>
    </row>
    <row r="110" spans="2:41" outlineLevel="1" x14ac:dyDescent="0.25">
      <c r="B110" s="376">
        <v>6277</v>
      </c>
      <c r="C110" s="304" t="s">
        <v>219</v>
      </c>
      <c r="K110" s="522">
        <f>K82*(K25+K31+K49+K67)</f>
        <v>349.18614249999996</v>
      </c>
      <c r="L110" s="522">
        <f t="shared" si="88"/>
        <v>29.09884520833333</v>
      </c>
      <c r="M110" s="522">
        <f t="shared" si="88"/>
        <v>29.09884520833333</v>
      </c>
      <c r="N110" s="522">
        <f t="shared" si="88"/>
        <v>29.09884520833333</v>
      </c>
      <c r="O110" s="522">
        <f t="shared" si="88"/>
        <v>29.09884520833333</v>
      </c>
      <c r="P110" s="522">
        <f t="shared" si="88"/>
        <v>29.09884520833333</v>
      </c>
      <c r="Q110" s="522">
        <f t="shared" si="88"/>
        <v>29.09884520833333</v>
      </c>
      <c r="R110" s="522">
        <f t="shared" si="88"/>
        <v>29.09884520833333</v>
      </c>
      <c r="S110" s="522">
        <f t="shared" si="88"/>
        <v>29.09884520833333</v>
      </c>
      <c r="T110" s="522">
        <f t="shared" si="88"/>
        <v>29.09884520833333</v>
      </c>
      <c r="U110" s="522">
        <f t="shared" si="88"/>
        <v>29.09884520833333</v>
      </c>
      <c r="V110" s="522">
        <f t="shared" si="88"/>
        <v>29.09884520833333</v>
      </c>
      <c r="W110" s="522">
        <f t="shared" si="88"/>
        <v>29.09884520833333</v>
      </c>
      <c r="X110" s="379"/>
      <c r="Y110" s="522">
        <f>Y82*(Y25+Y31+Y49+Y67)</f>
        <v>356.16986535000001</v>
      </c>
      <c r="Z110" s="409"/>
      <c r="AA110" s="522">
        <f>AA82*(AA25+AA31+AA49+AA67)</f>
        <v>363.29326265699996</v>
      </c>
      <c r="AB110" s="523"/>
      <c r="AC110" s="522">
        <f>AC82*(AC25+AC31+AC49+AC67)</f>
        <v>370.55912791014003</v>
      </c>
      <c r="AD110" s="523"/>
      <c r="AE110" s="522">
        <f>AE82*(AE25+AE31+AE49+AE67)</f>
        <v>377.9703104683428</v>
      </c>
      <c r="AG110" s="482">
        <f>VLOOKUP(B110,'FY21'!C:AC,22)</f>
        <v>322.27551179687498</v>
      </c>
      <c r="AH110" s="482">
        <f t="shared" si="74"/>
        <v>26.91063070312498</v>
      </c>
    </row>
    <row r="111" spans="2:41" x14ac:dyDescent="0.25">
      <c r="B111" s="306"/>
      <c r="C111" s="313" t="s">
        <v>83</v>
      </c>
      <c r="K111" s="649">
        <f>SUBTOTAL(9,K108:K110)</f>
        <v>985.70609799999988</v>
      </c>
      <c r="L111" s="649">
        <f>SUBTOTAL(9,L108:L110)</f>
        <v>82.142174833333328</v>
      </c>
      <c r="M111" s="649">
        <f t="shared" ref="M111" si="93">SUBTOTAL(9,M108:M110)</f>
        <v>82.142174833333328</v>
      </c>
      <c r="N111" s="649">
        <f t="shared" ref="N111" si="94">SUBTOTAL(9,N108:N110)</f>
        <v>82.142174833333328</v>
      </c>
      <c r="O111" s="649">
        <f t="shared" ref="O111" si="95">SUBTOTAL(9,O108:O110)</f>
        <v>82.142174833333328</v>
      </c>
      <c r="P111" s="649">
        <f t="shared" ref="P111" si="96">SUBTOTAL(9,P108:P110)</f>
        <v>82.142174833333328</v>
      </c>
      <c r="Q111" s="649">
        <f t="shared" ref="Q111" si="97">SUBTOTAL(9,Q108:Q110)</f>
        <v>82.142174833333328</v>
      </c>
      <c r="R111" s="649">
        <f t="shared" ref="R111" si="98">SUBTOTAL(9,R108:R110)</f>
        <v>82.142174833333328</v>
      </c>
      <c r="S111" s="649">
        <f t="shared" ref="S111" si="99">SUBTOTAL(9,S108:S110)</f>
        <v>82.142174833333328</v>
      </c>
      <c r="T111" s="649">
        <f t="shared" ref="T111" si="100">SUBTOTAL(9,T108:T110)</f>
        <v>82.142174833333328</v>
      </c>
      <c r="U111" s="649">
        <f t="shared" ref="U111" si="101">SUBTOTAL(9,U108:U110)</f>
        <v>82.142174833333328</v>
      </c>
      <c r="V111" s="649">
        <f t="shared" ref="V111" si="102">SUBTOTAL(9,V108:V110)</f>
        <v>82.142174833333328</v>
      </c>
      <c r="W111" s="649">
        <f t="shared" ref="W111" si="103">SUBTOTAL(9,W108:W110)</f>
        <v>82.142174833333328</v>
      </c>
      <c r="X111" s="379"/>
      <c r="Y111" s="524">
        <f>SUBTOTAL(9,Y108:Y110)</f>
        <v>1440.26534496</v>
      </c>
      <c r="Z111" s="409"/>
      <c r="AA111" s="524">
        <f>SUBTOTAL(9,AA108:AA110)</f>
        <v>1469.0706518592001</v>
      </c>
      <c r="AB111" s="523"/>
      <c r="AC111" s="524">
        <f>SUBTOTAL(9,AC108:AC110)</f>
        <v>1498.4520648963839</v>
      </c>
      <c r="AD111" s="523"/>
      <c r="AE111" s="524">
        <f>SUBTOTAL(9,AE108:AE110)</f>
        <v>1528.4211061943117</v>
      </c>
      <c r="AG111" s="482"/>
      <c r="AH111" s="482"/>
      <c r="AI111" s="520"/>
      <c r="AJ111" s="520"/>
      <c r="AK111" s="520"/>
      <c r="AL111" s="520"/>
      <c r="AM111" s="520"/>
      <c r="AN111" s="520"/>
      <c r="AO111" s="520"/>
    </row>
    <row r="112" spans="2:41" outlineLevel="1" x14ac:dyDescent="0.25">
      <c r="B112" s="503">
        <v>6281</v>
      </c>
      <c r="C112" s="504" t="s">
        <v>194</v>
      </c>
      <c r="D112" s="505"/>
      <c r="E112" s="506"/>
      <c r="F112" s="507"/>
      <c r="G112" s="507"/>
      <c r="H112" s="507"/>
      <c r="I112" s="508"/>
      <c r="J112" s="505"/>
      <c r="K112" s="509">
        <f>K87*I13</f>
        <v>4860</v>
      </c>
      <c r="L112" s="509">
        <f t="shared" ref="L112:W112" si="104">SUM(L10:L12)*$F$87</f>
        <v>405</v>
      </c>
      <c r="M112" s="509">
        <f t="shared" si="104"/>
        <v>405</v>
      </c>
      <c r="N112" s="509">
        <f t="shared" si="104"/>
        <v>405</v>
      </c>
      <c r="O112" s="509">
        <f t="shared" si="104"/>
        <v>405</v>
      </c>
      <c r="P112" s="509">
        <f t="shared" si="104"/>
        <v>405</v>
      </c>
      <c r="Q112" s="509">
        <f t="shared" si="104"/>
        <v>405</v>
      </c>
      <c r="R112" s="509">
        <f t="shared" si="104"/>
        <v>405</v>
      </c>
      <c r="S112" s="509">
        <f t="shared" si="104"/>
        <v>405</v>
      </c>
      <c r="T112" s="509">
        <f t="shared" si="104"/>
        <v>405</v>
      </c>
      <c r="U112" s="509">
        <f t="shared" si="104"/>
        <v>405</v>
      </c>
      <c r="V112" s="509">
        <f t="shared" si="104"/>
        <v>405</v>
      </c>
      <c r="W112" s="509">
        <f t="shared" si="104"/>
        <v>405</v>
      </c>
      <c r="X112" s="511"/>
      <c r="Y112" s="510">
        <f>Y87*X13</f>
        <v>5346</v>
      </c>
      <c r="Z112" s="512"/>
      <c r="AA112" s="510">
        <f>AA87*Z13</f>
        <v>5880.5999999999995</v>
      </c>
      <c r="AB112" s="513"/>
      <c r="AC112" s="510">
        <f>AC87*AB13</f>
        <v>6468.6600000000017</v>
      </c>
      <c r="AD112" s="513"/>
      <c r="AE112" s="510">
        <f>AE87*AD13</f>
        <v>7115.5260000000017</v>
      </c>
      <c r="AG112" s="482">
        <f>VLOOKUP(B112,'FY21'!C:AC,22)</f>
        <v>0</v>
      </c>
      <c r="AH112" s="482">
        <f t="shared" si="74"/>
        <v>4860</v>
      </c>
    </row>
    <row r="113" spans="2:41" outlineLevel="1" x14ac:dyDescent="0.25">
      <c r="B113" s="503">
        <v>6284</v>
      </c>
      <c r="C113" s="504" t="s">
        <v>205</v>
      </c>
      <c r="D113" s="505"/>
      <c r="E113" s="506"/>
      <c r="F113" s="507"/>
      <c r="G113" s="507"/>
      <c r="H113" s="507"/>
      <c r="I113" s="508"/>
      <c r="J113" s="505"/>
      <c r="K113" s="509">
        <f>K87*I19</f>
        <v>0</v>
      </c>
      <c r="L113" s="509">
        <f t="shared" ref="L113:W113" si="105">SUM(L16:L18)*$F$87</f>
        <v>101.25</v>
      </c>
      <c r="M113" s="509">
        <f t="shared" si="105"/>
        <v>101.25</v>
      </c>
      <c r="N113" s="509">
        <f t="shared" si="105"/>
        <v>101.25</v>
      </c>
      <c r="O113" s="509">
        <f t="shared" si="105"/>
        <v>101.25</v>
      </c>
      <c r="P113" s="509">
        <f t="shared" si="105"/>
        <v>101.25</v>
      </c>
      <c r="Q113" s="509">
        <f t="shared" si="105"/>
        <v>101.25</v>
      </c>
      <c r="R113" s="509">
        <f t="shared" si="105"/>
        <v>101.25</v>
      </c>
      <c r="S113" s="509">
        <f t="shared" si="105"/>
        <v>101.25</v>
      </c>
      <c r="T113" s="509">
        <f t="shared" si="105"/>
        <v>101.25</v>
      </c>
      <c r="U113" s="509">
        <f t="shared" si="105"/>
        <v>101.25</v>
      </c>
      <c r="V113" s="509">
        <f t="shared" si="105"/>
        <v>101.25</v>
      </c>
      <c r="W113" s="509">
        <f t="shared" si="105"/>
        <v>101.25</v>
      </c>
      <c r="X113" s="511"/>
      <c r="Y113" s="514">
        <f>Y87*X19</f>
        <v>0</v>
      </c>
      <c r="Z113" s="515"/>
      <c r="AA113" s="514">
        <f>AA87*Z19</f>
        <v>0</v>
      </c>
      <c r="AB113" s="516"/>
      <c r="AC113" s="514">
        <f>AC87*AB19</f>
        <v>0</v>
      </c>
      <c r="AD113" s="516"/>
      <c r="AE113" s="514">
        <f>AE87*AD19</f>
        <v>0</v>
      </c>
      <c r="AG113" s="482">
        <f>VLOOKUP(B113,'FY21'!C:AC,22)</f>
        <v>-3645</v>
      </c>
      <c r="AH113" s="482">
        <f t="shared" si="74"/>
        <v>3645</v>
      </c>
    </row>
    <row r="114" spans="2:41" outlineLevel="1" x14ac:dyDescent="0.25">
      <c r="B114" s="503">
        <v>6287</v>
      </c>
      <c r="C114" s="504" t="s">
        <v>196</v>
      </c>
      <c r="D114" s="505"/>
      <c r="E114" s="506"/>
      <c r="F114" s="507"/>
      <c r="G114" s="507"/>
      <c r="H114" s="507"/>
      <c r="I114" s="508"/>
      <c r="J114" s="505"/>
      <c r="K114" s="509">
        <f>K87*I25</f>
        <v>4860</v>
      </c>
      <c r="L114" s="514">
        <f t="shared" ref="L114:W114" si="106">SUM(L22:L24)*$F$87</f>
        <v>405</v>
      </c>
      <c r="M114" s="514">
        <f t="shared" si="106"/>
        <v>405</v>
      </c>
      <c r="N114" s="514">
        <f t="shared" si="106"/>
        <v>405</v>
      </c>
      <c r="O114" s="514">
        <f t="shared" si="106"/>
        <v>405</v>
      </c>
      <c r="P114" s="514">
        <f t="shared" si="106"/>
        <v>405</v>
      </c>
      <c r="Q114" s="514">
        <f t="shared" si="106"/>
        <v>405</v>
      </c>
      <c r="R114" s="514">
        <f t="shared" si="106"/>
        <v>405</v>
      </c>
      <c r="S114" s="514">
        <f t="shared" si="106"/>
        <v>405</v>
      </c>
      <c r="T114" s="514">
        <f t="shared" si="106"/>
        <v>405</v>
      </c>
      <c r="U114" s="514">
        <f t="shared" si="106"/>
        <v>405</v>
      </c>
      <c r="V114" s="514">
        <f t="shared" si="106"/>
        <v>405</v>
      </c>
      <c r="W114" s="514">
        <f t="shared" si="106"/>
        <v>405</v>
      </c>
      <c r="X114" s="511"/>
      <c r="Y114" s="514">
        <f>Y87*X25</f>
        <v>5346</v>
      </c>
      <c r="Z114" s="515"/>
      <c r="AA114" s="514">
        <f>AA87*Z25</f>
        <v>5880.5999999999995</v>
      </c>
      <c r="AB114" s="516"/>
      <c r="AC114" s="514">
        <f>AC87*AB25</f>
        <v>6468.6600000000017</v>
      </c>
      <c r="AD114" s="516"/>
      <c r="AE114" s="514">
        <f>AE87*AD25</f>
        <v>7115.5260000000017</v>
      </c>
      <c r="AG114" s="482">
        <f>VLOOKUP(B114,'FY21'!C:AC,22)</f>
        <v>4860</v>
      </c>
      <c r="AH114" s="482">
        <f t="shared" si="74"/>
        <v>0</v>
      </c>
    </row>
    <row r="115" spans="2:41" x14ac:dyDescent="0.25">
      <c r="B115" s="517"/>
      <c r="C115" s="518" t="s">
        <v>241</v>
      </c>
      <c r="D115" s="505"/>
      <c r="E115" s="506"/>
      <c r="F115" s="507"/>
      <c r="G115" s="507"/>
      <c r="H115" s="507"/>
      <c r="I115" s="508"/>
      <c r="J115" s="505"/>
      <c r="K115" s="648">
        <f>SUBTOTAL(9,K112:K114)</f>
        <v>9720</v>
      </c>
      <c r="L115" s="648">
        <f>SUBTOTAL(9,L112:L114)</f>
        <v>911.25</v>
      </c>
      <c r="M115" s="648">
        <f t="shared" ref="M115:W115" si="107">SUBTOTAL(9,M112:M114)</f>
        <v>911.25</v>
      </c>
      <c r="N115" s="648">
        <f t="shared" si="107"/>
        <v>911.25</v>
      </c>
      <c r="O115" s="648">
        <f t="shared" si="107"/>
        <v>911.25</v>
      </c>
      <c r="P115" s="648">
        <f t="shared" si="107"/>
        <v>911.25</v>
      </c>
      <c r="Q115" s="648">
        <f t="shared" si="107"/>
        <v>911.25</v>
      </c>
      <c r="R115" s="648">
        <f t="shared" si="107"/>
        <v>911.25</v>
      </c>
      <c r="S115" s="648">
        <f t="shared" si="107"/>
        <v>911.25</v>
      </c>
      <c r="T115" s="648">
        <f t="shared" si="107"/>
        <v>911.25</v>
      </c>
      <c r="U115" s="648">
        <f t="shared" si="107"/>
        <v>911.25</v>
      </c>
      <c r="V115" s="648">
        <f t="shared" si="107"/>
        <v>911.25</v>
      </c>
      <c r="W115" s="648">
        <f t="shared" si="107"/>
        <v>911.25</v>
      </c>
      <c r="X115" s="511"/>
      <c r="Y115" s="519">
        <f>SUBTOTAL(9,Y112:Y114)</f>
        <v>10692</v>
      </c>
      <c r="Z115" s="515"/>
      <c r="AA115" s="519">
        <f>SUBTOTAL(9,AA112:AA114)</f>
        <v>11761.199999999999</v>
      </c>
      <c r="AB115" s="516"/>
      <c r="AC115" s="519">
        <f>SUBTOTAL(9,AC112:AC114)</f>
        <v>12937.320000000003</v>
      </c>
      <c r="AD115" s="516"/>
      <c r="AE115" s="519">
        <f>SUBTOTAL(9,AE112:AE114)</f>
        <v>14231.052000000003</v>
      </c>
      <c r="AG115" s="446"/>
      <c r="AH115" s="446"/>
      <c r="AI115" s="520"/>
      <c r="AJ115" s="520"/>
      <c r="AK115" s="520"/>
      <c r="AL115" s="520"/>
      <c r="AM115" s="520"/>
      <c r="AN115" s="520"/>
      <c r="AO115" s="520"/>
    </row>
    <row r="116" spans="2:41" x14ac:dyDescent="0.25">
      <c r="B116" s="306"/>
      <c r="C116" s="313" t="s">
        <v>242</v>
      </c>
      <c r="K116" s="649">
        <f>SUBTOTAL(9,K88:K115)</f>
        <v>40537.720461999997</v>
      </c>
      <c r="L116" s="649">
        <f>SUBTOTAL(9,L88:L115)</f>
        <v>3478.0221218333336</v>
      </c>
      <c r="M116" s="649">
        <f t="shared" ref="M116:W116" si="108">SUBTOTAL(9,M88:M115)</f>
        <v>3501.077121833333</v>
      </c>
      <c r="N116" s="649">
        <f t="shared" si="108"/>
        <v>3501.077121833333</v>
      </c>
      <c r="O116" s="649">
        <f t="shared" si="108"/>
        <v>3490.2021218333334</v>
      </c>
      <c r="P116" s="649">
        <f t="shared" si="108"/>
        <v>3478.0221218333336</v>
      </c>
      <c r="Q116" s="649">
        <f t="shared" si="108"/>
        <v>3478.0221218333336</v>
      </c>
      <c r="R116" s="649">
        <f t="shared" si="108"/>
        <v>3488.8971218333336</v>
      </c>
      <c r="S116" s="649">
        <f t="shared" si="108"/>
        <v>3501.077121833333</v>
      </c>
      <c r="T116" s="649">
        <f t="shared" si="108"/>
        <v>3502.3821218333333</v>
      </c>
      <c r="U116" s="649">
        <f t="shared" si="108"/>
        <v>3478.0221218333336</v>
      </c>
      <c r="V116" s="649">
        <f t="shared" si="108"/>
        <v>3478.0221218333336</v>
      </c>
      <c r="W116" s="649">
        <f t="shared" si="108"/>
        <v>3488.8971218333336</v>
      </c>
      <c r="X116" s="379"/>
      <c r="Y116" s="524">
        <f>SUBTOTAL(9,Y88:Y115)</f>
        <v>63010.317246239989</v>
      </c>
      <c r="Z116" s="409"/>
      <c r="AA116" s="524">
        <f>SUBTOTAL(9,AA88:AA115)</f>
        <v>65069.72359116478</v>
      </c>
      <c r="AB116" s="523"/>
      <c r="AC116" s="524">
        <f>SUBTOTAL(9,AC88:AC115)</f>
        <v>67255.854062988088</v>
      </c>
      <c r="AD116" s="523"/>
      <c r="AE116" s="524">
        <f>SUBTOTAL(9,AE88:AE115)</f>
        <v>69579.796744247855</v>
      </c>
      <c r="AG116" s="446"/>
      <c r="AH116" s="446"/>
    </row>
    <row r="117" spans="2:41" x14ac:dyDescent="0.25">
      <c r="K117" s="528"/>
      <c r="AG117" s="446"/>
      <c r="AH117" s="446"/>
    </row>
    <row r="118" spans="2:41" x14ac:dyDescent="0.25">
      <c r="Y118" s="520"/>
      <c r="AG118" s="446"/>
      <c r="AH118" s="446"/>
    </row>
    <row r="119" spans="2:41" x14ac:dyDescent="0.25">
      <c r="Y119" s="520"/>
      <c r="AG119" s="446"/>
      <c r="AH119" s="446"/>
    </row>
    <row r="120" spans="2:41" x14ac:dyDescent="0.25">
      <c r="Y120" s="520"/>
      <c r="AG120" s="446"/>
      <c r="AH120" s="446"/>
    </row>
    <row r="121" spans="2:41" x14ac:dyDescent="0.25">
      <c r="Y121" s="520"/>
      <c r="AG121" s="446"/>
      <c r="AH121" s="446"/>
    </row>
    <row r="122" spans="2:41" x14ac:dyDescent="0.25">
      <c r="Y122" s="520"/>
      <c r="AG122" s="446"/>
      <c r="AH122" s="446"/>
    </row>
    <row r="123" spans="2:41" x14ac:dyDescent="0.25">
      <c r="Y123" s="520"/>
      <c r="AG123" s="446"/>
      <c r="AH123" s="446"/>
    </row>
    <row r="124" spans="2:41" x14ac:dyDescent="0.25">
      <c r="AG124" s="446"/>
      <c r="AH124" s="446"/>
    </row>
    <row r="125" spans="2:41" x14ac:dyDescent="0.25">
      <c r="AG125" s="446"/>
      <c r="AH125" s="446"/>
    </row>
    <row r="126" spans="2:41" x14ac:dyDescent="0.25">
      <c r="AG126" s="446"/>
      <c r="AH126" s="446"/>
    </row>
    <row r="127" spans="2:41" x14ac:dyDescent="0.25">
      <c r="AG127" s="446"/>
      <c r="AH127" s="446"/>
    </row>
    <row r="128" spans="2:41" x14ac:dyDescent="0.25">
      <c r="AG128" s="446"/>
      <c r="AH128" s="446"/>
    </row>
    <row r="129" spans="33:34" x14ac:dyDescent="0.25">
      <c r="AG129" s="446"/>
      <c r="AH129" s="446"/>
    </row>
    <row r="130" spans="33:34" x14ac:dyDescent="0.25">
      <c r="AG130" s="446"/>
      <c r="AH130" s="446"/>
    </row>
    <row r="131" spans="33:34" x14ac:dyDescent="0.25">
      <c r="AG131" s="446"/>
      <c r="AH131" s="446"/>
    </row>
    <row r="132" spans="33:34" x14ac:dyDescent="0.25">
      <c r="AG132" s="446"/>
      <c r="AH132" s="446"/>
    </row>
    <row r="133" spans="33:34" x14ac:dyDescent="0.25">
      <c r="AG133" s="446"/>
      <c r="AH133" s="446"/>
    </row>
    <row r="134" spans="33:34" x14ac:dyDescent="0.25">
      <c r="AG134" s="446"/>
      <c r="AH134" s="446"/>
    </row>
    <row r="135" spans="33:34" x14ac:dyDescent="0.25">
      <c r="AG135" s="446"/>
      <c r="AH135" s="446"/>
    </row>
    <row r="136" spans="33:34" x14ac:dyDescent="0.25">
      <c r="AG136" s="446"/>
      <c r="AH136" s="446"/>
    </row>
    <row r="137" spans="33:34" x14ac:dyDescent="0.25">
      <c r="AG137" s="446"/>
      <c r="AH137" s="446"/>
    </row>
    <row r="138" spans="33:34" x14ac:dyDescent="0.25">
      <c r="AG138" s="446"/>
      <c r="AH138" s="446"/>
    </row>
    <row r="139" spans="33:34" x14ac:dyDescent="0.25">
      <c r="AG139" s="446"/>
      <c r="AH139" s="446"/>
    </row>
    <row r="140" spans="33:34" x14ac:dyDescent="0.25">
      <c r="AG140" s="446"/>
      <c r="AH140" s="446"/>
    </row>
    <row r="141" spans="33:34" x14ac:dyDescent="0.25">
      <c r="AG141" s="446"/>
      <c r="AH141" s="446"/>
    </row>
    <row r="142" spans="33:34" x14ac:dyDescent="0.25">
      <c r="AG142" s="446"/>
      <c r="AH142" s="446"/>
    </row>
    <row r="143" spans="33:34" x14ac:dyDescent="0.25">
      <c r="AG143" s="446"/>
      <c r="AH143" s="446"/>
    </row>
    <row r="144" spans="33:34" x14ac:dyDescent="0.25">
      <c r="AG144" s="446"/>
      <c r="AH144" s="446"/>
    </row>
    <row r="145" spans="33:34" x14ac:dyDescent="0.25">
      <c r="AG145" s="446"/>
      <c r="AH145" s="446"/>
    </row>
    <row r="146" spans="33:34" x14ac:dyDescent="0.25">
      <c r="AG146" s="446"/>
      <c r="AH146" s="446"/>
    </row>
    <row r="147" spans="33:34" x14ac:dyDescent="0.25">
      <c r="AG147" s="446"/>
      <c r="AH147" s="446"/>
    </row>
    <row r="148" spans="33:34" x14ac:dyDescent="0.25">
      <c r="AG148" s="446"/>
      <c r="AH148" s="446"/>
    </row>
    <row r="149" spans="33:34" x14ac:dyDescent="0.25">
      <c r="AG149" s="446"/>
      <c r="AH149" s="446"/>
    </row>
    <row r="150" spans="33:34" x14ac:dyDescent="0.25">
      <c r="AG150" s="446"/>
      <c r="AH150" s="446"/>
    </row>
    <row r="151" spans="33:34" x14ac:dyDescent="0.25">
      <c r="AG151" s="446"/>
      <c r="AH151" s="446"/>
    </row>
    <row r="152" spans="33:34" x14ac:dyDescent="0.25">
      <c r="AG152" s="446"/>
      <c r="AH152" s="446"/>
    </row>
    <row r="153" spans="33:34" x14ac:dyDescent="0.25">
      <c r="AG153" s="446"/>
      <c r="AH153" s="446"/>
    </row>
    <row r="154" spans="33:34" x14ac:dyDescent="0.25">
      <c r="AG154" s="446"/>
      <c r="AH154" s="446"/>
    </row>
    <row r="155" spans="33:34" x14ac:dyDescent="0.25">
      <c r="AG155" s="446"/>
      <c r="AH155" s="446"/>
    </row>
    <row r="156" spans="33:34" x14ac:dyDescent="0.25">
      <c r="AG156" s="446"/>
      <c r="AH156" s="446"/>
    </row>
    <row r="157" spans="33:34" x14ac:dyDescent="0.25">
      <c r="AG157" s="446"/>
      <c r="AH157" s="446"/>
    </row>
    <row r="158" spans="33:34" x14ac:dyDescent="0.25">
      <c r="AG158" s="446"/>
      <c r="AH158" s="446"/>
    </row>
    <row r="159" spans="33:34" x14ac:dyDescent="0.25">
      <c r="AG159" s="446"/>
      <c r="AH159" s="446"/>
    </row>
    <row r="160" spans="33:34" x14ac:dyDescent="0.25">
      <c r="AG160" s="446"/>
      <c r="AH160" s="446"/>
    </row>
    <row r="161" spans="33:34" x14ac:dyDescent="0.25">
      <c r="AG161" s="446"/>
      <c r="AH161" s="446"/>
    </row>
    <row r="162" spans="33:34" x14ac:dyDescent="0.25">
      <c r="AG162" s="446"/>
      <c r="AH162" s="446"/>
    </row>
    <row r="163" spans="33:34" x14ac:dyDescent="0.25">
      <c r="AG163" s="446"/>
      <c r="AH163" s="446"/>
    </row>
    <row r="164" spans="33:34" x14ac:dyDescent="0.25">
      <c r="AG164" s="446"/>
      <c r="AH164" s="446"/>
    </row>
    <row r="165" spans="33:34" x14ac:dyDescent="0.25">
      <c r="AG165" s="446"/>
      <c r="AH165" s="446"/>
    </row>
    <row r="166" spans="33:34" x14ac:dyDescent="0.25">
      <c r="AG166" s="446"/>
      <c r="AH166" s="446"/>
    </row>
    <row r="167" spans="33:34" x14ac:dyDescent="0.25">
      <c r="AG167" s="446"/>
      <c r="AH167" s="446"/>
    </row>
    <row r="168" spans="33:34" x14ac:dyDescent="0.25">
      <c r="AG168" s="446"/>
      <c r="AH168" s="446"/>
    </row>
    <row r="169" spans="33:34" x14ac:dyDescent="0.25">
      <c r="AG169" s="446"/>
      <c r="AH169" s="446"/>
    </row>
    <row r="170" spans="33:34" x14ac:dyDescent="0.25">
      <c r="AG170" s="446"/>
      <c r="AH170" s="446"/>
    </row>
    <row r="171" spans="33:34" x14ac:dyDescent="0.25">
      <c r="AG171" s="446"/>
      <c r="AH171" s="446"/>
    </row>
    <row r="172" spans="33:34" x14ac:dyDescent="0.25">
      <c r="AG172" s="446"/>
      <c r="AH172" s="446"/>
    </row>
    <row r="173" spans="33:34" x14ac:dyDescent="0.25">
      <c r="AG173" s="446"/>
      <c r="AH173" s="446"/>
    </row>
    <row r="174" spans="33:34" x14ac:dyDescent="0.25">
      <c r="AG174" s="446"/>
      <c r="AH174" s="446"/>
    </row>
    <row r="175" spans="33:34" x14ac:dyDescent="0.25">
      <c r="AG175" s="446"/>
      <c r="AH175" s="446"/>
    </row>
    <row r="176" spans="33:34" x14ac:dyDescent="0.25">
      <c r="AG176" s="446"/>
      <c r="AH176" s="446"/>
    </row>
    <row r="177" spans="33:34" x14ac:dyDescent="0.25">
      <c r="AG177" s="446"/>
      <c r="AH177" s="446"/>
    </row>
    <row r="178" spans="33:34" x14ac:dyDescent="0.25">
      <c r="AG178" s="446"/>
      <c r="AH178" s="446"/>
    </row>
    <row r="179" spans="33:34" x14ac:dyDescent="0.25">
      <c r="AG179" s="446"/>
      <c r="AH179" s="446"/>
    </row>
    <row r="180" spans="33:34" x14ac:dyDescent="0.25">
      <c r="AG180" s="446"/>
      <c r="AH180" s="446"/>
    </row>
    <row r="181" spans="33:34" x14ac:dyDescent="0.25">
      <c r="AG181" s="446"/>
      <c r="AH181" s="446"/>
    </row>
    <row r="182" spans="33:34" x14ac:dyDescent="0.25">
      <c r="AG182" s="446"/>
      <c r="AH182" s="446"/>
    </row>
    <row r="183" spans="33:34" x14ac:dyDescent="0.25">
      <c r="AG183" s="446"/>
      <c r="AH183" s="446"/>
    </row>
    <row r="184" spans="33:34" x14ac:dyDescent="0.25">
      <c r="AG184" s="446"/>
      <c r="AH184" s="446"/>
    </row>
    <row r="185" spans="33:34" x14ac:dyDescent="0.25">
      <c r="AG185" s="446"/>
      <c r="AH185" s="446"/>
    </row>
    <row r="186" spans="33:34" x14ac:dyDescent="0.25">
      <c r="AG186" s="446"/>
      <c r="AH186" s="446"/>
    </row>
    <row r="187" spans="33:34" x14ac:dyDescent="0.25">
      <c r="AG187" s="446"/>
      <c r="AH187" s="446"/>
    </row>
    <row r="188" spans="33:34" x14ac:dyDescent="0.25">
      <c r="AG188" s="446"/>
      <c r="AH188" s="446"/>
    </row>
    <row r="189" spans="33:34" x14ac:dyDescent="0.25">
      <c r="AG189" s="446"/>
      <c r="AH189" s="446"/>
    </row>
    <row r="190" spans="33:34" x14ac:dyDescent="0.25">
      <c r="AG190" s="446"/>
      <c r="AH190" s="446"/>
    </row>
    <row r="191" spans="33:34" x14ac:dyDescent="0.25">
      <c r="AG191" s="446"/>
      <c r="AH191" s="446"/>
    </row>
    <row r="192" spans="33:34" x14ac:dyDescent="0.25">
      <c r="AG192" s="446"/>
      <c r="AH192" s="446"/>
    </row>
    <row r="193" spans="33:34" x14ac:dyDescent="0.25">
      <c r="AG193" s="446"/>
      <c r="AH193" s="446"/>
    </row>
    <row r="194" spans="33:34" x14ac:dyDescent="0.25">
      <c r="AG194" s="446"/>
      <c r="AH194" s="446"/>
    </row>
    <row r="195" spans="33:34" x14ac:dyDescent="0.25">
      <c r="AG195" s="446"/>
      <c r="AH195" s="446"/>
    </row>
    <row r="196" spans="33:34" x14ac:dyDescent="0.25">
      <c r="AG196" s="446"/>
      <c r="AH196" s="446"/>
    </row>
    <row r="197" spans="33:34" x14ac:dyDescent="0.25">
      <c r="AG197" s="446"/>
      <c r="AH197" s="446"/>
    </row>
    <row r="198" spans="33:34" x14ac:dyDescent="0.25">
      <c r="AG198" s="446"/>
      <c r="AH198" s="446"/>
    </row>
    <row r="199" spans="33:34" x14ac:dyDescent="0.25">
      <c r="AG199" s="446"/>
      <c r="AH199" s="446"/>
    </row>
    <row r="200" spans="33:34" x14ac:dyDescent="0.25">
      <c r="AG200" s="446"/>
      <c r="AH200" s="446"/>
    </row>
    <row r="201" spans="33:34" x14ac:dyDescent="0.25">
      <c r="AG201" s="446"/>
      <c r="AH201" s="446"/>
    </row>
    <row r="202" spans="33:34" x14ac:dyDescent="0.25">
      <c r="AG202" s="446"/>
      <c r="AH202" s="446"/>
    </row>
    <row r="203" spans="33:34" x14ac:dyDescent="0.25">
      <c r="AG203" s="446"/>
      <c r="AH203" s="446"/>
    </row>
    <row r="204" spans="33:34" x14ac:dyDescent="0.25">
      <c r="AG204" s="446"/>
      <c r="AH204" s="446"/>
    </row>
    <row r="205" spans="33:34" x14ac:dyDescent="0.25">
      <c r="AG205" s="446"/>
      <c r="AH205" s="446"/>
    </row>
    <row r="206" spans="33:34" x14ac:dyDescent="0.25">
      <c r="AG206" s="446"/>
      <c r="AH206" s="446"/>
    </row>
    <row r="207" spans="33:34" x14ac:dyDescent="0.25">
      <c r="AG207" s="446"/>
      <c r="AH207" s="446"/>
    </row>
    <row r="208" spans="33:34" x14ac:dyDescent="0.25">
      <c r="AG208" s="446"/>
      <c r="AH208" s="446"/>
    </row>
    <row r="209" spans="33:34" x14ac:dyDescent="0.25">
      <c r="AG209" s="446"/>
      <c r="AH209" s="446"/>
    </row>
    <row r="210" spans="33:34" x14ac:dyDescent="0.25">
      <c r="AG210" s="446"/>
      <c r="AH210" s="446"/>
    </row>
    <row r="211" spans="33:34" x14ac:dyDescent="0.25">
      <c r="AG211" s="446"/>
      <c r="AH211" s="446"/>
    </row>
    <row r="212" spans="33:34" x14ac:dyDescent="0.25">
      <c r="AG212" s="446"/>
      <c r="AH212" s="446"/>
    </row>
    <row r="213" spans="33:34" x14ac:dyDescent="0.25">
      <c r="AG213" s="446"/>
      <c r="AH213" s="446"/>
    </row>
    <row r="214" spans="33:34" x14ac:dyDescent="0.25">
      <c r="AG214" s="446"/>
      <c r="AH214" s="446"/>
    </row>
    <row r="215" spans="33:34" x14ac:dyDescent="0.25">
      <c r="AG215" s="446"/>
      <c r="AH215" s="446"/>
    </row>
    <row r="216" spans="33:34" x14ac:dyDescent="0.25">
      <c r="AG216" s="446"/>
      <c r="AH216" s="446"/>
    </row>
    <row r="217" spans="33:34" x14ac:dyDescent="0.25">
      <c r="AG217" s="446"/>
      <c r="AH217" s="446"/>
    </row>
    <row r="218" spans="33:34" x14ac:dyDescent="0.25">
      <c r="AG218" s="446"/>
      <c r="AH218" s="446"/>
    </row>
    <row r="219" spans="33:34" x14ac:dyDescent="0.25">
      <c r="AG219" s="446"/>
      <c r="AH219" s="446"/>
    </row>
    <row r="220" spans="33:34" x14ac:dyDescent="0.25">
      <c r="AG220" s="446"/>
      <c r="AH220" s="446"/>
    </row>
    <row r="221" spans="33:34" x14ac:dyDescent="0.25">
      <c r="AG221" s="446"/>
      <c r="AH221" s="446"/>
    </row>
    <row r="222" spans="33:34" x14ac:dyDescent="0.25">
      <c r="AG222" s="446"/>
      <c r="AH222" s="446"/>
    </row>
    <row r="223" spans="33:34" x14ac:dyDescent="0.25">
      <c r="AG223" s="446"/>
      <c r="AH223" s="446"/>
    </row>
    <row r="224" spans="33:34" x14ac:dyDescent="0.25">
      <c r="AG224" s="446"/>
      <c r="AH224" s="446"/>
    </row>
    <row r="225" spans="33:34" x14ac:dyDescent="0.25">
      <c r="AG225" s="446"/>
      <c r="AH225" s="446"/>
    </row>
    <row r="226" spans="33:34" x14ac:dyDescent="0.25">
      <c r="AG226" s="446"/>
      <c r="AH226" s="446"/>
    </row>
    <row r="227" spans="33:34" x14ac:dyDescent="0.25">
      <c r="AG227" s="446"/>
      <c r="AH227" s="446"/>
    </row>
    <row r="228" spans="33:34" x14ac:dyDescent="0.25">
      <c r="AG228" s="446"/>
      <c r="AH228" s="446"/>
    </row>
    <row r="229" spans="33:34" x14ac:dyDescent="0.25">
      <c r="AG229" s="446"/>
      <c r="AH229" s="446"/>
    </row>
    <row r="230" spans="33:34" x14ac:dyDescent="0.25">
      <c r="AG230" s="446"/>
      <c r="AH230" s="446"/>
    </row>
    <row r="231" spans="33:34" x14ac:dyDescent="0.25">
      <c r="AG231" s="446"/>
      <c r="AH231" s="446"/>
    </row>
    <row r="232" spans="33:34" x14ac:dyDescent="0.25">
      <c r="AG232" s="446"/>
      <c r="AH232" s="446"/>
    </row>
    <row r="233" spans="33:34" x14ac:dyDescent="0.25">
      <c r="AG233" s="446"/>
      <c r="AH233" s="446"/>
    </row>
    <row r="234" spans="33:34" x14ac:dyDescent="0.25">
      <c r="AG234" s="446"/>
      <c r="AH234" s="446"/>
    </row>
    <row r="235" spans="33:34" x14ac:dyDescent="0.25">
      <c r="AG235" s="446"/>
      <c r="AH235" s="446"/>
    </row>
    <row r="236" spans="33:34" x14ac:dyDescent="0.25">
      <c r="AG236" s="446"/>
      <c r="AH236" s="446"/>
    </row>
    <row r="237" spans="33:34" x14ac:dyDescent="0.25">
      <c r="AG237" s="446"/>
      <c r="AH237" s="446"/>
    </row>
    <row r="238" spans="33:34" x14ac:dyDescent="0.25">
      <c r="AG238" s="446"/>
      <c r="AH238" s="446"/>
    </row>
    <row r="239" spans="33:34" x14ac:dyDescent="0.25">
      <c r="AG239" s="446"/>
      <c r="AH239" s="446"/>
    </row>
    <row r="240" spans="33:34" x14ac:dyDescent="0.25">
      <c r="AG240" s="446"/>
      <c r="AH240" s="446"/>
    </row>
    <row r="241" spans="33:34" x14ac:dyDescent="0.25">
      <c r="AG241" s="446"/>
      <c r="AH241" s="446"/>
    </row>
    <row r="242" spans="33:34" x14ac:dyDescent="0.25">
      <c r="AG242" s="446"/>
      <c r="AH242" s="446"/>
    </row>
    <row r="243" spans="33:34" x14ac:dyDescent="0.25">
      <c r="AG243" s="446"/>
      <c r="AH243" s="446"/>
    </row>
    <row r="244" spans="33:34" x14ac:dyDescent="0.25">
      <c r="AG244" s="446"/>
      <c r="AH244" s="446"/>
    </row>
    <row r="245" spans="33:34" x14ac:dyDescent="0.25">
      <c r="AG245" s="446"/>
      <c r="AH245" s="446"/>
    </row>
    <row r="246" spans="33:34" x14ac:dyDescent="0.25">
      <c r="AG246" s="446"/>
      <c r="AH246" s="446"/>
    </row>
    <row r="247" spans="33:34" x14ac:dyDescent="0.25">
      <c r="AG247" s="446"/>
      <c r="AH247" s="446"/>
    </row>
    <row r="248" spans="33:34" x14ac:dyDescent="0.25">
      <c r="AG248" s="446"/>
      <c r="AH248" s="446"/>
    </row>
    <row r="249" spans="33:34" x14ac:dyDescent="0.25">
      <c r="AG249" s="446"/>
      <c r="AH249" s="446"/>
    </row>
    <row r="250" spans="33:34" x14ac:dyDescent="0.25">
      <c r="AG250" s="446"/>
      <c r="AH250" s="446"/>
    </row>
    <row r="251" spans="33:34" x14ac:dyDescent="0.25">
      <c r="AG251" s="446"/>
      <c r="AH251" s="446"/>
    </row>
    <row r="252" spans="33:34" x14ac:dyDescent="0.25">
      <c r="AG252" s="446"/>
      <c r="AH252" s="446"/>
    </row>
    <row r="253" spans="33:34" x14ac:dyDescent="0.25">
      <c r="AG253" s="446"/>
      <c r="AH253" s="446"/>
    </row>
    <row r="254" spans="33:34" x14ac:dyDescent="0.25">
      <c r="AG254" s="446"/>
      <c r="AH254" s="446"/>
    </row>
    <row r="255" spans="33:34" x14ac:dyDescent="0.25">
      <c r="AG255" s="446"/>
      <c r="AH255" s="446"/>
    </row>
    <row r="256" spans="33:34" x14ac:dyDescent="0.25">
      <c r="AG256" s="446"/>
      <c r="AH256" s="446"/>
    </row>
    <row r="257" spans="33:34" x14ac:dyDescent="0.25">
      <c r="AG257" s="446"/>
      <c r="AH257" s="446"/>
    </row>
    <row r="258" spans="33:34" x14ac:dyDescent="0.25">
      <c r="AG258" s="446"/>
      <c r="AH258" s="446"/>
    </row>
    <row r="259" spans="33:34" x14ac:dyDescent="0.25">
      <c r="AG259" s="446"/>
      <c r="AH259" s="446"/>
    </row>
    <row r="260" spans="33:34" x14ac:dyDescent="0.25">
      <c r="AG260" s="446"/>
      <c r="AH260" s="446"/>
    </row>
    <row r="261" spans="33:34" x14ac:dyDescent="0.25">
      <c r="AG261" s="446"/>
      <c r="AH261" s="446"/>
    </row>
    <row r="262" spans="33:34" x14ac:dyDescent="0.25">
      <c r="AG262" s="446"/>
      <c r="AH262" s="446"/>
    </row>
    <row r="263" spans="33:34" x14ac:dyDescent="0.25">
      <c r="AG263" s="446"/>
      <c r="AH263" s="446"/>
    </row>
    <row r="264" spans="33:34" x14ac:dyDescent="0.25">
      <c r="AG264" s="446"/>
      <c r="AH264" s="446"/>
    </row>
    <row r="265" spans="33:34" x14ac:dyDescent="0.25">
      <c r="AG265" s="446"/>
      <c r="AH265" s="446"/>
    </row>
    <row r="266" spans="33:34" x14ac:dyDescent="0.25">
      <c r="AG266" s="446"/>
      <c r="AH266" s="446"/>
    </row>
    <row r="267" spans="33:34" x14ac:dyDescent="0.25">
      <c r="AG267" s="446"/>
      <c r="AH267" s="446"/>
    </row>
    <row r="268" spans="33:34" x14ac:dyDescent="0.25">
      <c r="AG268" s="446"/>
      <c r="AH268" s="446"/>
    </row>
    <row r="269" spans="33:34" x14ac:dyDescent="0.25">
      <c r="AG269" s="446"/>
      <c r="AH269" s="446"/>
    </row>
    <row r="270" spans="33:34" x14ac:dyDescent="0.25">
      <c r="AG270" s="446"/>
      <c r="AH270" s="446"/>
    </row>
    <row r="271" spans="33:34" x14ac:dyDescent="0.25">
      <c r="AG271" s="446"/>
      <c r="AH271" s="446"/>
    </row>
    <row r="272" spans="33:34" x14ac:dyDescent="0.25">
      <c r="AG272" s="446"/>
      <c r="AH272" s="446"/>
    </row>
    <row r="273" spans="33:34" x14ac:dyDescent="0.25">
      <c r="AG273" s="446"/>
      <c r="AH273" s="446"/>
    </row>
    <row r="274" spans="33:34" x14ac:dyDescent="0.25">
      <c r="AG274" s="446"/>
      <c r="AH274" s="446"/>
    </row>
    <row r="275" spans="33:34" x14ac:dyDescent="0.25">
      <c r="AG275" s="446"/>
      <c r="AH275" s="446"/>
    </row>
    <row r="276" spans="33:34" x14ac:dyDescent="0.25">
      <c r="AG276" s="446"/>
      <c r="AH276" s="446"/>
    </row>
    <row r="277" spans="33:34" x14ac:dyDescent="0.25">
      <c r="AG277" s="446"/>
      <c r="AH277" s="446"/>
    </row>
    <row r="278" spans="33:34" x14ac:dyDescent="0.25">
      <c r="AG278" s="446"/>
      <c r="AH278" s="446"/>
    </row>
    <row r="279" spans="33:34" x14ac:dyDescent="0.25">
      <c r="AG279" s="446"/>
      <c r="AH279" s="446"/>
    </row>
    <row r="280" spans="33:34" x14ac:dyDescent="0.25">
      <c r="AG280" s="446"/>
      <c r="AH280" s="446"/>
    </row>
    <row r="281" spans="33:34" x14ac:dyDescent="0.25">
      <c r="AG281" s="446"/>
      <c r="AH281" s="446"/>
    </row>
    <row r="282" spans="33:34" x14ac:dyDescent="0.25">
      <c r="AG282" s="446"/>
      <c r="AH282" s="446"/>
    </row>
    <row r="283" spans="33:34" x14ac:dyDescent="0.25">
      <c r="AG283" s="446"/>
      <c r="AH283" s="446"/>
    </row>
    <row r="284" spans="33:34" x14ac:dyDescent="0.25">
      <c r="AG284" s="446"/>
      <c r="AH284" s="446"/>
    </row>
    <row r="285" spans="33:34" x14ac:dyDescent="0.25">
      <c r="AG285" s="446"/>
      <c r="AH285" s="446"/>
    </row>
    <row r="286" spans="33:34" x14ac:dyDescent="0.25">
      <c r="AG286" s="446"/>
      <c r="AH286" s="446"/>
    </row>
    <row r="287" spans="33:34" x14ac:dyDescent="0.25">
      <c r="AG287" s="446"/>
      <c r="AH287" s="446"/>
    </row>
    <row r="288" spans="33:34" x14ac:dyDescent="0.25">
      <c r="AG288" s="446"/>
      <c r="AH288" s="446"/>
    </row>
    <row r="289" spans="33:34" x14ac:dyDescent="0.25">
      <c r="AG289" s="446"/>
      <c r="AH289" s="446"/>
    </row>
    <row r="290" spans="33:34" x14ac:dyDescent="0.25">
      <c r="AG290" s="446"/>
      <c r="AH290" s="446"/>
    </row>
    <row r="291" spans="33:34" x14ac:dyDescent="0.25">
      <c r="AG291" s="446"/>
      <c r="AH291" s="446"/>
    </row>
    <row r="292" spans="33:34" x14ac:dyDescent="0.25">
      <c r="AG292" s="446"/>
      <c r="AH292" s="446"/>
    </row>
    <row r="293" spans="33:34" x14ac:dyDescent="0.25">
      <c r="AG293" s="446"/>
      <c r="AH293" s="446"/>
    </row>
    <row r="294" spans="33:34" x14ac:dyDescent="0.25">
      <c r="AG294" s="446"/>
      <c r="AH294" s="446"/>
    </row>
  </sheetData>
  <sheetProtection algorithmName="SHA-512" hashValue="DaUDt0SUYsSnLOk4YI0+p0VS3qIMRKmIFgEq4IqmQWUtt/o1ihH59S380YyZV78v+abpUjD3Yi3JK+oaToycyw==" saltValue="IcUlrolgdBE9NOeA0F32pA==" spinCount="100000" sheet="1" selectLockedCells="1" selectUnlockedCells="1"/>
  <mergeCells count="12">
    <mergeCell ref="B70:AE70"/>
    <mergeCell ref="D5:D6"/>
    <mergeCell ref="F5:F6"/>
    <mergeCell ref="I5:AE5"/>
    <mergeCell ref="B5:B6"/>
    <mergeCell ref="X6:Y6"/>
    <mergeCell ref="Z6:AA6"/>
    <mergeCell ref="AB6:AC6"/>
    <mergeCell ref="AD6:AE6"/>
    <mergeCell ref="C5:C6"/>
    <mergeCell ref="E5:E6"/>
    <mergeCell ref="G5:H6"/>
  </mergeCells>
  <phoneticPr fontId="13" type="noConversion"/>
  <pageMargins left="0.7" right="0.7" top="0.75" bottom="0.75" header="0.3" footer="0.3"/>
  <pageSetup orientation="portrait" horizontalDpi="1200" verticalDpi="1200" r:id="rId1"/>
  <ignoredErrors>
    <ignoredError sqref="Y48:AE48 Y12:AE12 Y18:AE18 Y24:AE24 Y14:AE14 AF14:AF15 AF24:AF25 AF23 AF17 Z68 AB68 AD68 Z13 AB13 AD13 Y20:AE20 Z19 AB19 AD19 Z25 AB25 AD25 Y26:AE26 Y32:AE32 Y38:AE38 Z37 AB37 AD37 Y44:AE44 Y50:AE50 Y56:AE56 Y62:AE62 X14 X18 X24 X26 Y30 Y36:AE36 X36 Y42:AE42 X42 X48 Y54 Y60 Y66 AF18:AF21 AF26:AF27 AF30:AF33 AF36:AF39 AF42:AF45 X20 X32 X38 X44 X50 X56 X62 AA54 AC54 AE54 AA60 AC60 AE60 AA66 AC66 AE66 AA30 AC30 AE30" formula="1"/>
  </ignoredError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7" tint="0.79998168889431442"/>
  </sheetPr>
  <dimension ref="A1:AL486"/>
  <sheetViews>
    <sheetView workbookViewId="0">
      <selection sqref="A1:XFD1048576"/>
    </sheetView>
  </sheetViews>
  <sheetFormatPr defaultColWidth="9.140625" defaultRowHeight="15" outlineLevelRow="1" x14ac:dyDescent="0.25"/>
  <cols>
    <col min="1" max="1" width="2.140625" style="15" customWidth="1"/>
    <col min="2" max="2" width="4" style="15" customWidth="1"/>
    <col min="3" max="3" width="9.140625" style="16" customWidth="1"/>
    <col min="4" max="4" width="10.7109375" style="296" bestFit="1" customWidth="1"/>
    <col min="5" max="5" width="73.140625" style="303" bestFit="1" customWidth="1"/>
    <col min="6" max="6" width="9.85546875" style="284" bestFit="1" customWidth="1"/>
    <col min="7" max="7" width="10.7109375" style="561" bestFit="1" customWidth="1"/>
    <col min="8" max="8" width="11.7109375" style="554" customWidth="1"/>
    <col min="9" max="9" width="2.140625" style="15" customWidth="1"/>
    <col min="10" max="10" width="9" style="629" customWidth="1"/>
    <col min="11" max="22" width="7.85546875" style="672" customWidth="1"/>
    <col min="23" max="23" width="11.7109375" style="554" customWidth="1"/>
    <col min="24" max="24" width="8.140625" style="15" customWidth="1"/>
    <col min="25" max="25" width="13.140625" style="290" bestFit="1" customWidth="1"/>
    <col min="26" max="26" width="10.7109375" style="290" bestFit="1" customWidth="1"/>
    <col min="27" max="29" width="9.140625" style="15"/>
    <col min="30" max="30" width="9.85546875" style="15" bestFit="1" customWidth="1"/>
    <col min="31" max="16384" width="9.140625" style="15"/>
  </cols>
  <sheetData>
    <row r="1" spans="1:38" s="1" customFormat="1" ht="21" x14ac:dyDescent="0.35">
      <c r="A1" s="11" t="str">
        <f>'Rev &amp; Enroll'!F5</f>
        <v>Nevada State High School (Northwest)</v>
      </c>
      <c r="B1" s="11"/>
      <c r="C1" s="17"/>
      <c r="D1" s="291"/>
      <c r="E1" s="297"/>
      <c r="F1" s="278"/>
      <c r="G1" s="555"/>
      <c r="H1" s="547"/>
      <c r="I1" s="2"/>
      <c r="J1" s="556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8"/>
      <c r="W1" s="547"/>
      <c r="X1" s="2"/>
      <c r="Y1" s="285"/>
      <c r="Z1" s="286"/>
      <c r="AA1" s="3"/>
      <c r="AB1" s="3"/>
      <c r="AC1" s="3"/>
      <c r="AD1" s="3"/>
      <c r="AE1" s="3"/>
      <c r="AF1" s="3"/>
      <c r="AG1" s="3"/>
      <c r="AH1" s="2"/>
      <c r="AI1" s="2"/>
      <c r="AK1" s="2"/>
      <c r="AL1" s="2"/>
    </row>
    <row r="2" spans="1:38" s="1" customFormat="1" x14ac:dyDescent="0.25">
      <c r="A2" s="12" t="s">
        <v>135</v>
      </c>
      <c r="B2" s="12"/>
      <c r="C2" s="17"/>
      <c r="D2" s="291"/>
      <c r="E2" s="298"/>
      <c r="F2" s="278"/>
      <c r="G2" s="618"/>
      <c r="H2" s="547"/>
      <c r="I2" s="2"/>
      <c r="J2" s="621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8"/>
      <c r="W2" s="547"/>
      <c r="X2" s="2"/>
      <c r="Y2" s="285"/>
      <c r="Z2" s="285"/>
      <c r="AA2" s="2"/>
      <c r="AB2" s="2"/>
      <c r="AE2" s="2"/>
      <c r="AF2" s="2"/>
      <c r="AH2" s="4"/>
      <c r="AI2" s="4"/>
      <c r="AK2" s="4"/>
      <c r="AL2" s="4"/>
    </row>
    <row r="3" spans="1:38" s="6" customFormat="1" ht="13.5" customHeight="1" x14ac:dyDescent="0.2">
      <c r="A3" s="5" t="str">
        <f>'FY21'!A3</f>
        <v>Board Approved: Proposed: 4/16/2020</v>
      </c>
      <c r="B3" s="5"/>
      <c r="C3" s="17"/>
      <c r="D3" s="292"/>
      <c r="E3" s="299"/>
      <c r="F3" s="279"/>
      <c r="G3" s="556"/>
      <c r="H3" s="548"/>
      <c r="I3" s="7"/>
      <c r="J3" s="556"/>
      <c r="K3" s="669"/>
      <c r="L3" s="669"/>
      <c r="M3" s="669"/>
      <c r="N3" s="669"/>
      <c r="O3" s="669"/>
      <c r="P3" s="669"/>
      <c r="Q3" s="669"/>
      <c r="R3" s="669"/>
      <c r="S3" s="669"/>
      <c r="T3" s="669"/>
      <c r="U3" s="669"/>
      <c r="V3" s="669"/>
      <c r="W3" s="548"/>
      <c r="X3" s="7"/>
      <c r="Y3" s="287"/>
      <c r="Z3" s="287"/>
      <c r="AA3" s="7"/>
      <c r="AB3" s="7"/>
      <c r="AC3" s="7"/>
      <c r="AD3" s="7"/>
      <c r="AE3" s="2"/>
      <c r="AF3" s="7"/>
      <c r="AG3" s="8"/>
      <c r="AH3" s="7"/>
      <c r="AI3" s="7"/>
      <c r="AK3" s="7"/>
      <c r="AL3" s="7"/>
    </row>
    <row r="4" spans="1:38" s="63" customFormat="1" ht="12" x14ac:dyDescent="0.2">
      <c r="C4" s="64"/>
      <c r="D4" s="293"/>
      <c r="E4" s="300"/>
      <c r="F4" s="708" t="s">
        <v>536</v>
      </c>
      <c r="G4" s="709"/>
      <c r="H4" s="710"/>
      <c r="J4" s="64"/>
      <c r="K4" s="705" t="s">
        <v>535</v>
      </c>
      <c r="L4" s="706"/>
      <c r="M4" s="706"/>
      <c r="N4" s="706"/>
      <c r="O4" s="706"/>
      <c r="P4" s="706"/>
      <c r="Q4" s="706"/>
      <c r="R4" s="706"/>
      <c r="S4" s="706"/>
      <c r="T4" s="706"/>
      <c r="U4" s="706"/>
      <c r="V4" s="707"/>
      <c r="W4" s="549"/>
      <c r="Y4" s="288"/>
      <c r="Z4" s="288"/>
    </row>
    <row r="5" spans="1:38" s="63" customFormat="1" ht="12" x14ac:dyDescent="0.2">
      <c r="C5" s="65" t="s">
        <v>245</v>
      </c>
      <c r="D5" s="294" t="s">
        <v>292</v>
      </c>
      <c r="E5" s="294" t="s">
        <v>131</v>
      </c>
      <c r="F5" s="281" t="s">
        <v>132</v>
      </c>
      <c r="G5" s="558" t="s">
        <v>133</v>
      </c>
      <c r="H5" s="550" t="s">
        <v>134</v>
      </c>
      <c r="J5" s="558" t="s">
        <v>537</v>
      </c>
      <c r="K5" s="670" t="s">
        <v>156</v>
      </c>
      <c r="L5" s="670" t="s">
        <v>157</v>
      </c>
      <c r="M5" s="670" t="s">
        <v>158</v>
      </c>
      <c r="N5" s="670" t="s">
        <v>159</v>
      </c>
      <c r="O5" s="670" t="s">
        <v>160</v>
      </c>
      <c r="P5" s="670" t="s">
        <v>161</v>
      </c>
      <c r="Q5" s="670" t="s">
        <v>162</v>
      </c>
      <c r="R5" s="670" t="s">
        <v>163</v>
      </c>
      <c r="S5" s="670" t="s">
        <v>164</v>
      </c>
      <c r="T5" s="670" t="s">
        <v>165</v>
      </c>
      <c r="U5" s="670" t="s">
        <v>166</v>
      </c>
      <c r="V5" s="670" t="s">
        <v>167</v>
      </c>
      <c r="W5" s="550" t="s">
        <v>134</v>
      </c>
      <c r="Y5" s="289" t="s">
        <v>252</v>
      </c>
      <c r="Z5" s="289" t="s">
        <v>255</v>
      </c>
    </row>
    <row r="6" spans="1:38" s="63" customFormat="1" ht="12" x14ac:dyDescent="0.2">
      <c r="C6" s="66" t="s">
        <v>9</v>
      </c>
      <c r="D6" s="293"/>
      <c r="E6" s="300"/>
      <c r="F6" s="280"/>
      <c r="G6" s="557"/>
      <c r="H6" s="549"/>
      <c r="J6" s="619"/>
      <c r="K6" s="671"/>
      <c r="L6" s="671"/>
      <c r="M6" s="671"/>
      <c r="N6" s="671"/>
      <c r="O6" s="671"/>
      <c r="P6" s="671"/>
      <c r="Q6" s="671"/>
      <c r="R6" s="671"/>
      <c r="S6" s="671"/>
      <c r="T6" s="671"/>
      <c r="U6" s="671"/>
      <c r="V6" s="671"/>
      <c r="W6" s="549"/>
      <c r="Y6" s="288"/>
      <c r="Z6" s="288"/>
    </row>
    <row r="7" spans="1:38" s="63" customFormat="1" ht="12" outlineLevel="1" x14ac:dyDescent="0.2">
      <c r="C7" s="207">
        <v>6300</v>
      </c>
      <c r="D7" s="293"/>
      <c r="E7" s="300" t="s">
        <v>9</v>
      </c>
      <c r="F7" s="280"/>
      <c r="G7" s="557"/>
      <c r="H7" s="549"/>
      <c r="J7" s="619"/>
      <c r="K7" s="671"/>
      <c r="L7" s="671"/>
      <c r="M7" s="671"/>
      <c r="N7" s="671"/>
      <c r="O7" s="671"/>
      <c r="P7" s="671"/>
      <c r="Q7" s="671"/>
      <c r="R7" s="671"/>
      <c r="S7" s="671"/>
      <c r="T7" s="671"/>
      <c r="U7" s="671"/>
      <c r="V7" s="671"/>
      <c r="W7" s="549"/>
      <c r="Y7" s="288"/>
      <c r="Z7" s="288"/>
    </row>
    <row r="8" spans="1:38" s="63" customFormat="1" ht="12.75" customHeight="1" outlineLevel="1" x14ac:dyDescent="0.2">
      <c r="C8" s="64"/>
      <c r="D8" s="565" t="s">
        <v>260</v>
      </c>
      <c r="E8" s="566" t="s">
        <v>587</v>
      </c>
      <c r="F8" s="567">
        <f>'Rev &amp; Enroll'!F24*5%</f>
        <v>4.4000000000000004</v>
      </c>
      <c r="G8" s="667">
        <v>60</v>
      </c>
      <c r="H8" s="616">
        <f>IF(J8="NO", F8*G8,SUM(J8:V8))</f>
        <v>264</v>
      </c>
      <c r="J8" s="622" t="s">
        <v>538</v>
      </c>
      <c r="K8" s="609">
        <f>$F8*$G8/12</f>
        <v>22</v>
      </c>
      <c r="L8" s="609">
        <f t="shared" ref="L8:V10" si="0">$F8*$G8/12</f>
        <v>22</v>
      </c>
      <c r="M8" s="609">
        <f t="shared" si="0"/>
        <v>22</v>
      </c>
      <c r="N8" s="609">
        <f t="shared" si="0"/>
        <v>22</v>
      </c>
      <c r="O8" s="609">
        <f t="shared" si="0"/>
        <v>22</v>
      </c>
      <c r="P8" s="609">
        <f t="shared" si="0"/>
        <v>22</v>
      </c>
      <c r="Q8" s="609">
        <f t="shared" si="0"/>
        <v>22</v>
      </c>
      <c r="R8" s="609">
        <f t="shared" si="0"/>
        <v>22</v>
      </c>
      <c r="S8" s="609">
        <f t="shared" si="0"/>
        <v>22</v>
      </c>
      <c r="T8" s="609">
        <f t="shared" si="0"/>
        <v>22</v>
      </c>
      <c r="U8" s="609">
        <f t="shared" si="0"/>
        <v>22</v>
      </c>
      <c r="V8" s="609">
        <f t="shared" si="0"/>
        <v>22</v>
      </c>
      <c r="W8" s="616">
        <f t="shared" ref="W8:W9" si="1">SUM(K8:V8)</f>
        <v>264</v>
      </c>
      <c r="Y8" s="288"/>
      <c r="Z8" s="288"/>
    </row>
    <row r="9" spans="1:38" s="63" customFormat="1" ht="12" outlineLevel="1" x14ac:dyDescent="0.2">
      <c r="C9" s="64"/>
      <c r="D9" s="562" t="s">
        <v>269</v>
      </c>
      <c r="E9" s="563" t="s">
        <v>588</v>
      </c>
      <c r="F9" s="564">
        <v>3</v>
      </c>
      <c r="G9" s="610">
        <v>300</v>
      </c>
      <c r="H9" s="616">
        <f t="shared" ref="H9:H10" si="2">IF(J9="NO", F9*G9,SUM(J9:V9))</f>
        <v>900</v>
      </c>
      <c r="J9" s="623" t="s">
        <v>538</v>
      </c>
      <c r="K9" s="610">
        <f>$F9*$G9/12</f>
        <v>75</v>
      </c>
      <c r="L9" s="610">
        <f t="shared" si="0"/>
        <v>75</v>
      </c>
      <c r="M9" s="610">
        <f t="shared" si="0"/>
        <v>75</v>
      </c>
      <c r="N9" s="610">
        <f t="shared" si="0"/>
        <v>75</v>
      </c>
      <c r="O9" s="610">
        <f t="shared" si="0"/>
        <v>75</v>
      </c>
      <c r="P9" s="610">
        <f t="shared" si="0"/>
        <v>75</v>
      </c>
      <c r="Q9" s="610">
        <f t="shared" si="0"/>
        <v>75</v>
      </c>
      <c r="R9" s="610">
        <f t="shared" si="0"/>
        <v>75</v>
      </c>
      <c r="S9" s="610">
        <f t="shared" si="0"/>
        <v>75</v>
      </c>
      <c r="T9" s="610">
        <f t="shared" si="0"/>
        <v>75</v>
      </c>
      <c r="U9" s="610">
        <f t="shared" si="0"/>
        <v>75</v>
      </c>
      <c r="V9" s="610">
        <f t="shared" si="0"/>
        <v>75</v>
      </c>
      <c r="W9" s="616">
        <f t="shared" si="1"/>
        <v>900</v>
      </c>
      <c r="Y9" s="288"/>
      <c r="Z9" s="288"/>
    </row>
    <row r="10" spans="1:38" s="63" customFormat="1" ht="12" outlineLevel="1" x14ac:dyDescent="0.2">
      <c r="C10" s="64"/>
      <c r="D10" s="562" t="s">
        <v>259</v>
      </c>
      <c r="E10" s="563"/>
      <c r="F10" s="564">
        <v>0</v>
      </c>
      <c r="G10" s="610">
        <v>0</v>
      </c>
      <c r="H10" s="616">
        <f t="shared" si="2"/>
        <v>0</v>
      </c>
      <c r="J10" s="623" t="s">
        <v>538</v>
      </c>
      <c r="K10" s="610">
        <f t="shared" ref="K10" si="3">$F10*$G10/12</f>
        <v>0</v>
      </c>
      <c r="L10" s="610">
        <f t="shared" si="0"/>
        <v>0</v>
      </c>
      <c r="M10" s="610">
        <f t="shared" si="0"/>
        <v>0</v>
      </c>
      <c r="N10" s="610">
        <f t="shared" si="0"/>
        <v>0</v>
      </c>
      <c r="O10" s="610">
        <f t="shared" si="0"/>
        <v>0</v>
      </c>
      <c r="P10" s="610">
        <f t="shared" si="0"/>
        <v>0</v>
      </c>
      <c r="Q10" s="610">
        <f t="shared" si="0"/>
        <v>0</v>
      </c>
      <c r="R10" s="610">
        <f t="shared" si="0"/>
        <v>0</v>
      </c>
      <c r="S10" s="610">
        <f t="shared" si="0"/>
        <v>0</v>
      </c>
      <c r="T10" s="610">
        <f t="shared" si="0"/>
        <v>0</v>
      </c>
      <c r="U10" s="610">
        <f t="shared" si="0"/>
        <v>0</v>
      </c>
      <c r="V10" s="610">
        <f t="shared" si="0"/>
        <v>0</v>
      </c>
      <c r="W10" s="616">
        <f t="shared" ref="W10" si="4">SUM(K10:V10)</f>
        <v>0</v>
      </c>
      <c r="Y10" s="288"/>
      <c r="Z10" s="288"/>
    </row>
    <row r="11" spans="1:38" s="63" customFormat="1" ht="3.6" customHeight="1" outlineLevel="1" thickBot="1" x14ac:dyDescent="0.25">
      <c r="C11" s="64"/>
      <c r="D11" s="295"/>
      <c r="E11" s="301"/>
      <c r="F11" s="282"/>
      <c r="G11" s="559"/>
      <c r="H11" s="617"/>
      <c r="J11" s="624"/>
      <c r="K11" s="617"/>
      <c r="L11" s="617"/>
      <c r="M11" s="617"/>
      <c r="N11" s="617"/>
      <c r="O11" s="617"/>
      <c r="P11" s="617"/>
      <c r="Q11" s="617"/>
      <c r="R11" s="617"/>
      <c r="S11" s="617"/>
      <c r="T11" s="617"/>
      <c r="U11" s="617"/>
      <c r="V11" s="617"/>
      <c r="W11" s="617"/>
      <c r="Y11" s="288"/>
      <c r="Z11" s="288"/>
    </row>
    <row r="12" spans="1:38" s="63" customFormat="1" ht="12.75" thickBot="1" x14ac:dyDescent="0.25">
      <c r="C12" s="64"/>
      <c r="D12" s="293"/>
      <c r="E12" s="300"/>
      <c r="F12" s="283" t="str">
        <f>E7</f>
        <v>Purchased Professional and Technical Services</v>
      </c>
      <c r="G12" s="560">
        <f>C7</f>
        <v>6300</v>
      </c>
      <c r="H12" s="615">
        <f>SUBTOTAL(9,H8:H11)</f>
        <v>1164</v>
      </c>
      <c r="J12" s="625"/>
      <c r="K12" s="620">
        <f t="shared" ref="K12:W12" si="5">SUBTOTAL(9,K8:K11)</f>
        <v>97</v>
      </c>
      <c r="L12" s="615">
        <f t="shared" si="5"/>
        <v>97</v>
      </c>
      <c r="M12" s="615">
        <f t="shared" si="5"/>
        <v>97</v>
      </c>
      <c r="N12" s="615">
        <f t="shared" si="5"/>
        <v>97</v>
      </c>
      <c r="O12" s="615">
        <f t="shared" si="5"/>
        <v>97</v>
      </c>
      <c r="P12" s="615">
        <f t="shared" si="5"/>
        <v>97</v>
      </c>
      <c r="Q12" s="615">
        <f t="shared" si="5"/>
        <v>97</v>
      </c>
      <c r="R12" s="615">
        <f t="shared" si="5"/>
        <v>97</v>
      </c>
      <c r="S12" s="615">
        <f t="shared" si="5"/>
        <v>97</v>
      </c>
      <c r="T12" s="615">
        <f t="shared" si="5"/>
        <v>97</v>
      </c>
      <c r="U12" s="615">
        <f t="shared" si="5"/>
        <v>97</v>
      </c>
      <c r="V12" s="615">
        <f t="shared" si="5"/>
        <v>97</v>
      </c>
      <c r="W12" s="615">
        <f t="shared" si="5"/>
        <v>1164</v>
      </c>
      <c r="X12" s="63" t="str">
        <f>IF(H12=W12,"OK","Error")</f>
        <v>OK</v>
      </c>
      <c r="Y12" s="288">
        <v>0</v>
      </c>
      <c r="Z12" s="288">
        <f>H12-Y12</f>
        <v>1164</v>
      </c>
    </row>
    <row r="13" spans="1:38" s="63" customFormat="1" ht="12" outlineLevel="1" x14ac:dyDescent="0.2">
      <c r="C13" s="64"/>
      <c r="D13" s="293"/>
      <c r="E13" s="300"/>
      <c r="F13" s="280"/>
      <c r="G13" s="557"/>
      <c r="H13" s="549"/>
      <c r="J13" s="619"/>
      <c r="K13" s="671"/>
      <c r="L13" s="671"/>
      <c r="M13" s="671"/>
      <c r="N13" s="671"/>
      <c r="O13" s="671"/>
      <c r="P13" s="671"/>
      <c r="Q13" s="671"/>
      <c r="R13" s="671"/>
      <c r="S13" s="671"/>
      <c r="T13" s="671"/>
      <c r="U13" s="671"/>
      <c r="V13" s="671"/>
      <c r="W13" s="549"/>
      <c r="Y13" s="288"/>
      <c r="Z13" s="288"/>
    </row>
    <row r="14" spans="1:38" s="63" customFormat="1" ht="12" outlineLevel="1" x14ac:dyDescent="0.2">
      <c r="C14" s="207">
        <v>6320</v>
      </c>
      <c r="D14" s="293"/>
      <c r="E14" s="300" t="s">
        <v>10</v>
      </c>
      <c r="F14" s="280"/>
      <c r="G14" s="557"/>
      <c r="H14" s="549"/>
      <c r="J14" s="619"/>
      <c r="K14" s="671"/>
      <c r="L14" s="671"/>
      <c r="M14" s="671"/>
      <c r="N14" s="671"/>
      <c r="O14" s="671"/>
      <c r="P14" s="671"/>
      <c r="Q14" s="671"/>
      <c r="R14" s="671"/>
      <c r="S14" s="671"/>
      <c r="T14" s="671"/>
      <c r="U14" s="671"/>
      <c r="V14" s="671"/>
      <c r="W14" s="549"/>
      <c r="Y14" s="288"/>
      <c r="Z14" s="288"/>
    </row>
    <row r="15" spans="1:38" s="63" customFormat="1" ht="12.75" customHeight="1" outlineLevel="1" x14ac:dyDescent="0.2">
      <c r="C15" s="64"/>
      <c r="D15" s="565" t="s">
        <v>268</v>
      </c>
      <c r="E15" s="566" t="s">
        <v>589</v>
      </c>
      <c r="F15" s="567">
        <f>'Rev &amp; Enroll'!F27*50%</f>
        <v>1</v>
      </c>
      <c r="G15" s="667">
        <v>1000</v>
      </c>
      <c r="H15" s="616">
        <f t="shared" ref="H15" si="6">IF(J15="NO", F15*G15,SUM(J15:V15))</f>
        <v>1000</v>
      </c>
      <c r="J15" s="622" t="s">
        <v>538</v>
      </c>
      <c r="K15" s="609">
        <f>$F15*$G15/12</f>
        <v>83.333333333333329</v>
      </c>
      <c r="L15" s="609">
        <f t="shared" ref="L15:V15" si="7">$F15*$G15/12</f>
        <v>83.333333333333329</v>
      </c>
      <c r="M15" s="609">
        <f t="shared" si="7"/>
        <v>83.333333333333329</v>
      </c>
      <c r="N15" s="609">
        <f t="shared" si="7"/>
        <v>83.333333333333329</v>
      </c>
      <c r="O15" s="609">
        <f t="shared" si="7"/>
        <v>83.333333333333329</v>
      </c>
      <c r="P15" s="609">
        <f t="shared" si="7"/>
        <v>83.333333333333329</v>
      </c>
      <c r="Q15" s="609">
        <f t="shared" si="7"/>
        <v>83.333333333333329</v>
      </c>
      <c r="R15" s="609">
        <f t="shared" si="7"/>
        <v>83.333333333333329</v>
      </c>
      <c r="S15" s="609">
        <f t="shared" si="7"/>
        <v>83.333333333333329</v>
      </c>
      <c r="T15" s="609">
        <f t="shared" si="7"/>
        <v>83.333333333333329</v>
      </c>
      <c r="U15" s="609">
        <f t="shared" si="7"/>
        <v>83.333333333333329</v>
      </c>
      <c r="V15" s="609">
        <f t="shared" si="7"/>
        <v>83.333333333333329</v>
      </c>
      <c r="W15" s="616">
        <f t="shared" ref="W15" si="8">SUM(K15:V15)</f>
        <v>1000.0000000000001</v>
      </c>
      <c r="Y15" s="288"/>
      <c r="Z15" s="288"/>
    </row>
    <row r="16" spans="1:38" s="63" customFormat="1" ht="12" outlineLevel="1" x14ac:dyDescent="0.2">
      <c r="C16" s="207"/>
      <c r="D16" s="562" t="s">
        <v>259</v>
      </c>
      <c r="E16" s="563" t="s">
        <v>512</v>
      </c>
      <c r="F16" s="564">
        <v>0</v>
      </c>
      <c r="G16" s="610">
        <v>0</v>
      </c>
      <c r="H16" s="616">
        <f t="shared" ref="H16:H17" si="9">IF(J16="NO", F16*G16,SUM(J16:V16))</f>
        <v>0</v>
      </c>
      <c r="J16" s="623" t="s">
        <v>538</v>
      </c>
      <c r="K16" s="610">
        <f t="shared" ref="K16" si="10">$F16*$G16/12</f>
        <v>0</v>
      </c>
      <c r="L16" s="610">
        <f t="shared" ref="L16:V17" si="11">$F16*$G16/12</f>
        <v>0</v>
      </c>
      <c r="M16" s="610">
        <f t="shared" si="11"/>
        <v>0</v>
      </c>
      <c r="N16" s="610">
        <f t="shared" si="11"/>
        <v>0</v>
      </c>
      <c r="O16" s="610">
        <f t="shared" si="11"/>
        <v>0</v>
      </c>
      <c r="P16" s="610">
        <f t="shared" si="11"/>
        <v>0</v>
      </c>
      <c r="Q16" s="610">
        <f t="shared" si="11"/>
        <v>0</v>
      </c>
      <c r="R16" s="610">
        <f t="shared" si="11"/>
        <v>0</v>
      </c>
      <c r="S16" s="610">
        <f t="shared" si="11"/>
        <v>0</v>
      </c>
      <c r="T16" s="610">
        <f t="shared" si="11"/>
        <v>0</v>
      </c>
      <c r="U16" s="610">
        <f t="shared" si="11"/>
        <v>0</v>
      </c>
      <c r="V16" s="610">
        <f t="shared" si="11"/>
        <v>0</v>
      </c>
      <c r="W16" s="616">
        <f t="shared" ref="W16:W17" si="12">SUM(K16:V16)</f>
        <v>0</v>
      </c>
      <c r="Y16" s="288"/>
      <c r="Z16" s="288"/>
    </row>
    <row r="17" spans="3:26" s="63" customFormat="1" ht="12" outlineLevel="1" x14ac:dyDescent="0.2">
      <c r="C17" s="207"/>
      <c r="D17" s="562" t="s">
        <v>259</v>
      </c>
      <c r="E17" s="563"/>
      <c r="F17" s="564">
        <v>0</v>
      </c>
      <c r="G17" s="610">
        <v>0</v>
      </c>
      <c r="H17" s="616">
        <f t="shared" si="9"/>
        <v>0</v>
      </c>
      <c r="J17" s="623" t="s">
        <v>538</v>
      </c>
      <c r="K17" s="610">
        <f>$F17*$G17/12</f>
        <v>0</v>
      </c>
      <c r="L17" s="610">
        <f t="shared" si="11"/>
        <v>0</v>
      </c>
      <c r="M17" s="610">
        <f t="shared" si="11"/>
        <v>0</v>
      </c>
      <c r="N17" s="610">
        <f t="shared" si="11"/>
        <v>0</v>
      </c>
      <c r="O17" s="610">
        <f t="shared" si="11"/>
        <v>0</v>
      </c>
      <c r="P17" s="610">
        <f t="shared" si="11"/>
        <v>0</v>
      </c>
      <c r="Q17" s="610">
        <f t="shared" si="11"/>
        <v>0</v>
      </c>
      <c r="R17" s="610">
        <f t="shared" si="11"/>
        <v>0</v>
      </c>
      <c r="S17" s="610">
        <f t="shared" si="11"/>
        <v>0</v>
      </c>
      <c r="T17" s="610">
        <f t="shared" si="11"/>
        <v>0</v>
      </c>
      <c r="U17" s="610">
        <f t="shared" si="11"/>
        <v>0</v>
      </c>
      <c r="V17" s="610">
        <f t="shared" si="11"/>
        <v>0</v>
      </c>
      <c r="W17" s="616">
        <f t="shared" si="12"/>
        <v>0</v>
      </c>
      <c r="Y17" s="288"/>
      <c r="Z17" s="288"/>
    </row>
    <row r="18" spans="3:26" s="63" customFormat="1" ht="3.6" customHeight="1" outlineLevel="1" thickBot="1" x14ac:dyDescent="0.25">
      <c r="C18" s="64"/>
      <c r="D18" s="295"/>
      <c r="E18" s="301"/>
      <c r="F18" s="282"/>
      <c r="G18" s="559"/>
      <c r="H18" s="552"/>
      <c r="J18" s="624"/>
      <c r="K18" s="617"/>
      <c r="L18" s="617"/>
      <c r="M18" s="617"/>
      <c r="N18" s="617"/>
      <c r="O18" s="617"/>
      <c r="P18" s="617"/>
      <c r="Q18" s="617"/>
      <c r="R18" s="617"/>
      <c r="S18" s="617"/>
      <c r="T18" s="617"/>
      <c r="U18" s="617"/>
      <c r="V18" s="617"/>
      <c r="W18" s="552"/>
      <c r="Y18" s="288"/>
      <c r="Z18" s="288"/>
    </row>
    <row r="19" spans="3:26" s="63" customFormat="1" ht="12.75" thickBot="1" x14ac:dyDescent="0.25">
      <c r="C19" s="64"/>
      <c r="D19" s="293"/>
      <c r="E19" s="300"/>
      <c r="F19" s="283" t="str">
        <f>E14</f>
        <v>Professional Educational Services</v>
      </c>
      <c r="G19" s="560">
        <f>C14</f>
        <v>6320</v>
      </c>
      <c r="H19" s="553">
        <f>SUBTOTAL(9,H15:H18)</f>
        <v>1000</v>
      </c>
      <c r="J19" s="626"/>
      <c r="K19" s="620">
        <f>SUBTOTAL(9,K15:K18)</f>
        <v>83.333333333333329</v>
      </c>
      <c r="L19" s="620">
        <f t="shared" ref="L19:V19" si="13">SUBTOTAL(9,L15:L18)</f>
        <v>83.333333333333329</v>
      </c>
      <c r="M19" s="620">
        <f t="shared" si="13"/>
        <v>83.333333333333329</v>
      </c>
      <c r="N19" s="620">
        <f t="shared" si="13"/>
        <v>83.333333333333329</v>
      </c>
      <c r="O19" s="620">
        <f t="shared" si="13"/>
        <v>83.333333333333329</v>
      </c>
      <c r="P19" s="620">
        <f t="shared" si="13"/>
        <v>83.333333333333329</v>
      </c>
      <c r="Q19" s="620">
        <f t="shared" si="13"/>
        <v>83.333333333333329</v>
      </c>
      <c r="R19" s="620">
        <f t="shared" si="13"/>
        <v>83.333333333333329</v>
      </c>
      <c r="S19" s="620">
        <f t="shared" si="13"/>
        <v>83.333333333333329</v>
      </c>
      <c r="T19" s="620">
        <f t="shared" si="13"/>
        <v>83.333333333333329</v>
      </c>
      <c r="U19" s="620">
        <f t="shared" si="13"/>
        <v>83.333333333333329</v>
      </c>
      <c r="V19" s="620">
        <f t="shared" si="13"/>
        <v>83.333333333333329</v>
      </c>
      <c r="W19" s="553">
        <f>SUBTOTAL(9,W15:W18)</f>
        <v>1000.0000000000001</v>
      </c>
      <c r="X19" s="63" t="str">
        <f>IF(H19=W19,"OK","Error")</f>
        <v>OK</v>
      </c>
      <c r="Y19" s="288">
        <v>0</v>
      </c>
      <c r="Z19" s="288">
        <f>H19-Y19</f>
        <v>1000</v>
      </c>
    </row>
    <row r="20" spans="3:26" s="63" customFormat="1" ht="12" outlineLevel="1" x14ac:dyDescent="0.2">
      <c r="C20" s="64"/>
      <c r="D20" s="293"/>
      <c r="E20" s="300"/>
      <c r="F20" s="280"/>
      <c r="G20" s="557"/>
      <c r="H20" s="549"/>
      <c r="J20" s="619"/>
      <c r="K20" s="671"/>
      <c r="L20" s="671"/>
      <c r="M20" s="671"/>
      <c r="N20" s="671"/>
      <c r="O20" s="671"/>
      <c r="P20" s="671"/>
      <c r="Q20" s="671"/>
      <c r="R20" s="671"/>
      <c r="S20" s="671"/>
      <c r="T20" s="671"/>
      <c r="U20" s="671"/>
      <c r="V20" s="671"/>
      <c r="W20" s="549"/>
      <c r="Y20" s="288"/>
      <c r="Z20" s="288"/>
    </row>
    <row r="21" spans="3:26" s="63" customFormat="1" ht="12" outlineLevel="1" x14ac:dyDescent="0.2">
      <c r="C21" s="207">
        <v>6331</v>
      </c>
      <c r="D21" s="293"/>
      <c r="E21" s="300" t="s">
        <v>11</v>
      </c>
      <c r="F21" s="280"/>
      <c r="G21" s="557"/>
      <c r="H21" s="549"/>
      <c r="J21" s="619"/>
      <c r="K21" s="671"/>
      <c r="L21" s="671"/>
      <c r="M21" s="671"/>
      <c r="N21" s="671"/>
      <c r="O21" s="671"/>
      <c r="P21" s="671"/>
      <c r="Q21" s="671"/>
      <c r="R21" s="671"/>
      <c r="S21" s="671"/>
      <c r="T21" s="671"/>
      <c r="U21" s="671"/>
      <c r="V21" s="671"/>
      <c r="W21" s="549"/>
      <c r="Y21" s="288"/>
      <c r="Z21" s="288"/>
    </row>
    <row r="22" spans="3:26" s="63" customFormat="1" ht="12.75" customHeight="1" outlineLevel="1" x14ac:dyDescent="0.2">
      <c r="C22" s="64"/>
      <c r="D22" s="565" t="s">
        <v>260</v>
      </c>
      <c r="E22" s="566" t="s">
        <v>392</v>
      </c>
      <c r="F22" s="567">
        <v>1</v>
      </c>
      <c r="G22" s="667">
        <v>500</v>
      </c>
      <c r="H22" s="616">
        <f>IF(J22="NO", F22*G22,SUM(J22:V22))</f>
        <v>500</v>
      </c>
      <c r="J22" s="622" t="s">
        <v>538</v>
      </c>
      <c r="K22" s="609">
        <f>$F22*$G22/12</f>
        <v>41.666666666666664</v>
      </c>
      <c r="L22" s="609">
        <f t="shared" ref="L22:V22" si="14">$F22*$G22/12</f>
        <v>41.666666666666664</v>
      </c>
      <c r="M22" s="609">
        <f t="shared" si="14"/>
        <v>41.666666666666664</v>
      </c>
      <c r="N22" s="609">
        <f t="shared" si="14"/>
        <v>41.666666666666664</v>
      </c>
      <c r="O22" s="609">
        <f t="shared" si="14"/>
        <v>41.666666666666664</v>
      </c>
      <c r="P22" s="609">
        <f t="shared" si="14"/>
        <v>41.666666666666664</v>
      </c>
      <c r="Q22" s="609">
        <f t="shared" si="14"/>
        <v>41.666666666666664</v>
      </c>
      <c r="R22" s="609">
        <f t="shared" si="14"/>
        <v>41.666666666666664</v>
      </c>
      <c r="S22" s="609">
        <f t="shared" si="14"/>
        <v>41.666666666666664</v>
      </c>
      <c r="T22" s="609">
        <f t="shared" si="14"/>
        <v>41.666666666666664</v>
      </c>
      <c r="U22" s="609">
        <f t="shared" si="14"/>
        <v>41.666666666666664</v>
      </c>
      <c r="V22" s="609">
        <f t="shared" si="14"/>
        <v>41.666666666666664</v>
      </c>
      <c r="W22" s="616">
        <f t="shared" ref="W22" si="15">SUM(K22:V22)</f>
        <v>500.00000000000006</v>
      </c>
      <c r="Y22" s="288"/>
      <c r="Z22" s="288"/>
    </row>
    <row r="23" spans="3:26" s="63" customFormat="1" ht="12" outlineLevel="1" x14ac:dyDescent="0.2">
      <c r="C23" s="64"/>
      <c r="D23" s="562" t="s">
        <v>259</v>
      </c>
      <c r="E23" s="563"/>
      <c r="F23" s="564">
        <v>0</v>
      </c>
      <c r="G23" s="610">
        <v>0</v>
      </c>
      <c r="H23" s="616">
        <f t="shared" ref="H23" si="16">IF(J23="NO", F23*G23,SUM(J23:V23))</f>
        <v>0</v>
      </c>
      <c r="J23" s="623" t="s">
        <v>538</v>
      </c>
      <c r="K23" s="610">
        <f>$F23*$G23/12</f>
        <v>0</v>
      </c>
      <c r="L23" s="610">
        <f t="shared" ref="L23:V23" si="17">$F23*$G23/12</f>
        <v>0</v>
      </c>
      <c r="M23" s="610">
        <f t="shared" si="17"/>
        <v>0</v>
      </c>
      <c r="N23" s="610">
        <f t="shared" si="17"/>
        <v>0</v>
      </c>
      <c r="O23" s="610">
        <f t="shared" si="17"/>
        <v>0</v>
      </c>
      <c r="P23" s="610">
        <f t="shared" si="17"/>
        <v>0</v>
      </c>
      <c r="Q23" s="610">
        <f t="shared" si="17"/>
        <v>0</v>
      </c>
      <c r="R23" s="610">
        <f t="shared" si="17"/>
        <v>0</v>
      </c>
      <c r="S23" s="610">
        <f t="shared" si="17"/>
        <v>0</v>
      </c>
      <c r="T23" s="610">
        <f t="shared" si="17"/>
        <v>0</v>
      </c>
      <c r="U23" s="610">
        <f t="shared" si="17"/>
        <v>0</v>
      </c>
      <c r="V23" s="610">
        <f t="shared" si="17"/>
        <v>0</v>
      </c>
      <c r="W23" s="616">
        <f t="shared" ref="W23" si="18">SUM(K23:V23)</f>
        <v>0</v>
      </c>
      <c r="Y23" s="288"/>
      <c r="Z23" s="288"/>
    </row>
    <row r="24" spans="3:26" s="63" customFormat="1" ht="3.6" customHeight="1" outlineLevel="1" thickBot="1" x14ac:dyDescent="0.25">
      <c r="C24" s="64"/>
      <c r="D24" s="295"/>
      <c r="E24" s="301"/>
      <c r="F24" s="282"/>
      <c r="G24" s="559"/>
      <c r="H24" s="552"/>
      <c r="J24" s="624"/>
      <c r="K24" s="617"/>
      <c r="L24" s="617"/>
      <c r="M24" s="617"/>
      <c r="N24" s="617"/>
      <c r="O24" s="617"/>
      <c r="P24" s="617"/>
      <c r="Q24" s="617"/>
      <c r="R24" s="617"/>
      <c r="S24" s="617"/>
      <c r="T24" s="617"/>
      <c r="U24" s="617"/>
      <c r="V24" s="617"/>
      <c r="W24" s="552"/>
      <c r="Y24" s="288"/>
      <c r="Z24" s="288"/>
    </row>
    <row r="25" spans="3:26" s="63" customFormat="1" ht="12.75" thickBot="1" x14ac:dyDescent="0.25">
      <c r="C25" s="64"/>
      <c r="D25" s="293"/>
      <c r="E25" s="300"/>
      <c r="F25" s="283" t="str">
        <f>E21</f>
        <v>Prof-Dev/Instructional Lic. Personnel</v>
      </c>
      <c r="G25" s="560">
        <f>C21</f>
        <v>6331</v>
      </c>
      <c r="H25" s="553">
        <f>SUBTOTAL(9,H22:H24)</f>
        <v>500</v>
      </c>
      <c r="J25" s="626"/>
      <c r="K25" s="620">
        <f t="shared" ref="K25:W25" si="19">SUBTOTAL(9,K22:K24)</f>
        <v>41.666666666666664</v>
      </c>
      <c r="L25" s="620">
        <f t="shared" si="19"/>
        <v>41.666666666666664</v>
      </c>
      <c r="M25" s="620">
        <f t="shared" si="19"/>
        <v>41.666666666666664</v>
      </c>
      <c r="N25" s="620">
        <f t="shared" si="19"/>
        <v>41.666666666666664</v>
      </c>
      <c r="O25" s="620">
        <f t="shared" si="19"/>
        <v>41.666666666666664</v>
      </c>
      <c r="P25" s="620">
        <f t="shared" si="19"/>
        <v>41.666666666666664</v>
      </c>
      <c r="Q25" s="620">
        <f t="shared" si="19"/>
        <v>41.666666666666664</v>
      </c>
      <c r="R25" s="620">
        <f t="shared" si="19"/>
        <v>41.666666666666664</v>
      </c>
      <c r="S25" s="620">
        <f t="shared" si="19"/>
        <v>41.666666666666664</v>
      </c>
      <c r="T25" s="620">
        <f t="shared" si="19"/>
        <v>41.666666666666664</v>
      </c>
      <c r="U25" s="620">
        <f t="shared" si="19"/>
        <v>41.666666666666664</v>
      </c>
      <c r="V25" s="620">
        <f t="shared" si="19"/>
        <v>41.666666666666664</v>
      </c>
      <c r="W25" s="553">
        <f t="shared" si="19"/>
        <v>500.00000000000006</v>
      </c>
      <c r="X25" s="63" t="str">
        <f>IF(H25=W25,"OK","Error")</f>
        <v>OK</v>
      </c>
      <c r="Y25" s="288">
        <v>0</v>
      </c>
      <c r="Z25" s="288">
        <f>H25-Y25</f>
        <v>500</v>
      </c>
    </row>
    <row r="26" spans="3:26" s="63" customFormat="1" ht="12" outlineLevel="1" x14ac:dyDescent="0.2">
      <c r="C26" s="64"/>
      <c r="D26" s="293"/>
      <c r="E26" s="300"/>
      <c r="F26" s="280"/>
      <c r="G26" s="557"/>
      <c r="H26" s="549"/>
      <c r="J26" s="619"/>
      <c r="K26" s="671"/>
      <c r="L26" s="671"/>
      <c r="M26" s="671"/>
      <c r="N26" s="671"/>
      <c r="O26" s="671"/>
      <c r="P26" s="671"/>
      <c r="Q26" s="671"/>
      <c r="R26" s="671"/>
      <c r="S26" s="671"/>
      <c r="T26" s="671"/>
      <c r="U26" s="671"/>
      <c r="V26" s="671"/>
      <c r="W26" s="549"/>
      <c r="Y26" s="288"/>
      <c r="Z26" s="288"/>
    </row>
    <row r="27" spans="3:26" s="63" customFormat="1" ht="12" outlineLevel="1" x14ac:dyDescent="0.2">
      <c r="C27" s="207">
        <v>6334</v>
      </c>
      <c r="D27" s="293"/>
      <c r="E27" s="300" t="s">
        <v>12</v>
      </c>
      <c r="F27" s="280"/>
      <c r="G27" s="557"/>
      <c r="H27" s="549"/>
      <c r="J27" s="619"/>
      <c r="K27" s="671"/>
      <c r="L27" s="671"/>
      <c r="M27" s="671"/>
      <c r="N27" s="671"/>
      <c r="O27" s="671"/>
      <c r="P27" s="671"/>
      <c r="Q27" s="671"/>
      <c r="R27" s="671"/>
      <c r="S27" s="671"/>
      <c r="T27" s="671"/>
      <c r="U27" s="671"/>
      <c r="V27" s="671"/>
      <c r="W27" s="549"/>
      <c r="Y27" s="288"/>
      <c r="Z27" s="288"/>
    </row>
    <row r="28" spans="3:26" s="63" customFormat="1" ht="12.75" customHeight="1" outlineLevel="1" x14ac:dyDescent="0.2">
      <c r="C28" s="64"/>
      <c r="D28" s="565" t="s">
        <v>268</v>
      </c>
      <c r="E28" s="566" t="s">
        <v>342</v>
      </c>
      <c r="F28" s="668">
        <v>0</v>
      </c>
      <c r="G28" s="667">
        <v>1000</v>
      </c>
      <c r="H28" s="616">
        <f t="shared" ref="H28" si="20">IF(J28="NO", F28*G28,SUM(J28:V28))</f>
        <v>0</v>
      </c>
      <c r="J28" s="622" t="s">
        <v>538</v>
      </c>
      <c r="K28" s="609">
        <f>$F28*$G28/12</f>
        <v>0</v>
      </c>
      <c r="L28" s="609">
        <f t="shared" ref="L28:V28" si="21">$F28*$G28/12</f>
        <v>0</v>
      </c>
      <c r="M28" s="609">
        <f t="shared" si="21"/>
        <v>0</v>
      </c>
      <c r="N28" s="609">
        <f t="shared" si="21"/>
        <v>0</v>
      </c>
      <c r="O28" s="609">
        <f t="shared" si="21"/>
        <v>0</v>
      </c>
      <c r="P28" s="609">
        <f t="shared" si="21"/>
        <v>0</v>
      </c>
      <c r="Q28" s="609">
        <f t="shared" si="21"/>
        <v>0</v>
      </c>
      <c r="R28" s="609">
        <f t="shared" si="21"/>
        <v>0</v>
      </c>
      <c r="S28" s="609">
        <f t="shared" si="21"/>
        <v>0</v>
      </c>
      <c r="T28" s="609">
        <f t="shared" si="21"/>
        <v>0</v>
      </c>
      <c r="U28" s="609">
        <f t="shared" si="21"/>
        <v>0</v>
      </c>
      <c r="V28" s="609">
        <f t="shared" si="21"/>
        <v>0</v>
      </c>
      <c r="W28" s="616">
        <f t="shared" ref="W28" si="22">SUM(K28:V28)</f>
        <v>0</v>
      </c>
      <c r="Y28" s="288"/>
      <c r="Z28" s="288"/>
    </row>
    <row r="29" spans="3:26" s="63" customFormat="1" ht="12" outlineLevel="1" x14ac:dyDescent="0.2">
      <c r="C29" s="64"/>
      <c r="D29" s="562" t="s">
        <v>259</v>
      </c>
      <c r="E29" s="563" t="s">
        <v>513</v>
      </c>
      <c r="F29" s="564">
        <v>0</v>
      </c>
      <c r="G29" s="610">
        <v>0</v>
      </c>
      <c r="H29" s="616">
        <f t="shared" ref="H29:H30" si="23">IF(J29="NO", F29*G29,SUM(J29:V29))</f>
        <v>0</v>
      </c>
      <c r="J29" s="623" t="s">
        <v>538</v>
      </c>
      <c r="K29" s="610">
        <f>$F29*$G29/12</f>
        <v>0</v>
      </c>
      <c r="L29" s="610">
        <f t="shared" ref="L29:V30" si="24">$F29*$G29/12</f>
        <v>0</v>
      </c>
      <c r="M29" s="610">
        <f t="shared" si="24"/>
        <v>0</v>
      </c>
      <c r="N29" s="610">
        <f t="shared" si="24"/>
        <v>0</v>
      </c>
      <c r="O29" s="610">
        <f t="shared" si="24"/>
        <v>0</v>
      </c>
      <c r="P29" s="610">
        <f t="shared" si="24"/>
        <v>0</v>
      </c>
      <c r="Q29" s="610">
        <f t="shared" si="24"/>
        <v>0</v>
      </c>
      <c r="R29" s="610">
        <f t="shared" si="24"/>
        <v>0</v>
      </c>
      <c r="S29" s="610">
        <f t="shared" si="24"/>
        <v>0</v>
      </c>
      <c r="T29" s="610">
        <f t="shared" si="24"/>
        <v>0</v>
      </c>
      <c r="U29" s="610">
        <f t="shared" si="24"/>
        <v>0</v>
      </c>
      <c r="V29" s="610">
        <f t="shared" si="24"/>
        <v>0</v>
      </c>
      <c r="W29" s="616">
        <f t="shared" ref="W29:W30" si="25">SUM(K29:V29)</f>
        <v>0</v>
      </c>
      <c r="Y29" s="288"/>
      <c r="Z29" s="288"/>
    </row>
    <row r="30" spans="3:26" s="63" customFormat="1" ht="12" outlineLevel="1" x14ac:dyDescent="0.2">
      <c r="C30" s="64"/>
      <c r="D30" s="562" t="s">
        <v>259</v>
      </c>
      <c r="E30" s="563"/>
      <c r="F30" s="564">
        <v>0</v>
      </c>
      <c r="G30" s="610">
        <v>0</v>
      </c>
      <c r="H30" s="616">
        <f t="shared" si="23"/>
        <v>0</v>
      </c>
      <c r="J30" s="623" t="s">
        <v>538</v>
      </c>
      <c r="K30" s="610">
        <f>$F30*$G30/12</f>
        <v>0</v>
      </c>
      <c r="L30" s="610">
        <f t="shared" si="24"/>
        <v>0</v>
      </c>
      <c r="M30" s="610">
        <f t="shared" si="24"/>
        <v>0</v>
      </c>
      <c r="N30" s="610">
        <f t="shared" si="24"/>
        <v>0</v>
      </c>
      <c r="O30" s="610">
        <f t="shared" si="24"/>
        <v>0</v>
      </c>
      <c r="P30" s="610">
        <f t="shared" si="24"/>
        <v>0</v>
      </c>
      <c r="Q30" s="610">
        <f t="shared" si="24"/>
        <v>0</v>
      </c>
      <c r="R30" s="610">
        <f t="shared" si="24"/>
        <v>0</v>
      </c>
      <c r="S30" s="610">
        <f t="shared" si="24"/>
        <v>0</v>
      </c>
      <c r="T30" s="610">
        <f t="shared" si="24"/>
        <v>0</v>
      </c>
      <c r="U30" s="610">
        <f t="shared" si="24"/>
        <v>0</v>
      </c>
      <c r="V30" s="610">
        <f t="shared" si="24"/>
        <v>0</v>
      </c>
      <c r="W30" s="616">
        <f t="shared" si="25"/>
        <v>0</v>
      </c>
      <c r="Y30" s="288"/>
      <c r="Z30" s="288"/>
    </row>
    <row r="31" spans="3:26" s="63" customFormat="1" ht="3.6" customHeight="1" outlineLevel="1" thickBot="1" x14ac:dyDescent="0.25">
      <c r="C31" s="64"/>
      <c r="D31" s="295"/>
      <c r="E31" s="301"/>
      <c r="F31" s="282"/>
      <c r="G31" s="559"/>
      <c r="H31" s="552"/>
      <c r="J31" s="624"/>
      <c r="K31" s="617"/>
      <c r="L31" s="617"/>
      <c r="M31" s="617"/>
      <c r="N31" s="617"/>
      <c r="O31" s="617"/>
      <c r="P31" s="617"/>
      <c r="Q31" s="617"/>
      <c r="R31" s="617"/>
      <c r="S31" s="617"/>
      <c r="T31" s="617"/>
      <c r="U31" s="617"/>
      <c r="V31" s="617"/>
      <c r="W31" s="552"/>
      <c r="Y31" s="288"/>
      <c r="Z31" s="288"/>
    </row>
    <row r="32" spans="3:26" s="63" customFormat="1" ht="12.75" thickBot="1" x14ac:dyDescent="0.25">
      <c r="C32" s="64"/>
      <c r="D32" s="293"/>
      <c r="E32" s="300"/>
      <c r="F32" s="283" t="str">
        <f>E27</f>
        <v>Prof-Dev/Administrative Lic. Personnel</v>
      </c>
      <c r="G32" s="560">
        <f>C27</f>
        <v>6334</v>
      </c>
      <c r="H32" s="553">
        <f>SUBTOTAL(9,H28:H31)</f>
        <v>0</v>
      </c>
      <c r="J32" s="626"/>
      <c r="K32" s="620">
        <f t="shared" ref="K32:W32" si="26">SUBTOTAL(9,K28:K31)</f>
        <v>0</v>
      </c>
      <c r="L32" s="620">
        <f t="shared" si="26"/>
        <v>0</v>
      </c>
      <c r="M32" s="620">
        <f t="shared" si="26"/>
        <v>0</v>
      </c>
      <c r="N32" s="620">
        <f t="shared" si="26"/>
        <v>0</v>
      </c>
      <c r="O32" s="620">
        <f t="shared" si="26"/>
        <v>0</v>
      </c>
      <c r="P32" s="620">
        <f t="shared" si="26"/>
        <v>0</v>
      </c>
      <c r="Q32" s="620">
        <f t="shared" si="26"/>
        <v>0</v>
      </c>
      <c r="R32" s="620">
        <f t="shared" si="26"/>
        <v>0</v>
      </c>
      <c r="S32" s="620">
        <f t="shared" si="26"/>
        <v>0</v>
      </c>
      <c r="T32" s="620">
        <f t="shared" si="26"/>
        <v>0</v>
      </c>
      <c r="U32" s="620">
        <f t="shared" si="26"/>
        <v>0</v>
      </c>
      <c r="V32" s="620">
        <f t="shared" si="26"/>
        <v>0</v>
      </c>
      <c r="W32" s="553">
        <f t="shared" si="26"/>
        <v>0</v>
      </c>
      <c r="X32" s="63" t="str">
        <f>IF(H32=W32,"OK","Error")</f>
        <v>OK</v>
      </c>
      <c r="Y32" s="288">
        <v>0</v>
      </c>
      <c r="Z32" s="288">
        <f>H32-Y32</f>
        <v>0</v>
      </c>
    </row>
    <row r="33" spans="3:30" s="63" customFormat="1" ht="12" outlineLevel="1" x14ac:dyDescent="0.2">
      <c r="C33" s="64"/>
      <c r="D33" s="293"/>
      <c r="E33" s="300"/>
      <c r="F33" s="280"/>
      <c r="G33" s="557"/>
      <c r="H33" s="549"/>
      <c r="J33" s="619"/>
      <c r="K33" s="671"/>
      <c r="L33" s="671"/>
      <c r="M33" s="671"/>
      <c r="N33" s="671"/>
      <c r="O33" s="671"/>
      <c r="P33" s="671"/>
      <c r="Q33" s="671"/>
      <c r="R33" s="671"/>
      <c r="S33" s="671"/>
      <c r="T33" s="671"/>
      <c r="U33" s="671"/>
      <c r="V33" s="671"/>
      <c r="W33" s="549"/>
      <c r="Y33" s="288"/>
      <c r="Z33" s="288"/>
    </row>
    <row r="34" spans="3:30" s="63" customFormat="1" ht="12" outlineLevel="1" x14ac:dyDescent="0.2">
      <c r="C34" s="207">
        <v>6336</v>
      </c>
      <c r="D34" s="293"/>
      <c r="E34" s="302" t="s">
        <v>13</v>
      </c>
      <c r="F34" s="280"/>
      <c r="G34" s="557"/>
      <c r="H34" s="549"/>
      <c r="J34" s="619"/>
      <c r="K34" s="671"/>
      <c r="L34" s="671"/>
      <c r="M34" s="671"/>
      <c r="N34" s="671"/>
      <c r="O34" s="671"/>
      <c r="P34" s="671"/>
      <c r="Q34" s="671"/>
      <c r="R34" s="671"/>
      <c r="S34" s="671"/>
      <c r="T34" s="671"/>
      <c r="U34" s="671"/>
      <c r="V34" s="671"/>
      <c r="W34" s="549"/>
      <c r="Y34" s="288"/>
      <c r="Z34" s="288"/>
    </row>
    <row r="35" spans="3:30" s="63" customFormat="1" ht="12" outlineLevel="1" x14ac:dyDescent="0.2">
      <c r="C35" s="64"/>
      <c r="D35" s="562" t="s">
        <v>259</v>
      </c>
      <c r="E35" s="563" t="s">
        <v>513</v>
      </c>
      <c r="F35" s="564">
        <v>0</v>
      </c>
      <c r="G35" s="610">
        <v>0</v>
      </c>
      <c r="H35" s="616">
        <f t="shared" ref="H35:H36" si="27">IF(J35="NO", F35*G35,SUM(J35:V35))</f>
        <v>0</v>
      </c>
      <c r="J35" s="623" t="s">
        <v>538</v>
      </c>
      <c r="K35" s="610">
        <f>$F35*$G35/12</f>
        <v>0</v>
      </c>
      <c r="L35" s="610">
        <f t="shared" ref="L35:V36" si="28">$F35*$G35/12</f>
        <v>0</v>
      </c>
      <c r="M35" s="610">
        <f t="shared" si="28"/>
        <v>0</v>
      </c>
      <c r="N35" s="610">
        <f t="shared" si="28"/>
        <v>0</v>
      </c>
      <c r="O35" s="610">
        <f t="shared" si="28"/>
        <v>0</v>
      </c>
      <c r="P35" s="610">
        <f t="shared" si="28"/>
        <v>0</v>
      </c>
      <c r="Q35" s="610">
        <f t="shared" si="28"/>
        <v>0</v>
      </c>
      <c r="R35" s="610">
        <f t="shared" si="28"/>
        <v>0</v>
      </c>
      <c r="S35" s="610">
        <f t="shared" si="28"/>
        <v>0</v>
      </c>
      <c r="T35" s="610">
        <f t="shared" si="28"/>
        <v>0</v>
      </c>
      <c r="U35" s="610">
        <f t="shared" si="28"/>
        <v>0</v>
      </c>
      <c r="V35" s="610">
        <f t="shared" si="28"/>
        <v>0</v>
      </c>
      <c r="W35" s="616">
        <f t="shared" ref="W35:W36" si="29">SUM(K35:V35)</f>
        <v>0</v>
      </c>
      <c r="Y35" s="288"/>
      <c r="Z35" s="288"/>
    </row>
    <row r="36" spans="3:30" s="63" customFormat="1" ht="12" outlineLevel="1" x14ac:dyDescent="0.2">
      <c r="C36" s="64"/>
      <c r="D36" s="562" t="s">
        <v>259</v>
      </c>
      <c r="E36" s="563"/>
      <c r="F36" s="564">
        <v>0</v>
      </c>
      <c r="G36" s="610">
        <v>0</v>
      </c>
      <c r="H36" s="616">
        <f t="shared" si="27"/>
        <v>0</v>
      </c>
      <c r="J36" s="623" t="s">
        <v>538</v>
      </c>
      <c r="K36" s="610">
        <f>$F36*$G36/12</f>
        <v>0</v>
      </c>
      <c r="L36" s="610">
        <f t="shared" si="28"/>
        <v>0</v>
      </c>
      <c r="M36" s="610">
        <f t="shared" si="28"/>
        <v>0</v>
      </c>
      <c r="N36" s="610">
        <f t="shared" si="28"/>
        <v>0</v>
      </c>
      <c r="O36" s="610">
        <f t="shared" si="28"/>
        <v>0</v>
      </c>
      <c r="P36" s="610">
        <f t="shared" si="28"/>
        <v>0</v>
      </c>
      <c r="Q36" s="610">
        <f t="shared" si="28"/>
        <v>0</v>
      </c>
      <c r="R36" s="610">
        <f t="shared" si="28"/>
        <v>0</v>
      </c>
      <c r="S36" s="610">
        <f t="shared" si="28"/>
        <v>0</v>
      </c>
      <c r="T36" s="610">
        <f t="shared" si="28"/>
        <v>0</v>
      </c>
      <c r="U36" s="610">
        <f t="shared" si="28"/>
        <v>0</v>
      </c>
      <c r="V36" s="610">
        <f t="shared" si="28"/>
        <v>0</v>
      </c>
      <c r="W36" s="616">
        <f t="shared" si="29"/>
        <v>0</v>
      </c>
      <c r="Y36" s="288"/>
      <c r="Z36" s="288"/>
    </row>
    <row r="37" spans="3:30" s="63" customFormat="1" ht="3.6" customHeight="1" outlineLevel="1" thickBot="1" x14ac:dyDescent="0.25">
      <c r="C37" s="64"/>
      <c r="D37" s="295"/>
      <c r="E37" s="301"/>
      <c r="F37" s="282"/>
      <c r="G37" s="559"/>
      <c r="H37" s="552"/>
      <c r="J37" s="624"/>
      <c r="K37" s="617"/>
      <c r="L37" s="617"/>
      <c r="M37" s="617"/>
      <c r="N37" s="617"/>
      <c r="O37" s="617"/>
      <c r="P37" s="617"/>
      <c r="Q37" s="617"/>
      <c r="R37" s="617"/>
      <c r="S37" s="617"/>
      <c r="T37" s="617"/>
      <c r="U37" s="617"/>
      <c r="V37" s="617"/>
      <c r="W37" s="552"/>
      <c r="Y37" s="288"/>
      <c r="Z37" s="288"/>
    </row>
    <row r="38" spans="3:30" s="63" customFormat="1" ht="12.75" thickBot="1" x14ac:dyDescent="0.25">
      <c r="C38" s="64"/>
      <c r="D38" s="293"/>
      <c r="E38" s="300"/>
      <c r="F38" s="283" t="str">
        <f>E34</f>
        <v>Prof-Dev/Other Classfied-Support Personnel</v>
      </c>
      <c r="G38" s="560">
        <v>6336</v>
      </c>
      <c r="H38" s="553">
        <f>SUBTOTAL(9,H35:H37)</f>
        <v>0</v>
      </c>
      <c r="J38" s="626"/>
      <c r="K38" s="620">
        <f>SUBTOTAL(9,K35:K37)</f>
        <v>0</v>
      </c>
      <c r="L38" s="620">
        <f t="shared" ref="L38:V38" si="30">SUBTOTAL(9,L35:L37)</f>
        <v>0</v>
      </c>
      <c r="M38" s="620">
        <f t="shared" si="30"/>
        <v>0</v>
      </c>
      <c r="N38" s="620">
        <f t="shared" si="30"/>
        <v>0</v>
      </c>
      <c r="O38" s="620">
        <f t="shared" si="30"/>
        <v>0</v>
      </c>
      <c r="P38" s="620">
        <f t="shared" si="30"/>
        <v>0</v>
      </c>
      <c r="Q38" s="620">
        <f t="shared" si="30"/>
        <v>0</v>
      </c>
      <c r="R38" s="620">
        <f t="shared" si="30"/>
        <v>0</v>
      </c>
      <c r="S38" s="620">
        <f t="shared" si="30"/>
        <v>0</v>
      </c>
      <c r="T38" s="620">
        <f t="shared" si="30"/>
        <v>0</v>
      </c>
      <c r="U38" s="620">
        <f t="shared" si="30"/>
        <v>0</v>
      </c>
      <c r="V38" s="620">
        <f t="shared" si="30"/>
        <v>0</v>
      </c>
      <c r="W38" s="553">
        <f>SUBTOTAL(9,W35:W37)</f>
        <v>0</v>
      </c>
      <c r="X38" s="63" t="str">
        <f>IF(H38=W38,"OK","Error")</f>
        <v>OK</v>
      </c>
      <c r="Y38" s="288">
        <v>0</v>
      </c>
      <c r="Z38" s="288">
        <f>H38-Y38</f>
        <v>0</v>
      </c>
    </row>
    <row r="39" spans="3:30" s="63" customFormat="1" ht="12" outlineLevel="1" x14ac:dyDescent="0.2">
      <c r="C39" s="64"/>
      <c r="D39" s="293"/>
      <c r="E39" s="300"/>
      <c r="F39" s="280"/>
      <c r="G39" s="557"/>
      <c r="H39" s="549"/>
      <c r="J39" s="619"/>
      <c r="K39" s="671"/>
      <c r="L39" s="671"/>
      <c r="M39" s="671"/>
      <c r="N39" s="671"/>
      <c r="O39" s="671"/>
      <c r="P39" s="671"/>
      <c r="Q39" s="671"/>
      <c r="R39" s="671"/>
      <c r="S39" s="671"/>
      <c r="T39" s="671"/>
      <c r="U39" s="671"/>
      <c r="V39" s="671"/>
      <c r="W39" s="549"/>
      <c r="Y39" s="288"/>
      <c r="Z39" s="288"/>
    </row>
    <row r="40" spans="3:30" s="63" customFormat="1" ht="12" outlineLevel="1" x14ac:dyDescent="0.2">
      <c r="C40" s="207">
        <v>6337</v>
      </c>
      <c r="D40" s="293"/>
      <c r="E40" s="300" t="s">
        <v>14</v>
      </c>
      <c r="F40" s="280"/>
      <c r="G40" s="557"/>
      <c r="H40" s="549"/>
      <c r="J40" s="619"/>
      <c r="K40" s="671"/>
      <c r="L40" s="671"/>
      <c r="M40" s="671"/>
      <c r="N40" s="671"/>
      <c r="O40" s="671"/>
      <c r="P40" s="671"/>
      <c r="Q40" s="671"/>
      <c r="R40" s="671"/>
      <c r="S40" s="671"/>
      <c r="T40" s="671"/>
      <c r="U40" s="671"/>
      <c r="V40" s="671"/>
      <c r="W40" s="549"/>
      <c r="Y40" s="288"/>
      <c r="Z40" s="288"/>
    </row>
    <row r="41" spans="3:30" s="63" customFormat="1" ht="12.75" customHeight="1" outlineLevel="1" x14ac:dyDescent="0.2">
      <c r="C41" s="64"/>
      <c r="D41" s="565" t="s">
        <v>268</v>
      </c>
      <c r="E41" s="566" t="s">
        <v>393</v>
      </c>
      <c r="F41" s="567">
        <v>1</v>
      </c>
      <c r="G41" s="667">
        <v>500</v>
      </c>
      <c r="H41" s="616">
        <f t="shared" ref="H41" si="31">IF(J41="NO", F41*G41,SUM(J41:V41))</f>
        <v>500</v>
      </c>
      <c r="J41" s="622" t="s">
        <v>538</v>
      </c>
      <c r="K41" s="609">
        <f>$F41*$G41/12</f>
        <v>41.666666666666664</v>
      </c>
      <c r="L41" s="609">
        <f t="shared" ref="L41:V41" si="32">$F41*$G41/12</f>
        <v>41.666666666666664</v>
      </c>
      <c r="M41" s="609">
        <f t="shared" si="32"/>
        <v>41.666666666666664</v>
      </c>
      <c r="N41" s="609">
        <f t="shared" si="32"/>
        <v>41.666666666666664</v>
      </c>
      <c r="O41" s="609">
        <f t="shared" si="32"/>
        <v>41.666666666666664</v>
      </c>
      <c r="P41" s="609">
        <f t="shared" si="32"/>
        <v>41.666666666666664</v>
      </c>
      <c r="Q41" s="609">
        <f t="shared" si="32"/>
        <v>41.666666666666664</v>
      </c>
      <c r="R41" s="609">
        <f t="shared" si="32"/>
        <v>41.666666666666664</v>
      </c>
      <c r="S41" s="609">
        <f t="shared" si="32"/>
        <v>41.666666666666664</v>
      </c>
      <c r="T41" s="609">
        <f t="shared" si="32"/>
        <v>41.666666666666664</v>
      </c>
      <c r="U41" s="609">
        <f t="shared" si="32"/>
        <v>41.666666666666664</v>
      </c>
      <c r="V41" s="609">
        <f t="shared" si="32"/>
        <v>41.666666666666664</v>
      </c>
      <c r="W41" s="616">
        <f t="shared" ref="W41" si="33">SUM(K41:V41)</f>
        <v>500.00000000000006</v>
      </c>
      <c r="Y41" s="288"/>
      <c r="Z41" s="288"/>
    </row>
    <row r="42" spans="3:30" s="63" customFormat="1" ht="12" outlineLevel="1" x14ac:dyDescent="0.2">
      <c r="C42" s="64"/>
      <c r="D42" s="562" t="s">
        <v>259</v>
      </c>
      <c r="E42" s="563" t="s">
        <v>513</v>
      </c>
      <c r="F42" s="564">
        <v>0</v>
      </c>
      <c r="G42" s="610">
        <v>0</v>
      </c>
      <c r="H42" s="616">
        <f t="shared" ref="H42:H43" si="34">IF(J42="NO", F42*G42,SUM(J42:V42))</f>
        <v>0</v>
      </c>
      <c r="J42" s="623" t="s">
        <v>538</v>
      </c>
      <c r="K42" s="610">
        <f t="shared" ref="K42:K43" si="35">$F42*$G42/12</f>
        <v>0</v>
      </c>
      <c r="L42" s="610">
        <f t="shared" ref="L42:V43" si="36">$F42*$G42/12</f>
        <v>0</v>
      </c>
      <c r="M42" s="610">
        <f t="shared" si="36"/>
        <v>0</v>
      </c>
      <c r="N42" s="610">
        <f t="shared" si="36"/>
        <v>0</v>
      </c>
      <c r="O42" s="610">
        <f t="shared" si="36"/>
        <v>0</v>
      </c>
      <c r="P42" s="610">
        <f t="shared" si="36"/>
        <v>0</v>
      </c>
      <c r="Q42" s="610">
        <f t="shared" si="36"/>
        <v>0</v>
      </c>
      <c r="R42" s="610">
        <f t="shared" si="36"/>
        <v>0</v>
      </c>
      <c r="S42" s="610">
        <f t="shared" si="36"/>
        <v>0</v>
      </c>
      <c r="T42" s="610">
        <f t="shared" si="36"/>
        <v>0</v>
      </c>
      <c r="U42" s="610">
        <f t="shared" si="36"/>
        <v>0</v>
      </c>
      <c r="V42" s="610">
        <f t="shared" si="36"/>
        <v>0</v>
      </c>
      <c r="W42" s="616">
        <f t="shared" ref="W42:W43" si="37">SUM(K42:V42)</f>
        <v>0</v>
      </c>
      <c r="Y42" s="288"/>
      <c r="Z42" s="288"/>
    </row>
    <row r="43" spans="3:30" s="63" customFormat="1" ht="12" outlineLevel="1" x14ac:dyDescent="0.2">
      <c r="C43" s="64"/>
      <c r="D43" s="562" t="s">
        <v>259</v>
      </c>
      <c r="E43" s="563"/>
      <c r="F43" s="564">
        <v>0</v>
      </c>
      <c r="G43" s="610">
        <v>0</v>
      </c>
      <c r="H43" s="616">
        <f t="shared" si="34"/>
        <v>0</v>
      </c>
      <c r="J43" s="623" t="s">
        <v>538</v>
      </c>
      <c r="K43" s="610">
        <f t="shared" si="35"/>
        <v>0</v>
      </c>
      <c r="L43" s="610">
        <f t="shared" si="36"/>
        <v>0</v>
      </c>
      <c r="M43" s="610">
        <f t="shared" si="36"/>
        <v>0</v>
      </c>
      <c r="N43" s="610">
        <f t="shared" si="36"/>
        <v>0</v>
      </c>
      <c r="O43" s="610">
        <f t="shared" si="36"/>
        <v>0</v>
      </c>
      <c r="P43" s="610">
        <f t="shared" si="36"/>
        <v>0</v>
      </c>
      <c r="Q43" s="610">
        <f t="shared" si="36"/>
        <v>0</v>
      </c>
      <c r="R43" s="610">
        <f t="shared" si="36"/>
        <v>0</v>
      </c>
      <c r="S43" s="610">
        <f t="shared" si="36"/>
        <v>0</v>
      </c>
      <c r="T43" s="610">
        <f t="shared" si="36"/>
        <v>0</v>
      </c>
      <c r="U43" s="610">
        <f t="shared" si="36"/>
        <v>0</v>
      </c>
      <c r="V43" s="610">
        <f t="shared" si="36"/>
        <v>0</v>
      </c>
      <c r="W43" s="616">
        <f t="shared" si="37"/>
        <v>0</v>
      </c>
      <c r="Y43" s="288"/>
      <c r="Z43" s="288"/>
    </row>
    <row r="44" spans="3:30" s="63" customFormat="1" ht="3.6" customHeight="1" outlineLevel="1" thickBot="1" x14ac:dyDescent="0.25">
      <c r="C44" s="64"/>
      <c r="D44" s="295"/>
      <c r="E44" s="301"/>
      <c r="F44" s="282"/>
      <c r="G44" s="559"/>
      <c r="H44" s="552"/>
      <c r="J44" s="624"/>
      <c r="K44" s="617"/>
      <c r="L44" s="617"/>
      <c r="M44" s="617"/>
      <c r="N44" s="617"/>
      <c r="O44" s="617"/>
      <c r="P44" s="617"/>
      <c r="Q44" s="617"/>
      <c r="R44" s="617"/>
      <c r="S44" s="617"/>
      <c r="T44" s="617"/>
      <c r="U44" s="617"/>
      <c r="V44" s="617"/>
      <c r="W44" s="552"/>
      <c r="Y44" s="288"/>
      <c r="Z44" s="288"/>
    </row>
    <row r="45" spans="3:30" s="63" customFormat="1" ht="12.75" thickBot="1" x14ac:dyDescent="0.25">
      <c r="C45" s="64"/>
      <c r="D45" s="293"/>
      <c r="E45" s="300"/>
      <c r="F45" s="283" t="str">
        <f>E40</f>
        <v>Prof-Dev/Technology Training</v>
      </c>
      <c r="G45" s="560">
        <f>C40</f>
        <v>6337</v>
      </c>
      <c r="H45" s="553">
        <f>SUBTOTAL(9,H41:H44)</f>
        <v>500</v>
      </c>
      <c r="J45" s="631"/>
      <c r="K45" s="632">
        <f>SUBTOTAL(9,K41:K44)</f>
        <v>41.666666666666664</v>
      </c>
      <c r="L45" s="632">
        <f t="shared" ref="L45:V45" si="38">SUBTOTAL(9,L41:L44)</f>
        <v>41.666666666666664</v>
      </c>
      <c r="M45" s="632">
        <f t="shared" si="38"/>
        <v>41.666666666666664</v>
      </c>
      <c r="N45" s="632">
        <f t="shared" si="38"/>
        <v>41.666666666666664</v>
      </c>
      <c r="O45" s="632">
        <f t="shared" si="38"/>
        <v>41.666666666666664</v>
      </c>
      <c r="P45" s="632">
        <f t="shared" si="38"/>
        <v>41.666666666666664</v>
      </c>
      <c r="Q45" s="632">
        <f t="shared" si="38"/>
        <v>41.666666666666664</v>
      </c>
      <c r="R45" s="632">
        <f t="shared" si="38"/>
        <v>41.666666666666664</v>
      </c>
      <c r="S45" s="632">
        <f t="shared" si="38"/>
        <v>41.666666666666664</v>
      </c>
      <c r="T45" s="632">
        <f t="shared" si="38"/>
        <v>41.666666666666664</v>
      </c>
      <c r="U45" s="632">
        <f t="shared" si="38"/>
        <v>41.666666666666664</v>
      </c>
      <c r="V45" s="632">
        <f t="shared" si="38"/>
        <v>41.666666666666664</v>
      </c>
      <c r="W45" s="553">
        <f>SUBTOTAL(9,W41:W44)</f>
        <v>500.00000000000006</v>
      </c>
      <c r="X45" s="63" t="str">
        <f>IF(H45=W45,"OK","Error")</f>
        <v>OK</v>
      </c>
      <c r="Y45" s="288">
        <v>0</v>
      </c>
      <c r="Z45" s="288">
        <f>H45-Y45</f>
        <v>500</v>
      </c>
    </row>
    <row r="46" spans="3:30" s="63" customFormat="1" ht="12" outlineLevel="1" x14ac:dyDescent="0.2">
      <c r="C46" s="64"/>
      <c r="D46" s="293"/>
      <c r="E46" s="300"/>
      <c r="F46" s="280"/>
      <c r="G46" s="557"/>
      <c r="H46" s="549"/>
      <c r="J46" s="619"/>
      <c r="K46" s="671"/>
      <c r="L46" s="671"/>
      <c r="M46" s="671"/>
      <c r="N46" s="671"/>
      <c r="O46" s="671"/>
      <c r="P46" s="671"/>
      <c r="Q46" s="671"/>
      <c r="R46" s="671"/>
      <c r="S46" s="671"/>
      <c r="T46" s="671"/>
      <c r="U46" s="671"/>
      <c r="V46" s="671"/>
      <c r="W46" s="549"/>
      <c r="Y46" s="288"/>
      <c r="Z46" s="288"/>
    </row>
    <row r="47" spans="3:30" s="63" customFormat="1" ht="12" outlineLevel="1" x14ac:dyDescent="0.2">
      <c r="C47" s="207">
        <v>6340</v>
      </c>
      <c r="D47" s="293"/>
      <c r="E47" s="300" t="s">
        <v>15</v>
      </c>
      <c r="F47" s="280"/>
      <c r="G47" s="557"/>
      <c r="H47" s="549"/>
      <c r="J47" s="619"/>
      <c r="K47" s="671"/>
      <c r="L47" s="671"/>
      <c r="M47" s="671"/>
      <c r="N47" s="671"/>
      <c r="O47" s="671"/>
      <c r="P47" s="671"/>
      <c r="Q47" s="671"/>
      <c r="R47" s="671"/>
      <c r="S47" s="671"/>
      <c r="T47" s="671"/>
      <c r="U47" s="671"/>
      <c r="V47" s="671"/>
      <c r="W47" s="549"/>
      <c r="Y47" s="288"/>
      <c r="Z47" s="288"/>
    </row>
    <row r="48" spans="3:30" s="63" customFormat="1" ht="12" outlineLevel="1" x14ac:dyDescent="0.2">
      <c r="C48" s="64"/>
      <c r="D48" s="565" t="s">
        <v>324</v>
      </c>
      <c r="E48" s="566" t="s">
        <v>557</v>
      </c>
      <c r="F48" s="576">
        <v>1.4999999999999999E-2</v>
      </c>
      <c r="G48" s="611">
        <f>'Rev &amp; Enroll'!F24*'Rev &amp; Enroll'!F35</f>
        <v>633600</v>
      </c>
      <c r="H48" s="616">
        <f t="shared" ref="H48:H51" si="39">IF(J48="NO", F48*G48,SUM(J48:V48))</f>
        <v>9504</v>
      </c>
      <c r="J48" s="622" t="s">
        <v>539</v>
      </c>
      <c r="K48" s="609">
        <f>$F$48*$G$48/12</f>
        <v>792</v>
      </c>
      <c r="L48" s="609">
        <f t="shared" ref="L48:V48" si="40">$F$48*$G$48/12</f>
        <v>792</v>
      </c>
      <c r="M48" s="609">
        <f t="shared" si="40"/>
        <v>792</v>
      </c>
      <c r="N48" s="609">
        <f t="shared" si="40"/>
        <v>792</v>
      </c>
      <c r="O48" s="609">
        <f t="shared" si="40"/>
        <v>792</v>
      </c>
      <c r="P48" s="609">
        <f t="shared" si="40"/>
        <v>792</v>
      </c>
      <c r="Q48" s="609">
        <f t="shared" si="40"/>
        <v>792</v>
      </c>
      <c r="R48" s="609">
        <f t="shared" si="40"/>
        <v>792</v>
      </c>
      <c r="S48" s="609">
        <f t="shared" si="40"/>
        <v>792</v>
      </c>
      <c r="T48" s="609">
        <f t="shared" si="40"/>
        <v>792</v>
      </c>
      <c r="U48" s="609">
        <f t="shared" si="40"/>
        <v>792</v>
      </c>
      <c r="V48" s="609">
        <f t="shared" si="40"/>
        <v>792</v>
      </c>
      <c r="W48" s="616">
        <f t="shared" ref="W48:W49" si="41">SUM(K48:V48)</f>
        <v>9504</v>
      </c>
      <c r="X48" s="630"/>
      <c r="Y48" s="288"/>
      <c r="Z48" s="288"/>
      <c r="AD48" s="608"/>
    </row>
    <row r="49" spans="3:26" s="63" customFormat="1" ht="12" outlineLevel="1" x14ac:dyDescent="0.2">
      <c r="C49" s="64"/>
      <c r="D49" s="562" t="s">
        <v>259</v>
      </c>
      <c r="E49" s="563" t="s">
        <v>590</v>
      </c>
      <c r="F49" s="564">
        <v>0</v>
      </c>
      <c r="G49" s="610">
        <v>0</v>
      </c>
      <c r="H49" s="616">
        <f t="shared" si="39"/>
        <v>0</v>
      </c>
      <c r="J49" s="623" t="s">
        <v>538</v>
      </c>
      <c r="K49" s="610">
        <f t="shared" ref="K49:V51" si="42">$F49*$G49/12</f>
        <v>0</v>
      </c>
      <c r="L49" s="610">
        <f t="shared" si="42"/>
        <v>0</v>
      </c>
      <c r="M49" s="610">
        <f t="shared" si="42"/>
        <v>0</v>
      </c>
      <c r="N49" s="610">
        <f t="shared" si="42"/>
        <v>0</v>
      </c>
      <c r="O49" s="610">
        <f t="shared" si="42"/>
        <v>0</v>
      </c>
      <c r="P49" s="610">
        <f t="shared" si="42"/>
        <v>0</v>
      </c>
      <c r="Q49" s="610">
        <f t="shared" si="42"/>
        <v>0</v>
      </c>
      <c r="R49" s="610">
        <f t="shared" si="42"/>
        <v>0</v>
      </c>
      <c r="S49" s="610">
        <f t="shared" si="42"/>
        <v>0</v>
      </c>
      <c r="T49" s="610">
        <f t="shared" si="42"/>
        <v>0</v>
      </c>
      <c r="U49" s="610">
        <f t="shared" si="42"/>
        <v>0</v>
      </c>
      <c r="V49" s="610">
        <f t="shared" si="42"/>
        <v>0</v>
      </c>
      <c r="W49" s="616">
        <f t="shared" si="41"/>
        <v>0</v>
      </c>
      <c r="Y49" s="288"/>
      <c r="Z49" s="288"/>
    </row>
    <row r="50" spans="3:26" s="63" customFormat="1" ht="12" outlineLevel="1" x14ac:dyDescent="0.2">
      <c r="C50" s="64"/>
      <c r="D50" s="562" t="s">
        <v>259</v>
      </c>
      <c r="E50" s="563"/>
      <c r="F50" s="564">
        <v>0</v>
      </c>
      <c r="G50" s="610">
        <v>0</v>
      </c>
      <c r="H50" s="616">
        <f t="shared" si="39"/>
        <v>0</v>
      </c>
      <c r="J50" s="623" t="s">
        <v>538</v>
      </c>
      <c r="K50" s="610">
        <f t="shared" si="42"/>
        <v>0</v>
      </c>
      <c r="L50" s="610">
        <f t="shared" si="42"/>
        <v>0</v>
      </c>
      <c r="M50" s="610">
        <f t="shared" si="42"/>
        <v>0</v>
      </c>
      <c r="N50" s="610">
        <f t="shared" si="42"/>
        <v>0</v>
      </c>
      <c r="O50" s="610">
        <f t="shared" si="42"/>
        <v>0</v>
      </c>
      <c r="P50" s="610">
        <f t="shared" si="42"/>
        <v>0</v>
      </c>
      <c r="Q50" s="610">
        <f t="shared" si="42"/>
        <v>0</v>
      </c>
      <c r="R50" s="610">
        <f t="shared" si="42"/>
        <v>0</v>
      </c>
      <c r="S50" s="610">
        <f t="shared" si="42"/>
        <v>0</v>
      </c>
      <c r="T50" s="610">
        <f t="shared" si="42"/>
        <v>0</v>
      </c>
      <c r="U50" s="610">
        <f t="shared" si="42"/>
        <v>0</v>
      </c>
      <c r="V50" s="610">
        <f t="shared" si="42"/>
        <v>0</v>
      </c>
      <c r="W50" s="616">
        <f t="shared" ref="W50:W51" si="43">SUM(K50:V50)</f>
        <v>0</v>
      </c>
      <c r="Y50" s="288"/>
      <c r="Z50" s="288"/>
    </row>
    <row r="51" spans="3:26" s="63" customFormat="1" ht="12" outlineLevel="1" x14ac:dyDescent="0.2">
      <c r="C51" s="64"/>
      <c r="D51" s="562" t="s">
        <v>259</v>
      </c>
      <c r="E51" s="563"/>
      <c r="F51" s="564">
        <v>0</v>
      </c>
      <c r="G51" s="610">
        <v>0</v>
      </c>
      <c r="H51" s="616">
        <f t="shared" si="39"/>
        <v>0</v>
      </c>
      <c r="J51" s="623" t="s">
        <v>538</v>
      </c>
      <c r="K51" s="610">
        <f t="shared" si="42"/>
        <v>0</v>
      </c>
      <c r="L51" s="610">
        <f t="shared" si="42"/>
        <v>0</v>
      </c>
      <c r="M51" s="610">
        <f t="shared" si="42"/>
        <v>0</v>
      </c>
      <c r="N51" s="610">
        <f t="shared" si="42"/>
        <v>0</v>
      </c>
      <c r="O51" s="610">
        <f t="shared" si="42"/>
        <v>0</v>
      </c>
      <c r="P51" s="610">
        <f t="shared" si="42"/>
        <v>0</v>
      </c>
      <c r="Q51" s="610">
        <f t="shared" si="42"/>
        <v>0</v>
      </c>
      <c r="R51" s="610">
        <f t="shared" si="42"/>
        <v>0</v>
      </c>
      <c r="S51" s="610">
        <f t="shared" si="42"/>
        <v>0</v>
      </c>
      <c r="T51" s="610">
        <f t="shared" si="42"/>
        <v>0</v>
      </c>
      <c r="U51" s="610">
        <f t="shared" si="42"/>
        <v>0</v>
      </c>
      <c r="V51" s="610">
        <f t="shared" si="42"/>
        <v>0</v>
      </c>
      <c r="W51" s="616">
        <f t="shared" si="43"/>
        <v>0</v>
      </c>
      <c r="Y51" s="288"/>
      <c r="Z51" s="288"/>
    </row>
    <row r="52" spans="3:26" s="63" customFormat="1" ht="3.6" customHeight="1" outlineLevel="1" thickBot="1" x14ac:dyDescent="0.25">
      <c r="C52" s="64"/>
      <c r="D52" s="295"/>
      <c r="E52" s="301"/>
      <c r="F52" s="282"/>
      <c r="G52" s="559"/>
      <c r="H52" s="617"/>
      <c r="J52" s="624"/>
      <c r="K52" s="617"/>
      <c r="L52" s="617"/>
      <c r="M52" s="617"/>
      <c r="N52" s="617"/>
      <c r="O52" s="617"/>
      <c r="P52" s="617"/>
      <c r="Q52" s="617"/>
      <c r="R52" s="617"/>
      <c r="S52" s="617"/>
      <c r="T52" s="617"/>
      <c r="U52" s="617"/>
      <c r="V52" s="617"/>
      <c r="W52" s="552"/>
      <c r="Y52" s="288"/>
      <c r="Z52" s="288"/>
    </row>
    <row r="53" spans="3:26" s="63" customFormat="1" ht="12.75" thickBot="1" x14ac:dyDescent="0.25">
      <c r="C53" s="64"/>
      <c r="D53" s="293"/>
      <c r="E53" s="300"/>
      <c r="F53" s="283" t="str">
        <f>E47</f>
        <v>Other Professional Services</v>
      </c>
      <c r="G53" s="560">
        <f>C47</f>
        <v>6340</v>
      </c>
      <c r="H53" s="615">
        <f>SUBTOTAL(9,H48:H52)</f>
        <v>9504</v>
      </c>
      <c r="J53" s="626"/>
      <c r="K53" s="620">
        <f t="shared" ref="K53:W53" si="44">SUBTOTAL(9,K48:K52)</f>
        <v>792</v>
      </c>
      <c r="L53" s="620">
        <f t="shared" si="44"/>
        <v>792</v>
      </c>
      <c r="M53" s="620">
        <f t="shared" si="44"/>
        <v>792</v>
      </c>
      <c r="N53" s="620">
        <f t="shared" si="44"/>
        <v>792</v>
      </c>
      <c r="O53" s="620">
        <f t="shared" si="44"/>
        <v>792</v>
      </c>
      <c r="P53" s="620">
        <f t="shared" si="44"/>
        <v>792</v>
      </c>
      <c r="Q53" s="620">
        <f t="shared" si="44"/>
        <v>792</v>
      </c>
      <c r="R53" s="620">
        <f t="shared" si="44"/>
        <v>792</v>
      </c>
      <c r="S53" s="620">
        <f t="shared" si="44"/>
        <v>792</v>
      </c>
      <c r="T53" s="620">
        <f t="shared" si="44"/>
        <v>792</v>
      </c>
      <c r="U53" s="620">
        <f t="shared" si="44"/>
        <v>792</v>
      </c>
      <c r="V53" s="620">
        <f t="shared" si="44"/>
        <v>792</v>
      </c>
      <c r="W53" s="553">
        <f t="shared" si="44"/>
        <v>9504</v>
      </c>
      <c r="X53" s="63" t="str">
        <f>IF(H53=W53,"OK","Error")</f>
        <v>OK</v>
      </c>
      <c r="Y53" s="288">
        <v>0</v>
      </c>
      <c r="Z53" s="288">
        <f>H53-Y53</f>
        <v>9504</v>
      </c>
    </row>
    <row r="54" spans="3:26" s="63" customFormat="1" ht="12" outlineLevel="1" x14ac:dyDescent="0.2">
      <c r="C54" s="64"/>
      <c r="D54" s="293"/>
      <c r="E54" s="300"/>
      <c r="F54" s="280"/>
      <c r="G54" s="557"/>
      <c r="H54" s="549"/>
      <c r="J54" s="619"/>
      <c r="K54" s="671"/>
      <c r="L54" s="671"/>
      <c r="M54" s="671"/>
      <c r="N54" s="671"/>
      <c r="O54" s="671"/>
      <c r="P54" s="671"/>
      <c r="Q54" s="671"/>
      <c r="R54" s="671"/>
      <c r="S54" s="671"/>
      <c r="T54" s="671"/>
      <c r="U54" s="671"/>
      <c r="V54" s="671"/>
      <c r="W54" s="549"/>
      <c r="Y54" s="288"/>
      <c r="Z54" s="288"/>
    </row>
    <row r="55" spans="3:26" s="63" customFormat="1" ht="12" outlineLevel="1" x14ac:dyDescent="0.2">
      <c r="C55" s="207">
        <v>6345</v>
      </c>
      <c r="D55" s="293"/>
      <c r="E55" s="300" t="s">
        <v>326</v>
      </c>
      <c r="F55" s="280"/>
      <c r="G55" s="557"/>
      <c r="H55" s="549"/>
      <c r="J55" s="619"/>
      <c r="K55" s="671"/>
      <c r="L55" s="671"/>
      <c r="M55" s="671"/>
      <c r="N55" s="671"/>
      <c r="O55" s="671"/>
      <c r="P55" s="671"/>
      <c r="Q55" s="671"/>
      <c r="R55" s="671"/>
      <c r="S55" s="671"/>
      <c r="T55" s="671"/>
      <c r="U55" s="671"/>
      <c r="V55" s="671"/>
      <c r="W55" s="549"/>
      <c r="Y55" s="288"/>
      <c r="Z55" s="288"/>
    </row>
    <row r="56" spans="3:26" s="63" customFormat="1" ht="12" outlineLevel="1" x14ac:dyDescent="0.2">
      <c r="C56" s="64"/>
      <c r="D56" s="562" t="s">
        <v>259</v>
      </c>
      <c r="E56" s="563" t="s">
        <v>548</v>
      </c>
      <c r="F56" s="564">
        <v>0</v>
      </c>
      <c r="G56" s="610">
        <v>0</v>
      </c>
      <c r="H56" s="616">
        <f t="shared" ref="H56:H57" si="45">IF(J56="NO", F56*G56,SUM(J56:V56))</f>
        <v>0</v>
      </c>
      <c r="J56" s="623" t="s">
        <v>538</v>
      </c>
      <c r="K56" s="610">
        <f t="shared" ref="K56:V57" si="46">$F56*$G56/12</f>
        <v>0</v>
      </c>
      <c r="L56" s="610">
        <f t="shared" si="46"/>
        <v>0</v>
      </c>
      <c r="M56" s="610">
        <f t="shared" si="46"/>
        <v>0</v>
      </c>
      <c r="N56" s="610">
        <f t="shared" si="46"/>
        <v>0</v>
      </c>
      <c r="O56" s="610">
        <f t="shared" si="46"/>
        <v>0</v>
      </c>
      <c r="P56" s="610">
        <f t="shared" si="46"/>
        <v>0</v>
      </c>
      <c r="Q56" s="610">
        <f t="shared" si="46"/>
        <v>0</v>
      </c>
      <c r="R56" s="610">
        <f t="shared" si="46"/>
        <v>0</v>
      </c>
      <c r="S56" s="610">
        <f t="shared" si="46"/>
        <v>0</v>
      </c>
      <c r="T56" s="610">
        <f t="shared" si="46"/>
        <v>0</v>
      </c>
      <c r="U56" s="610">
        <f t="shared" si="46"/>
        <v>0</v>
      </c>
      <c r="V56" s="610">
        <f t="shared" si="46"/>
        <v>0</v>
      </c>
      <c r="W56" s="616">
        <f t="shared" ref="W56:W57" si="47">SUM(K56:V56)</f>
        <v>0</v>
      </c>
      <c r="Y56" s="288"/>
      <c r="Z56" s="288"/>
    </row>
    <row r="57" spans="3:26" s="63" customFormat="1" ht="12" outlineLevel="1" x14ac:dyDescent="0.2">
      <c r="C57" s="64"/>
      <c r="D57" s="562" t="s">
        <v>259</v>
      </c>
      <c r="E57" s="563"/>
      <c r="F57" s="564">
        <v>0</v>
      </c>
      <c r="G57" s="610">
        <v>0</v>
      </c>
      <c r="H57" s="616">
        <f t="shared" si="45"/>
        <v>0</v>
      </c>
      <c r="J57" s="623" t="s">
        <v>538</v>
      </c>
      <c r="K57" s="610">
        <f t="shared" si="46"/>
        <v>0</v>
      </c>
      <c r="L57" s="610">
        <f t="shared" si="46"/>
        <v>0</v>
      </c>
      <c r="M57" s="610">
        <f t="shared" si="46"/>
        <v>0</v>
      </c>
      <c r="N57" s="610">
        <f t="shared" si="46"/>
        <v>0</v>
      </c>
      <c r="O57" s="610">
        <f t="shared" si="46"/>
        <v>0</v>
      </c>
      <c r="P57" s="610">
        <f t="shared" si="46"/>
        <v>0</v>
      </c>
      <c r="Q57" s="610">
        <f t="shared" si="46"/>
        <v>0</v>
      </c>
      <c r="R57" s="610">
        <f t="shared" si="46"/>
        <v>0</v>
      </c>
      <c r="S57" s="610">
        <f t="shared" si="46"/>
        <v>0</v>
      </c>
      <c r="T57" s="610">
        <f t="shared" si="46"/>
        <v>0</v>
      </c>
      <c r="U57" s="610">
        <f t="shared" si="46"/>
        <v>0</v>
      </c>
      <c r="V57" s="610">
        <f t="shared" si="46"/>
        <v>0</v>
      </c>
      <c r="W57" s="616">
        <f t="shared" si="47"/>
        <v>0</v>
      </c>
      <c r="Y57" s="288"/>
      <c r="Z57" s="288"/>
    </row>
    <row r="58" spans="3:26" s="63" customFormat="1" ht="3.6" customHeight="1" outlineLevel="1" thickBot="1" x14ac:dyDescent="0.25">
      <c r="C58" s="64"/>
      <c r="D58" s="295"/>
      <c r="E58" s="301"/>
      <c r="F58" s="282"/>
      <c r="G58" s="559"/>
      <c r="H58" s="552"/>
      <c r="J58" s="624"/>
      <c r="K58" s="617"/>
      <c r="L58" s="617"/>
      <c r="M58" s="617"/>
      <c r="N58" s="617"/>
      <c r="O58" s="617"/>
      <c r="P58" s="617"/>
      <c r="Q58" s="617"/>
      <c r="R58" s="617"/>
      <c r="S58" s="617"/>
      <c r="T58" s="617"/>
      <c r="U58" s="617"/>
      <c r="V58" s="617"/>
      <c r="W58" s="552"/>
      <c r="Y58" s="288"/>
      <c r="Z58" s="288"/>
    </row>
    <row r="59" spans="3:26" s="63" customFormat="1" ht="12.75" thickBot="1" x14ac:dyDescent="0.25">
      <c r="C59" s="64"/>
      <c r="D59" s="293"/>
      <c r="E59" s="300"/>
      <c r="F59" s="283" t="str">
        <f>E55</f>
        <v>Marketing Services</v>
      </c>
      <c r="G59" s="560">
        <f>C55</f>
        <v>6345</v>
      </c>
      <c r="H59" s="553">
        <f>SUBTOTAL(9,H56:H58)</f>
        <v>0</v>
      </c>
      <c r="J59" s="626"/>
      <c r="K59" s="620">
        <f t="shared" ref="K59:W59" si="48">SUBTOTAL(9,K56:K58)</f>
        <v>0</v>
      </c>
      <c r="L59" s="620">
        <f t="shared" si="48"/>
        <v>0</v>
      </c>
      <c r="M59" s="620">
        <f t="shared" si="48"/>
        <v>0</v>
      </c>
      <c r="N59" s="620">
        <f t="shared" si="48"/>
        <v>0</v>
      </c>
      <c r="O59" s="620">
        <f t="shared" si="48"/>
        <v>0</v>
      </c>
      <c r="P59" s="620">
        <f t="shared" si="48"/>
        <v>0</v>
      </c>
      <c r="Q59" s="620">
        <f t="shared" si="48"/>
        <v>0</v>
      </c>
      <c r="R59" s="620">
        <f t="shared" si="48"/>
        <v>0</v>
      </c>
      <c r="S59" s="620">
        <f t="shared" si="48"/>
        <v>0</v>
      </c>
      <c r="T59" s="620">
        <f t="shared" si="48"/>
        <v>0</v>
      </c>
      <c r="U59" s="620">
        <f t="shared" si="48"/>
        <v>0</v>
      </c>
      <c r="V59" s="620">
        <f t="shared" si="48"/>
        <v>0</v>
      </c>
      <c r="W59" s="553">
        <f t="shared" si="48"/>
        <v>0</v>
      </c>
      <c r="X59" s="63" t="str">
        <f>IF(H59=W59,"OK","Error")</f>
        <v>OK</v>
      </c>
      <c r="Y59" s="288">
        <v>0</v>
      </c>
      <c r="Z59" s="288">
        <f>H59-Y59</f>
        <v>0</v>
      </c>
    </row>
    <row r="60" spans="3:26" s="63" customFormat="1" ht="12" outlineLevel="1" x14ac:dyDescent="0.2">
      <c r="C60" s="64"/>
      <c r="D60" s="293"/>
      <c r="E60" s="300"/>
      <c r="F60" s="280"/>
      <c r="G60" s="557"/>
      <c r="H60" s="549"/>
      <c r="J60" s="619"/>
      <c r="K60" s="671"/>
      <c r="L60" s="671"/>
      <c r="M60" s="671"/>
      <c r="N60" s="671"/>
      <c r="O60" s="671"/>
      <c r="P60" s="671"/>
      <c r="Q60" s="671"/>
      <c r="R60" s="671"/>
      <c r="S60" s="671"/>
      <c r="T60" s="671"/>
      <c r="U60" s="671"/>
      <c r="V60" s="671"/>
      <c r="W60" s="549"/>
      <c r="Y60" s="288"/>
      <c r="Z60" s="288"/>
    </row>
    <row r="61" spans="3:26" s="63" customFormat="1" ht="12" outlineLevel="1" x14ac:dyDescent="0.2">
      <c r="C61" s="207">
        <v>6350</v>
      </c>
      <c r="D61" s="293"/>
      <c r="E61" s="300" t="s">
        <v>325</v>
      </c>
      <c r="F61" s="280"/>
      <c r="G61" s="557"/>
      <c r="H61" s="549"/>
      <c r="J61" s="619"/>
      <c r="K61" s="671"/>
      <c r="L61" s="671"/>
      <c r="M61" s="671"/>
      <c r="N61" s="671"/>
      <c r="O61" s="671"/>
      <c r="P61" s="671"/>
      <c r="Q61" s="671"/>
      <c r="R61" s="671"/>
      <c r="S61" s="671"/>
      <c r="T61" s="671"/>
      <c r="U61" s="671"/>
      <c r="V61" s="671"/>
      <c r="W61" s="549"/>
      <c r="Y61" s="288"/>
      <c r="Z61" s="288"/>
    </row>
    <row r="62" spans="3:26" s="63" customFormat="1" ht="12" outlineLevel="1" x14ac:dyDescent="0.2">
      <c r="C62" s="64"/>
      <c r="D62" s="565" t="s">
        <v>272</v>
      </c>
      <c r="E62" s="566" t="s">
        <v>534</v>
      </c>
      <c r="F62" s="574">
        <v>5</v>
      </c>
      <c r="G62" s="611">
        <v>100</v>
      </c>
      <c r="H62" s="616">
        <f t="shared" ref="H62" si="49">IF(J62="NO", F62*G62,SUM(J62:V62))</f>
        <v>500</v>
      </c>
      <c r="J62" s="622" t="s">
        <v>538</v>
      </c>
      <c r="K62" s="609">
        <f>$G$62*$F$62/12</f>
        <v>41.666666666666664</v>
      </c>
      <c r="L62" s="609">
        <f t="shared" ref="L62:V62" si="50">$G$62*$F$62/12</f>
        <v>41.666666666666664</v>
      </c>
      <c r="M62" s="609">
        <f t="shared" si="50"/>
        <v>41.666666666666664</v>
      </c>
      <c r="N62" s="609">
        <f t="shared" si="50"/>
        <v>41.666666666666664</v>
      </c>
      <c r="O62" s="609">
        <f t="shared" si="50"/>
        <v>41.666666666666664</v>
      </c>
      <c r="P62" s="609">
        <f t="shared" si="50"/>
        <v>41.666666666666664</v>
      </c>
      <c r="Q62" s="609">
        <f t="shared" si="50"/>
        <v>41.666666666666664</v>
      </c>
      <c r="R62" s="609">
        <f t="shared" si="50"/>
        <v>41.666666666666664</v>
      </c>
      <c r="S62" s="609">
        <f t="shared" si="50"/>
        <v>41.666666666666664</v>
      </c>
      <c r="T62" s="609">
        <f t="shared" si="50"/>
        <v>41.666666666666664</v>
      </c>
      <c r="U62" s="609">
        <f t="shared" si="50"/>
        <v>41.666666666666664</v>
      </c>
      <c r="V62" s="609">
        <f t="shared" si="50"/>
        <v>41.666666666666664</v>
      </c>
      <c r="W62" s="616">
        <f t="shared" ref="W62" si="51">SUM(K62:V62)</f>
        <v>500.00000000000006</v>
      </c>
      <c r="Y62" s="288"/>
      <c r="Z62" s="288"/>
    </row>
    <row r="63" spans="3:26" s="63" customFormat="1" ht="12" outlineLevel="1" x14ac:dyDescent="0.2">
      <c r="C63" s="64"/>
      <c r="D63" s="562" t="s">
        <v>259</v>
      </c>
      <c r="E63" s="563"/>
      <c r="F63" s="564">
        <v>0</v>
      </c>
      <c r="G63" s="610">
        <v>0</v>
      </c>
      <c r="H63" s="616">
        <f t="shared" ref="H63" si="52">IF(J63="NO", F63*G63,SUM(J63:V63))</f>
        <v>0</v>
      </c>
      <c r="J63" s="623" t="s">
        <v>538</v>
      </c>
      <c r="K63" s="610">
        <f t="shared" ref="K63:V63" si="53">$F63*$G63/12</f>
        <v>0</v>
      </c>
      <c r="L63" s="610">
        <f t="shared" si="53"/>
        <v>0</v>
      </c>
      <c r="M63" s="610">
        <f t="shared" si="53"/>
        <v>0</v>
      </c>
      <c r="N63" s="610">
        <f t="shared" si="53"/>
        <v>0</v>
      </c>
      <c r="O63" s="610">
        <f t="shared" si="53"/>
        <v>0</v>
      </c>
      <c r="P63" s="610">
        <f t="shared" si="53"/>
        <v>0</v>
      </c>
      <c r="Q63" s="610">
        <f t="shared" si="53"/>
        <v>0</v>
      </c>
      <c r="R63" s="610">
        <f t="shared" si="53"/>
        <v>0</v>
      </c>
      <c r="S63" s="610">
        <f t="shared" si="53"/>
        <v>0</v>
      </c>
      <c r="T63" s="610">
        <f t="shared" si="53"/>
        <v>0</v>
      </c>
      <c r="U63" s="610">
        <f t="shared" si="53"/>
        <v>0</v>
      </c>
      <c r="V63" s="610">
        <f t="shared" si="53"/>
        <v>0</v>
      </c>
      <c r="W63" s="616">
        <f t="shared" ref="W63" si="54">SUM(K63:V63)</f>
        <v>0</v>
      </c>
      <c r="Y63" s="288"/>
      <c r="Z63" s="288"/>
    </row>
    <row r="64" spans="3:26" s="63" customFormat="1" ht="3.6" customHeight="1" outlineLevel="1" thickBot="1" x14ac:dyDescent="0.25">
      <c r="C64" s="64"/>
      <c r="D64" s="295"/>
      <c r="E64" s="301"/>
      <c r="F64" s="282"/>
      <c r="G64" s="559"/>
      <c r="H64" s="552"/>
      <c r="J64" s="624"/>
      <c r="K64" s="617"/>
      <c r="L64" s="617"/>
      <c r="M64" s="617"/>
      <c r="N64" s="617"/>
      <c r="O64" s="617"/>
      <c r="P64" s="617"/>
      <c r="Q64" s="617"/>
      <c r="R64" s="617"/>
      <c r="S64" s="617"/>
      <c r="T64" s="617"/>
      <c r="U64" s="617"/>
      <c r="V64" s="617"/>
      <c r="W64" s="552"/>
      <c r="Y64" s="288"/>
      <c r="Z64" s="288"/>
    </row>
    <row r="65" spans="3:26" s="63" customFormat="1" ht="12.75" thickBot="1" x14ac:dyDescent="0.25">
      <c r="C65" s="64"/>
      <c r="D65" s="293"/>
      <c r="E65" s="300"/>
      <c r="F65" s="283" t="str">
        <f>E61</f>
        <v>Technical Services - Technology</v>
      </c>
      <c r="G65" s="560">
        <f>C61</f>
        <v>6350</v>
      </c>
      <c r="H65" s="553">
        <f>SUBTOTAL(9,H62:H64)</f>
        <v>500</v>
      </c>
      <c r="J65" s="626"/>
      <c r="K65" s="620">
        <f t="shared" ref="K65:W65" si="55">SUBTOTAL(9,K62:K64)</f>
        <v>41.666666666666664</v>
      </c>
      <c r="L65" s="620">
        <f t="shared" si="55"/>
        <v>41.666666666666664</v>
      </c>
      <c r="M65" s="620">
        <f t="shared" si="55"/>
        <v>41.666666666666664</v>
      </c>
      <c r="N65" s="620">
        <f t="shared" si="55"/>
        <v>41.666666666666664</v>
      </c>
      <c r="O65" s="620">
        <f t="shared" si="55"/>
        <v>41.666666666666664</v>
      </c>
      <c r="P65" s="620">
        <f t="shared" si="55"/>
        <v>41.666666666666664</v>
      </c>
      <c r="Q65" s="620">
        <f t="shared" si="55"/>
        <v>41.666666666666664</v>
      </c>
      <c r="R65" s="620">
        <f t="shared" si="55"/>
        <v>41.666666666666664</v>
      </c>
      <c r="S65" s="620">
        <f t="shared" si="55"/>
        <v>41.666666666666664</v>
      </c>
      <c r="T65" s="620">
        <f t="shared" si="55"/>
        <v>41.666666666666664</v>
      </c>
      <c r="U65" s="620">
        <f t="shared" si="55"/>
        <v>41.666666666666664</v>
      </c>
      <c r="V65" s="620">
        <f t="shared" si="55"/>
        <v>41.666666666666664</v>
      </c>
      <c r="W65" s="553">
        <f t="shared" si="55"/>
        <v>500.00000000000006</v>
      </c>
      <c r="X65" s="63" t="str">
        <f>IF(H65=W65,"OK","Error")</f>
        <v>OK</v>
      </c>
      <c r="Y65" s="288">
        <v>0</v>
      </c>
      <c r="Z65" s="288">
        <f>H65-Y65</f>
        <v>500</v>
      </c>
    </row>
    <row r="66" spans="3:26" s="63" customFormat="1" ht="12" outlineLevel="1" x14ac:dyDescent="0.2">
      <c r="C66" s="64"/>
      <c r="D66" s="293"/>
      <c r="E66" s="300"/>
      <c r="F66" s="280"/>
      <c r="G66" s="557"/>
      <c r="H66" s="549"/>
      <c r="J66" s="619"/>
      <c r="K66" s="671"/>
      <c r="L66" s="671"/>
      <c r="M66" s="671"/>
      <c r="N66" s="671"/>
      <c r="O66" s="671"/>
      <c r="P66" s="671"/>
      <c r="Q66" s="671"/>
      <c r="R66" s="671"/>
      <c r="S66" s="671"/>
      <c r="T66" s="671"/>
      <c r="U66" s="671"/>
      <c r="V66" s="671"/>
      <c r="W66" s="549"/>
      <c r="Y66" s="288"/>
      <c r="Z66" s="288"/>
    </row>
    <row r="67" spans="3:26" s="63" customFormat="1" ht="12" outlineLevel="1" x14ac:dyDescent="0.2">
      <c r="C67" s="207">
        <v>6351</v>
      </c>
      <c r="D67" s="293"/>
      <c r="E67" s="300" t="s">
        <v>18</v>
      </c>
      <c r="F67" s="280"/>
      <c r="G67" s="557"/>
      <c r="H67" s="549"/>
      <c r="J67" s="619"/>
      <c r="K67" s="671"/>
      <c r="L67" s="671"/>
      <c r="M67" s="671"/>
      <c r="N67" s="671"/>
      <c r="O67" s="671"/>
      <c r="P67" s="671"/>
      <c r="Q67" s="671"/>
      <c r="R67" s="671"/>
      <c r="S67" s="671"/>
      <c r="T67" s="671"/>
      <c r="U67" s="671"/>
      <c r="V67" s="671"/>
      <c r="W67" s="549"/>
      <c r="Y67" s="288"/>
      <c r="Z67" s="288"/>
    </row>
    <row r="68" spans="3:26" s="63" customFormat="1" ht="12" outlineLevel="1" x14ac:dyDescent="0.2">
      <c r="C68" s="64"/>
      <c r="D68" s="594" t="s">
        <v>259</v>
      </c>
      <c r="E68" s="595"/>
      <c r="F68" s="596">
        <v>0</v>
      </c>
      <c r="G68" s="612">
        <v>0</v>
      </c>
      <c r="H68" s="616">
        <f>IF(J68="NO", F68*G68,SUM(J68:V68))</f>
        <v>0</v>
      </c>
      <c r="J68" s="628" t="s">
        <v>538</v>
      </c>
      <c r="K68" s="612">
        <v>0</v>
      </c>
      <c r="L68" s="612">
        <v>0</v>
      </c>
      <c r="M68" s="612">
        <v>0</v>
      </c>
      <c r="N68" s="612">
        <v>0</v>
      </c>
      <c r="O68" s="612">
        <v>0</v>
      </c>
      <c r="P68" s="612">
        <v>0</v>
      </c>
      <c r="Q68" s="612">
        <v>0</v>
      </c>
      <c r="R68" s="612">
        <v>0</v>
      </c>
      <c r="S68" s="612">
        <v>0</v>
      </c>
      <c r="T68" s="612">
        <v>0</v>
      </c>
      <c r="U68" s="612">
        <v>0</v>
      </c>
      <c r="V68" s="612">
        <v>0</v>
      </c>
      <c r="W68" s="551">
        <f t="shared" ref="W68:W72" si="56">U68*V68</f>
        <v>0</v>
      </c>
      <c r="Y68" s="288"/>
      <c r="Z68" s="288"/>
    </row>
    <row r="69" spans="3:26" s="63" customFormat="1" ht="12" outlineLevel="1" x14ac:dyDescent="0.2">
      <c r="C69" s="64"/>
      <c r="D69" s="594" t="s">
        <v>259</v>
      </c>
      <c r="E69" s="595"/>
      <c r="F69" s="596">
        <v>0</v>
      </c>
      <c r="G69" s="612">
        <v>0</v>
      </c>
      <c r="H69" s="616">
        <f t="shared" ref="H69:H72" si="57">IF(J69="NO", F69*G69,SUM(J69:V69))</f>
        <v>0</v>
      </c>
      <c r="J69" s="628" t="s">
        <v>538</v>
      </c>
      <c r="K69" s="612">
        <v>0</v>
      </c>
      <c r="L69" s="612">
        <v>0</v>
      </c>
      <c r="M69" s="612">
        <v>0</v>
      </c>
      <c r="N69" s="612">
        <v>0</v>
      </c>
      <c r="O69" s="612">
        <v>0</v>
      </c>
      <c r="P69" s="612">
        <v>0</v>
      </c>
      <c r="Q69" s="612">
        <v>0</v>
      </c>
      <c r="R69" s="612">
        <v>0</v>
      </c>
      <c r="S69" s="612">
        <v>0</v>
      </c>
      <c r="T69" s="612">
        <v>0</v>
      </c>
      <c r="U69" s="612">
        <v>0</v>
      </c>
      <c r="V69" s="612">
        <v>0</v>
      </c>
      <c r="W69" s="551">
        <f t="shared" si="56"/>
        <v>0</v>
      </c>
      <c r="Y69" s="288"/>
      <c r="Z69" s="288"/>
    </row>
    <row r="70" spans="3:26" s="63" customFormat="1" ht="12" outlineLevel="1" x14ac:dyDescent="0.2">
      <c r="C70" s="64"/>
      <c r="D70" s="594" t="s">
        <v>259</v>
      </c>
      <c r="E70" s="595"/>
      <c r="F70" s="596">
        <v>0</v>
      </c>
      <c r="G70" s="612">
        <v>0</v>
      </c>
      <c r="H70" s="616">
        <f t="shared" si="57"/>
        <v>0</v>
      </c>
      <c r="J70" s="628" t="s">
        <v>538</v>
      </c>
      <c r="K70" s="612">
        <v>0</v>
      </c>
      <c r="L70" s="612">
        <v>0</v>
      </c>
      <c r="M70" s="612">
        <v>0</v>
      </c>
      <c r="N70" s="612">
        <v>0</v>
      </c>
      <c r="O70" s="612">
        <v>0</v>
      </c>
      <c r="P70" s="612">
        <v>0</v>
      </c>
      <c r="Q70" s="612">
        <v>0</v>
      </c>
      <c r="R70" s="612">
        <v>0</v>
      </c>
      <c r="S70" s="612">
        <v>0</v>
      </c>
      <c r="T70" s="612">
        <v>0</v>
      </c>
      <c r="U70" s="612">
        <v>0</v>
      </c>
      <c r="V70" s="612">
        <v>0</v>
      </c>
      <c r="W70" s="551">
        <f t="shared" si="56"/>
        <v>0</v>
      </c>
      <c r="Y70" s="288"/>
      <c r="Z70" s="288"/>
    </row>
    <row r="71" spans="3:26" s="63" customFormat="1" ht="12" outlineLevel="1" x14ac:dyDescent="0.2">
      <c r="C71" s="64"/>
      <c r="D71" s="594" t="s">
        <v>259</v>
      </c>
      <c r="E71" s="595"/>
      <c r="F71" s="596">
        <v>0</v>
      </c>
      <c r="G71" s="612">
        <v>0</v>
      </c>
      <c r="H71" s="616">
        <f t="shared" si="57"/>
        <v>0</v>
      </c>
      <c r="J71" s="628" t="s">
        <v>538</v>
      </c>
      <c r="K71" s="612">
        <v>0</v>
      </c>
      <c r="L71" s="612">
        <v>0</v>
      </c>
      <c r="M71" s="612">
        <v>0</v>
      </c>
      <c r="N71" s="612">
        <v>0</v>
      </c>
      <c r="O71" s="612">
        <v>0</v>
      </c>
      <c r="P71" s="612">
        <v>0</v>
      </c>
      <c r="Q71" s="612">
        <v>0</v>
      </c>
      <c r="R71" s="612">
        <v>0</v>
      </c>
      <c r="S71" s="612">
        <v>0</v>
      </c>
      <c r="T71" s="612">
        <v>0</v>
      </c>
      <c r="U71" s="612">
        <v>0</v>
      </c>
      <c r="V71" s="612">
        <v>0</v>
      </c>
      <c r="W71" s="551">
        <f t="shared" si="56"/>
        <v>0</v>
      </c>
      <c r="Y71" s="288"/>
      <c r="Z71" s="288"/>
    </row>
    <row r="72" spans="3:26" s="63" customFormat="1" ht="12" outlineLevel="1" x14ac:dyDescent="0.2">
      <c r="C72" s="64"/>
      <c r="D72" s="594" t="s">
        <v>259</v>
      </c>
      <c r="E72" s="595"/>
      <c r="F72" s="596">
        <v>0</v>
      </c>
      <c r="G72" s="612">
        <v>0</v>
      </c>
      <c r="H72" s="616">
        <f t="shared" si="57"/>
        <v>0</v>
      </c>
      <c r="J72" s="628" t="s">
        <v>538</v>
      </c>
      <c r="K72" s="612">
        <v>0</v>
      </c>
      <c r="L72" s="612">
        <v>0</v>
      </c>
      <c r="M72" s="612">
        <v>0</v>
      </c>
      <c r="N72" s="612">
        <v>0</v>
      </c>
      <c r="O72" s="612">
        <v>0</v>
      </c>
      <c r="P72" s="612">
        <v>0</v>
      </c>
      <c r="Q72" s="612">
        <v>0</v>
      </c>
      <c r="R72" s="612">
        <v>0</v>
      </c>
      <c r="S72" s="612">
        <v>0</v>
      </c>
      <c r="T72" s="612">
        <v>0</v>
      </c>
      <c r="U72" s="612">
        <v>0</v>
      </c>
      <c r="V72" s="612">
        <v>0</v>
      </c>
      <c r="W72" s="551">
        <f t="shared" si="56"/>
        <v>0</v>
      </c>
      <c r="Y72" s="288"/>
      <c r="Z72" s="288"/>
    </row>
    <row r="73" spans="3:26" s="63" customFormat="1" ht="3.6" customHeight="1" outlineLevel="1" thickBot="1" x14ac:dyDescent="0.25">
      <c r="C73" s="64"/>
      <c r="D73" s="295"/>
      <c r="E73" s="301"/>
      <c r="F73" s="282"/>
      <c r="G73" s="559"/>
      <c r="H73" s="552"/>
      <c r="J73" s="624"/>
      <c r="K73" s="617"/>
      <c r="L73" s="617"/>
      <c r="M73" s="617"/>
      <c r="N73" s="617"/>
      <c r="O73" s="617"/>
      <c r="P73" s="617"/>
      <c r="Q73" s="617"/>
      <c r="R73" s="617"/>
      <c r="S73" s="617"/>
      <c r="T73" s="617"/>
      <c r="U73" s="617"/>
      <c r="V73" s="617"/>
      <c r="W73" s="552"/>
      <c r="Y73" s="288"/>
      <c r="Z73" s="288"/>
    </row>
    <row r="74" spans="3:26" s="63" customFormat="1" ht="12.75" thickBot="1" x14ac:dyDescent="0.25">
      <c r="C74" s="64"/>
      <c r="D74" s="293"/>
      <c r="E74" s="300"/>
      <c r="F74" s="283" t="str">
        <f>E67</f>
        <v>Data Processing and Coding Services</v>
      </c>
      <c r="G74" s="560">
        <f>C67</f>
        <v>6351</v>
      </c>
      <c r="H74" s="553">
        <f>SUBTOTAL(9,H68:H73)</f>
        <v>0</v>
      </c>
      <c r="J74" s="626"/>
      <c r="K74" s="620">
        <f t="shared" ref="K74:U74" si="58">SUBTOTAL(9,K68:K73)</f>
        <v>0</v>
      </c>
      <c r="L74" s="620">
        <f t="shared" si="58"/>
        <v>0</v>
      </c>
      <c r="M74" s="620">
        <f t="shared" si="58"/>
        <v>0</v>
      </c>
      <c r="N74" s="620">
        <f t="shared" si="58"/>
        <v>0</v>
      </c>
      <c r="O74" s="620">
        <f t="shared" si="58"/>
        <v>0</v>
      </c>
      <c r="P74" s="620">
        <f t="shared" si="58"/>
        <v>0</v>
      </c>
      <c r="Q74" s="620">
        <f t="shared" si="58"/>
        <v>0</v>
      </c>
      <c r="R74" s="620">
        <f t="shared" si="58"/>
        <v>0</v>
      </c>
      <c r="S74" s="620">
        <f t="shared" si="58"/>
        <v>0</v>
      </c>
      <c r="T74" s="620">
        <f t="shared" si="58"/>
        <v>0</v>
      </c>
      <c r="U74" s="620">
        <f t="shared" si="58"/>
        <v>0</v>
      </c>
      <c r="V74" s="620">
        <f>SUBTOTAL(9,V68:V73)</f>
        <v>0</v>
      </c>
      <c r="W74" s="553">
        <f>SUBTOTAL(9,W68:W73)</f>
        <v>0</v>
      </c>
      <c r="X74" s="63" t="str">
        <f>IF(H74=W74,"OK","Error")</f>
        <v>OK</v>
      </c>
      <c r="Y74" s="288">
        <v>0</v>
      </c>
      <c r="Z74" s="288">
        <f>H74-Y74</f>
        <v>0</v>
      </c>
    </row>
    <row r="75" spans="3:26" s="63" customFormat="1" ht="12" x14ac:dyDescent="0.2">
      <c r="C75" s="64"/>
      <c r="D75" s="293"/>
      <c r="E75" s="300"/>
      <c r="F75" s="280"/>
      <c r="G75" s="557"/>
      <c r="H75" s="549"/>
      <c r="J75" s="619"/>
      <c r="K75" s="671"/>
      <c r="L75" s="671"/>
      <c r="M75" s="671"/>
      <c r="N75" s="671"/>
      <c r="O75" s="671"/>
      <c r="P75" s="671"/>
      <c r="Q75" s="671"/>
      <c r="R75" s="671"/>
      <c r="S75" s="671"/>
      <c r="T75" s="671"/>
      <c r="U75" s="671"/>
      <c r="V75" s="671"/>
      <c r="W75" s="549"/>
      <c r="Y75" s="288"/>
      <c r="Z75" s="288"/>
    </row>
    <row r="76" spans="3:26" s="63" customFormat="1" ht="12" x14ac:dyDescent="0.2">
      <c r="C76" s="66" t="s">
        <v>100</v>
      </c>
      <c r="D76" s="293"/>
      <c r="E76" s="300"/>
      <c r="F76" s="280"/>
      <c r="G76" s="557"/>
      <c r="H76" s="549"/>
      <c r="J76" s="619"/>
      <c r="K76" s="671"/>
      <c r="L76" s="671"/>
      <c r="M76" s="671"/>
      <c r="N76" s="671"/>
      <c r="O76" s="671"/>
      <c r="P76" s="671"/>
      <c r="Q76" s="671"/>
      <c r="R76" s="671"/>
      <c r="S76" s="671"/>
      <c r="T76" s="671"/>
      <c r="U76" s="671"/>
      <c r="V76" s="671"/>
      <c r="W76" s="549"/>
      <c r="Y76" s="288"/>
      <c r="Z76" s="288"/>
    </row>
    <row r="77" spans="3:26" s="63" customFormat="1" ht="12" outlineLevel="1" x14ac:dyDescent="0.2">
      <c r="C77" s="207">
        <v>6410</v>
      </c>
      <c r="D77" s="293"/>
      <c r="E77" s="300" t="s">
        <v>19</v>
      </c>
      <c r="F77" s="280"/>
      <c r="G77" s="557"/>
      <c r="H77" s="549"/>
      <c r="J77" s="619"/>
      <c r="K77" s="671"/>
      <c r="L77" s="671"/>
      <c r="M77" s="671"/>
      <c r="N77" s="671"/>
      <c r="O77" s="671"/>
      <c r="P77" s="671"/>
      <c r="Q77" s="671"/>
      <c r="R77" s="671"/>
      <c r="S77" s="671"/>
      <c r="T77" s="671"/>
      <c r="U77" s="671"/>
      <c r="V77" s="671"/>
      <c r="W77" s="549"/>
      <c r="Y77" s="288"/>
      <c r="Z77" s="288"/>
    </row>
    <row r="78" spans="3:26" s="63" customFormat="1" ht="12" outlineLevel="1" x14ac:dyDescent="0.2">
      <c r="C78" s="64"/>
      <c r="D78" s="565" t="s">
        <v>274</v>
      </c>
      <c r="E78" s="566" t="s">
        <v>549</v>
      </c>
      <c r="F78" s="574">
        <v>12</v>
      </c>
      <c r="G78" s="611">
        <v>50</v>
      </c>
      <c r="H78" s="616">
        <f t="shared" ref="H78:H80" si="59">IF(J78="NO", F78*G78,SUM(J78:V78))</f>
        <v>600</v>
      </c>
      <c r="J78" s="622" t="s">
        <v>539</v>
      </c>
      <c r="K78" s="609">
        <f t="shared" ref="K78:V80" si="60">$F78*$G78/12</f>
        <v>50</v>
      </c>
      <c r="L78" s="609">
        <f t="shared" si="60"/>
        <v>50</v>
      </c>
      <c r="M78" s="609">
        <f t="shared" si="60"/>
        <v>50</v>
      </c>
      <c r="N78" s="609">
        <f t="shared" si="60"/>
        <v>50</v>
      </c>
      <c r="O78" s="609">
        <f t="shared" si="60"/>
        <v>50</v>
      </c>
      <c r="P78" s="609">
        <f t="shared" si="60"/>
        <v>50</v>
      </c>
      <c r="Q78" s="609">
        <f t="shared" si="60"/>
        <v>50</v>
      </c>
      <c r="R78" s="609">
        <f t="shared" si="60"/>
        <v>50</v>
      </c>
      <c r="S78" s="609">
        <f t="shared" si="60"/>
        <v>50</v>
      </c>
      <c r="T78" s="609">
        <f t="shared" si="60"/>
        <v>50</v>
      </c>
      <c r="U78" s="609">
        <f t="shared" si="60"/>
        <v>50</v>
      </c>
      <c r="V78" s="609">
        <f t="shared" si="60"/>
        <v>50</v>
      </c>
      <c r="W78" s="616">
        <f t="shared" ref="W78" si="61">SUM(K78:V78)</f>
        <v>600</v>
      </c>
      <c r="Y78" s="288"/>
      <c r="Z78" s="288"/>
    </row>
    <row r="79" spans="3:26" s="63" customFormat="1" ht="12" outlineLevel="1" x14ac:dyDescent="0.2">
      <c r="C79" s="64"/>
      <c r="D79" s="562" t="s">
        <v>259</v>
      </c>
      <c r="E79" s="563"/>
      <c r="F79" s="564">
        <v>0</v>
      </c>
      <c r="G79" s="610">
        <v>0</v>
      </c>
      <c r="H79" s="616">
        <f t="shared" si="59"/>
        <v>0</v>
      </c>
      <c r="J79" s="623" t="s">
        <v>538</v>
      </c>
      <c r="K79" s="610">
        <f t="shared" si="60"/>
        <v>0</v>
      </c>
      <c r="L79" s="610">
        <f t="shared" si="60"/>
        <v>0</v>
      </c>
      <c r="M79" s="610">
        <f t="shared" si="60"/>
        <v>0</v>
      </c>
      <c r="N79" s="610">
        <f t="shared" si="60"/>
        <v>0</v>
      </c>
      <c r="O79" s="610">
        <f t="shared" si="60"/>
        <v>0</v>
      </c>
      <c r="P79" s="610">
        <f t="shared" si="60"/>
        <v>0</v>
      </c>
      <c r="Q79" s="610">
        <f t="shared" si="60"/>
        <v>0</v>
      </c>
      <c r="R79" s="610">
        <f t="shared" si="60"/>
        <v>0</v>
      </c>
      <c r="S79" s="610">
        <f t="shared" si="60"/>
        <v>0</v>
      </c>
      <c r="T79" s="610">
        <f t="shared" si="60"/>
        <v>0</v>
      </c>
      <c r="U79" s="610">
        <f t="shared" si="60"/>
        <v>0</v>
      </c>
      <c r="V79" s="610">
        <f t="shared" si="60"/>
        <v>0</v>
      </c>
      <c r="W79" s="616">
        <f>SUM(K79:V79)</f>
        <v>0</v>
      </c>
      <c r="Y79" s="288"/>
      <c r="Z79" s="288"/>
    </row>
    <row r="80" spans="3:26" s="63" customFormat="1" ht="12" outlineLevel="1" x14ac:dyDescent="0.2">
      <c r="C80" s="64"/>
      <c r="D80" s="562" t="s">
        <v>259</v>
      </c>
      <c r="E80" s="563"/>
      <c r="F80" s="564">
        <v>0</v>
      </c>
      <c r="G80" s="610">
        <v>0</v>
      </c>
      <c r="H80" s="616">
        <f t="shared" si="59"/>
        <v>0</v>
      </c>
      <c r="J80" s="623" t="s">
        <v>538</v>
      </c>
      <c r="K80" s="610">
        <f t="shared" si="60"/>
        <v>0</v>
      </c>
      <c r="L80" s="610">
        <f t="shared" si="60"/>
        <v>0</v>
      </c>
      <c r="M80" s="610">
        <f t="shared" si="60"/>
        <v>0</v>
      </c>
      <c r="N80" s="610">
        <f t="shared" si="60"/>
        <v>0</v>
      </c>
      <c r="O80" s="610">
        <f t="shared" si="60"/>
        <v>0</v>
      </c>
      <c r="P80" s="610">
        <f t="shared" si="60"/>
        <v>0</v>
      </c>
      <c r="Q80" s="610">
        <f t="shared" si="60"/>
        <v>0</v>
      </c>
      <c r="R80" s="610">
        <f t="shared" si="60"/>
        <v>0</v>
      </c>
      <c r="S80" s="610">
        <f t="shared" si="60"/>
        <v>0</v>
      </c>
      <c r="T80" s="610">
        <f t="shared" si="60"/>
        <v>0</v>
      </c>
      <c r="U80" s="610">
        <f t="shared" si="60"/>
        <v>0</v>
      </c>
      <c r="V80" s="610">
        <f t="shared" si="60"/>
        <v>0</v>
      </c>
      <c r="W80" s="616">
        <f t="shared" ref="W80" si="62">SUM(K80:V80)</f>
        <v>0</v>
      </c>
      <c r="Y80" s="288"/>
      <c r="Z80" s="288"/>
    </row>
    <row r="81" spans="3:26" s="63" customFormat="1" ht="3.6" customHeight="1" outlineLevel="1" thickBot="1" x14ac:dyDescent="0.25">
      <c r="C81" s="64"/>
      <c r="D81" s="295"/>
      <c r="E81" s="301"/>
      <c r="F81" s="282"/>
      <c r="G81" s="559"/>
      <c r="H81" s="552"/>
      <c r="J81" s="624"/>
      <c r="K81" s="617"/>
      <c r="L81" s="617"/>
      <c r="M81" s="617"/>
      <c r="N81" s="617"/>
      <c r="O81" s="617"/>
      <c r="P81" s="617"/>
      <c r="Q81" s="617"/>
      <c r="R81" s="617"/>
      <c r="S81" s="617"/>
      <c r="T81" s="617"/>
      <c r="U81" s="617"/>
      <c r="V81" s="617"/>
      <c r="W81" s="552"/>
      <c r="Y81" s="288"/>
      <c r="Z81" s="288"/>
    </row>
    <row r="82" spans="3:26" s="63" customFormat="1" ht="12.75" thickBot="1" x14ac:dyDescent="0.25">
      <c r="C82" s="64"/>
      <c r="D82" s="293"/>
      <c r="E82" s="300"/>
      <c r="F82" s="283" t="str">
        <f>E77</f>
        <v>Utility Services</v>
      </c>
      <c r="G82" s="560">
        <f>C77</f>
        <v>6410</v>
      </c>
      <c r="H82" s="553">
        <f>SUBTOTAL(9,H78:H81)</f>
        <v>600</v>
      </c>
      <c r="J82" s="626"/>
      <c r="K82" s="620">
        <f>SUBTOTAL(9,K78:K81)</f>
        <v>50</v>
      </c>
      <c r="L82" s="620">
        <f t="shared" ref="L82" si="63">SUBTOTAL(9,L78:L81)</f>
        <v>50</v>
      </c>
      <c r="M82" s="620">
        <f t="shared" ref="M82" si="64">SUBTOTAL(9,M78:M81)</f>
        <v>50</v>
      </c>
      <c r="N82" s="620">
        <f t="shared" ref="N82" si="65">SUBTOTAL(9,N78:N81)</f>
        <v>50</v>
      </c>
      <c r="O82" s="620">
        <f t="shared" ref="O82" si="66">SUBTOTAL(9,O78:O81)</f>
        <v>50</v>
      </c>
      <c r="P82" s="620">
        <f t="shared" ref="P82" si="67">SUBTOTAL(9,P78:P81)</f>
        <v>50</v>
      </c>
      <c r="Q82" s="620">
        <f t="shared" ref="Q82" si="68">SUBTOTAL(9,Q78:Q81)</f>
        <v>50</v>
      </c>
      <c r="R82" s="620">
        <f t="shared" ref="R82" si="69">SUBTOTAL(9,R78:R81)</f>
        <v>50</v>
      </c>
      <c r="S82" s="620">
        <f t="shared" ref="S82" si="70">SUBTOTAL(9,S78:S81)</f>
        <v>50</v>
      </c>
      <c r="T82" s="620">
        <f t="shared" ref="T82" si="71">SUBTOTAL(9,T78:T81)</f>
        <v>50</v>
      </c>
      <c r="U82" s="620">
        <f t="shared" ref="U82" si="72">SUBTOTAL(9,U78:U81)</f>
        <v>50</v>
      </c>
      <c r="V82" s="620">
        <f>SUBTOTAL(9,V78:V81)</f>
        <v>50</v>
      </c>
      <c r="W82" s="553">
        <f>SUBTOTAL(9,W78:W81)</f>
        <v>600</v>
      </c>
      <c r="X82" s="63" t="str">
        <f>IF(H82=W82,"OK","Error")</f>
        <v>OK</v>
      </c>
      <c r="Y82" s="288">
        <v>0</v>
      </c>
      <c r="Z82" s="288">
        <f>H82-Y82</f>
        <v>600</v>
      </c>
    </row>
    <row r="83" spans="3:26" s="63" customFormat="1" ht="12" outlineLevel="1" x14ac:dyDescent="0.2">
      <c r="C83" s="64"/>
      <c r="D83" s="293"/>
      <c r="E83" s="300"/>
      <c r="F83" s="280"/>
      <c r="G83" s="557"/>
      <c r="H83" s="549"/>
      <c r="J83" s="619"/>
      <c r="K83" s="671"/>
      <c r="L83" s="671"/>
      <c r="M83" s="671"/>
      <c r="N83" s="671"/>
      <c r="O83" s="671"/>
      <c r="P83" s="671"/>
      <c r="Q83" s="671"/>
      <c r="R83" s="671"/>
      <c r="S83" s="671"/>
      <c r="T83" s="671"/>
      <c r="U83" s="671"/>
      <c r="V83" s="671"/>
      <c r="W83" s="549"/>
      <c r="Y83" s="288"/>
      <c r="Z83" s="288"/>
    </row>
    <row r="84" spans="3:26" s="63" customFormat="1" ht="12" outlineLevel="1" x14ac:dyDescent="0.2">
      <c r="C84" s="207">
        <v>6420</v>
      </c>
      <c r="D84" s="293"/>
      <c r="E84" s="300" t="s">
        <v>20</v>
      </c>
      <c r="F84" s="280"/>
      <c r="G84" s="557"/>
      <c r="H84" s="549"/>
      <c r="J84" s="619"/>
      <c r="K84" s="671"/>
      <c r="L84" s="671"/>
      <c r="M84" s="671"/>
      <c r="N84" s="671"/>
      <c r="O84" s="671"/>
      <c r="P84" s="671"/>
      <c r="Q84" s="671"/>
      <c r="R84" s="671"/>
      <c r="S84" s="671"/>
      <c r="T84" s="671"/>
      <c r="U84" s="671"/>
      <c r="V84" s="671"/>
      <c r="W84" s="549"/>
      <c r="Y84" s="288"/>
      <c r="Z84" s="288"/>
    </row>
    <row r="85" spans="3:26" s="63" customFormat="1" ht="12" outlineLevel="1" x14ac:dyDescent="0.2">
      <c r="C85" s="64"/>
      <c r="D85" s="565" t="s">
        <v>275</v>
      </c>
      <c r="E85" s="566" t="s">
        <v>550</v>
      </c>
      <c r="F85" s="574">
        <v>12</v>
      </c>
      <c r="G85" s="611">
        <v>100</v>
      </c>
      <c r="H85" s="616">
        <f t="shared" ref="H85:H88" si="73">IF(J85="NO", F85*G85,SUM(J85:V85))</f>
        <v>1200</v>
      </c>
      <c r="J85" s="622" t="s">
        <v>539</v>
      </c>
      <c r="K85" s="609">
        <f t="shared" ref="K85:V85" si="74">$F85*$G85/12</f>
        <v>100</v>
      </c>
      <c r="L85" s="609">
        <f t="shared" si="74"/>
        <v>100</v>
      </c>
      <c r="M85" s="609">
        <f t="shared" si="74"/>
        <v>100</v>
      </c>
      <c r="N85" s="609">
        <f t="shared" si="74"/>
        <v>100</v>
      </c>
      <c r="O85" s="609">
        <f t="shared" si="74"/>
        <v>100</v>
      </c>
      <c r="P85" s="609">
        <f t="shared" si="74"/>
        <v>100</v>
      </c>
      <c r="Q85" s="609">
        <f t="shared" si="74"/>
        <v>100</v>
      </c>
      <c r="R85" s="609">
        <f t="shared" si="74"/>
        <v>100</v>
      </c>
      <c r="S85" s="609">
        <f t="shared" si="74"/>
        <v>100</v>
      </c>
      <c r="T85" s="609">
        <f t="shared" si="74"/>
        <v>100</v>
      </c>
      <c r="U85" s="609">
        <f t="shared" si="74"/>
        <v>100</v>
      </c>
      <c r="V85" s="609">
        <f t="shared" si="74"/>
        <v>100</v>
      </c>
      <c r="W85" s="616">
        <f t="shared" ref="W85:W86" si="75">SUM(K85:V85)</f>
        <v>1200</v>
      </c>
      <c r="Y85" s="288"/>
      <c r="Z85" s="288"/>
    </row>
    <row r="86" spans="3:26" s="63" customFormat="1" ht="12" outlineLevel="1" x14ac:dyDescent="0.2">
      <c r="C86" s="64"/>
      <c r="D86" s="565" t="s">
        <v>275</v>
      </c>
      <c r="E86" s="566" t="s">
        <v>551</v>
      </c>
      <c r="F86" s="574">
        <v>4</v>
      </c>
      <c r="G86" s="611">
        <v>100</v>
      </c>
      <c r="H86" s="616">
        <f t="shared" si="73"/>
        <v>400</v>
      </c>
      <c r="J86" s="622" t="s">
        <v>539</v>
      </c>
      <c r="K86" s="609">
        <v>0</v>
      </c>
      <c r="L86" s="609">
        <v>0</v>
      </c>
      <c r="M86" s="609">
        <v>100</v>
      </c>
      <c r="N86" s="609">
        <v>0</v>
      </c>
      <c r="O86" s="609">
        <v>0</v>
      </c>
      <c r="P86" s="609">
        <v>100</v>
      </c>
      <c r="Q86" s="609">
        <v>0</v>
      </c>
      <c r="R86" s="609">
        <v>0</v>
      </c>
      <c r="S86" s="609">
        <v>100</v>
      </c>
      <c r="T86" s="609">
        <v>0</v>
      </c>
      <c r="U86" s="609">
        <v>0</v>
      </c>
      <c r="V86" s="609">
        <v>100</v>
      </c>
      <c r="W86" s="616">
        <f t="shared" si="75"/>
        <v>400</v>
      </c>
      <c r="Y86" s="288"/>
      <c r="Z86" s="288"/>
    </row>
    <row r="87" spans="3:26" s="63" customFormat="1" ht="12" outlineLevel="1" x14ac:dyDescent="0.2">
      <c r="C87" s="64"/>
      <c r="D87" s="562" t="s">
        <v>259</v>
      </c>
      <c r="E87" s="563" t="s">
        <v>514</v>
      </c>
      <c r="F87" s="564">
        <v>0</v>
      </c>
      <c r="G87" s="610"/>
      <c r="H87" s="616">
        <f t="shared" si="73"/>
        <v>0</v>
      </c>
      <c r="J87" s="623" t="s">
        <v>538</v>
      </c>
      <c r="K87" s="610">
        <f t="shared" ref="K87:V88" si="76">$F87*$G87/12</f>
        <v>0</v>
      </c>
      <c r="L87" s="610">
        <f t="shared" si="76"/>
        <v>0</v>
      </c>
      <c r="M87" s="610">
        <f t="shared" si="76"/>
        <v>0</v>
      </c>
      <c r="N87" s="610">
        <f t="shared" si="76"/>
        <v>0</v>
      </c>
      <c r="O87" s="610">
        <f t="shared" si="76"/>
        <v>0</v>
      </c>
      <c r="P87" s="610">
        <f t="shared" si="76"/>
        <v>0</v>
      </c>
      <c r="Q87" s="610">
        <f t="shared" si="76"/>
        <v>0</v>
      </c>
      <c r="R87" s="610">
        <f t="shared" si="76"/>
        <v>0</v>
      </c>
      <c r="S87" s="610">
        <f t="shared" si="76"/>
        <v>0</v>
      </c>
      <c r="T87" s="610">
        <f t="shared" si="76"/>
        <v>0</v>
      </c>
      <c r="U87" s="610">
        <f t="shared" si="76"/>
        <v>0</v>
      </c>
      <c r="V87" s="610">
        <f t="shared" si="76"/>
        <v>0</v>
      </c>
      <c r="W87" s="616">
        <f>SUM(K87:V87)</f>
        <v>0</v>
      </c>
      <c r="Y87" s="288"/>
      <c r="Z87" s="288"/>
    </row>
    <row r="88" spans="3:26" s="63" customFormat="1" ht="12" outlineLevel="1" x14ac:dyDescent="0.2">
      <c r="C88" s="64"/>
      <c r="D88" s="562" t="s">
        <v>259</v>
      </c>
      <c r="E88" s="563"/>
      <c r="F88" s="564">
        <v>0</v>
      </c>
      <c r="G88" s="610"/>
      <c r="H88" s="616">
        <f t="shared" si="73"/>
        <v>0</v>
      </c>
      <c r="J88" s="623" t="s">
        <v>538</v>
      </c>
      <c r="K88" s="610">
        <f t="shared" si="76"/>
        <v>0</v>
      </c>
      <c r="L88" s="610">
        <f t="shared" si="76"/>
        <v>0</v>
      </c>
      <c r="M88" s="610">
        <f t="shared" si="76"/>
        <v>0</v>
      </c>
      <c r="N88" s="610">
        <f t="shared" si="76"/>
        <v>0</v>
      </c>
      <c r="O88" s="610">
        <f t="shared" si="76"/>
        <v>0</v>
      </c>
      <c r="P88" s="610">
        <f t="shared" si="76"/>
        <v>0</v>
      </c>
      <c r="Q88" s="610">
        <f t="shared" si="76"/>
        <v>0</v>
      </c>
      <c r="R88" s="610">
        <f t="shared" si="76"/>
        <v>0</v>
      </c>
      <c r="S88" s="610">
        <f t="shared" si="76"/>
        <v>0</v>
      </c>
      <c r="T88" s="610">
        <f t="shared" si="76"/>
        <v>0</v>
      </c>
      <c r="U88" s="610">
        <f t="shared" si="76"/>
        <v>0</v>
      </c>
      <c r="V88" s="610">
        <f t="shared" si="76"/>
        <v>0</v>
      </c>
      <c r="W88" s="616">
        <f t="shared" ref="W88" si="77">SUM(K88:V88)</f>
        <v>0</v>
      </c>
      <c r="Y88" s="288"/>
      <c r="Z88" s="288"/>
    </row>
    <row r="89" spans="3:26" s="63" customFormat="1" ht="3.6" customHeight="1" outlineLevel="1" thickBot="1" x14ac:dyDescent="0.25">
      <c r="C89" s="64"/>
      <c r="D89" s="295"/>
      <c r="E89" s="301"/>
      <c r="F89" s="282"/>
      <c r="G89" s="559"/>
      <c r="H89" s="552"/>
      <c r="J89" s="624"/>
      <c r="K89" s="617"/>
      <c r="L89" s="617"/>
      <c r="M89" s="617"/>
      <c r="N89" s="617"/>
      <c r="O89" s="617"/>
      <c r="P89" s="617"/>
      <c r="Q89" s="617"/>
      <c r="R89" s="617"/>
      <c r="S89" s="617"/>
      <c r="T89" s="617"/>
      <c r="U89" s="617"/>
      <c r="V89" s="617"/>
      <c r="W89" s="552"/>
      <c r="Y89" s="288"/>
      <c r="Z89" s="288"/>
    </row>
    <row r="90" spans="3:26" s="63" customFormat="1" ht="12.75" thickBot="1" x14ac:dyDescent="0.25">
      <c r="C90" s="64"/>
      <c r="D90" s="293"/>
      <c r="E90" s="300"/>
      <c r="F90" s="283" t="str">
        <f>E84</f>
        <v>Cleaning Services</v>
      </c>
      <c r="G90" s="560">
        <f>C84</f>
        <v>6420</v>
      </c>
      <c r="H90" s="553">
        <f>SUBTOTAL(9,H85:H89)</f>
        <v>1600</v>
      </c>
      <c r="J90" s="626"/>
      <c r="K90" s="620">
        <f t="shared" ref="K90:U90" si="78">SUBTOTAL(9,K85:K89)</f>
        <v>100</v>
      </c>
      <c r="L90" s="620">
        <f t="shared" si="78"/>
        <v>100</v>
      </c>
      <c r="M90" s="620">
        <f t="shared" si="78"/>
        <v>200</v>
      </c>
      <c r="N90" s="620">
        <f t="shared" si="78"/>
        <v>100</v>
      </c>
      <c r="O90" s="620">
        <f t="shared" si="78"/>
        <v>100</v>
      </c>
      <c r="P90" s="620">
        <f t="shared" si="78"/>
        <v>200</v>
      </c>
      <c r="Q90" s="620">
        <f t="shared" si="78"/>
        <v>100</v>
      </c>
      <c r="R90" s="620">
        <f t="shared" si="78"/>
        <v>100</v>
      </c>
      <c r="S90" s="620">
        <f t="shared" si="78"/>
        <v>200</v>
      </c>
      <c r="T90" s="620">
        <f t="shared" si="78"/>
        <v>100</v>
      </c>
      <c r="U90" s="620">
        <f t="shared" si="78"/>
        <v>100</v>
      </c>
      <c r="V90" s="620">
        <f>SUBTOTAL(9,V85:V89)</f>
        <v>200</v>
      </c>
      <c r="W90" s="553">
        <f>SUBTOTAL(9,W85:W89)</f>
        <v>1600</v>
      </c>
      <c r="X90" s="63" t="str">
        <f>IF(H90=W90,"OK","Error")</f>
        <v>OK</v>
      </c>
      <c r="Y90" s="288">
        <v>0</v>
      </c>
      <c r="Z90" s="288">
        <f>H90-Y90</f>
        <v>1600</v>
      </c>
    </row>
    <row r="91" spans="3:26" s="63" customFormat="1" ht="12" outlineLevel="1" x14ac:dyDescent="0.2">
      <c r="C91" s="64"/>
      <c r="D91" s="293"/>
      <c r="E91" s="300"/>
      <c r="F91" s="280"/>
      <c r="G91" s="557"/>
      <c r="H91" s="549"/>
      <c r="J91" s="619"/>
      <c r="K91" s="671"/>
      <c r="L91" s="671"/>
      <c r="M91" s="671"/>
      <c r="N91" s="671"/>
      <c r="O91" s="671"/>
      <c r="P91" s="671"/>
      <c r="Q91" s="671"/>
      <c r="R91" s="671"/>
      <c r="S91" s="671"/>
      <c r="T91" s="671"/>
      <c r="U91" s="671"/>
      <c r="V91" s="671"/>
      <c r="W91" s="549"/>
      <c r="Y91" s="288"/>
      <c r="Z91" s="288"/>
    </row>
    <row r="92" spans="3:26" s="63" customFormat="1" ht="12" outlineLevel="1" x14ac:dyDescent="0.2">
      <c r="C92" s="207">
        <v>6430</v>
      </c>
      <c r="D92" s="293"/>
      <c r="E92" s="300" t="s">
        <v>21</v>
      </c>
      <c r="F92" s="280"/>
      <c r="G92" s="557"/>
      <c r="H92" s="549"/>
      <c r="J92" s="619"/>
      <c r="K92" s="671"/>
      <c r="L92" s="671"/>
      <c r="M92" s="671"/>
      <c r="N92" s="671"/>
      <c r="O92" s="671"/>
      <c r="P92" s="671"/>
      <c r="Q92" s="671"/>
      <c r="R92" s="671"/>
      <c r="S92" s="671"/>
      <c r="T92" s="671"/>
      <c r="U92" s="671"/>
      <c r="V92" s="671"/>
      <c r="W92" s="549"/>
      <c r="Y92" s="288"/>
      <c r="Z92" s="288"/>
    </row>
    <row r="93" spans="3:26" s="63" customFormat="1" ht="12" outlineLevel="1" x14ac:dyDescent="0.2">
      <c r="C93" s="64"/>
      <c r="D93" s="565" t="s">
        <v>275</v>
      </c>
      <c r="E93" s="566" t="s">
        <v>515</v>
      </c>
      <c r="F93" s="574">
        <v>1</v>
      </c>
      <c r="G93" s="611">
        <v>125</v>
      </c>
      <c r="H93" s="616">
        <f t="shared" ref="H93:H95" si="79">IF(J93="NO", F93*G93,SUM(J93:V93))</f>
        <v>125</v>
      </c>
      <c r="J93" s="627" t="s">
        <v>538</v>
      </c>
      <c r="K93" s="611">
        <v>0</v>
      </c>
      <c r="L93" s="611">
        <v>0</v>
      </c>
      <c r="M93" s="611">
        <v>0</v>
      </c>
      <c r="N93" s="611">
        <v>0</v>
      </c>
      <c r="O93" s="611">
        <v>0</v>
      </c>
      <c r="P93" s="611">
        <v>0</v>
      </c>
      <c r="Q93" s="611">
        <v>0</v>
      </c>
      <c r="R93" s="611">
        <v>0</v>
      </c>
      <c r="S93" s="611">
        <v>0</v>
      </c>
      <c r="T93" s="611">
        <v>125</v>
      </c>
      <c r="U93" s="611">
        <v>0</v>
      </c>
      <c r="V93" s="611">
        <v>0</v>
      </c>
      <c r="W93" s="616">
        <f t="shared" ref="W93" si="80">SUM(K93:V93)</f>
        <v>125</v>
      </c>
      <c r="Y93" s="288"/>
      <c r="Z93" s="288"/>
    </row>
    <row r="94" spans="3:26" s="63" customFormat="1" ht="12" outlineLevel="1" x14ac:dyDescent="0.2">
      <c r="C94" s="64"/>
      <c r="D94" s="562" t="s">
        <v>259</v>
      </c>
      <c r="E94" s="563" t="s">
        <v>516</v>
      </c>
      <c r="F94" s="564">
        <v>0</v>
      </c>
      <c r="G94" s="610">
        <v>0</v>
      </c>
      <c r="H94" s="616">
        <f>IF(J94="NO", F94*G94,SUM(J94:V94))</f>
        <v>0</v>
      </c>
      <c r="J94" s="623" t="s">
        <v>538</v>
      </c>
      <c r="K94" s="610">
        <f t="shared" ref="K94:V95" si="81">$F94*$G94/12</f>
        <v>0</v>
      </c>
      <c r="L94" s="610">
        <f t="shared" si="81"/>
        <v>0</v>
      </c>
      <c r="M94" s="610">
        <f t="shared" si="81"/>
        <v>0</v>
      </c>
      <c r="N94" s="610">
        <f t="shared" si="81"/>
        <v>0</v>
      </c>
      <c r="O94" s="610">
        <f t="shared" si="81"/>
        <v>0</v>
      </c>
      <c r="P94" s="610">
        <f t="shared" si="81"/>
        <v>0</v>
      </c>
      <c r="Q94" s="610">
        <f t="shared" si="81"/>
        <v>0</v>
      </c>
      <c r="R94" s="610">
        <f t="shared" si="81"/>
        <v>0</v>
      </c>
      <c r="S94" s="610">
        <f t="shared" si="81"/>
        <v>0</v>
      </c>
      <c r="T94" s="610">
        <f t="shared" si="81"/>
        <v>0</v>
      </c>
      <c r="U94" s="610">
        <f t="shared" si="81"/>
        <v>0</v>
      </c>
      <c r="V94" s="610">
        <f t="shared" si="81"/>
        <v>0</v>
      </c>
      <c r="W94" s="616">
        <f>SUM(K94:V94)</f>
        <v>0</v>
      </c>
      <c r="Y94" s="288"/>
      <c r="Z94" s="288"/>
    </row>
    <row r="95" spans="3:26" s="63" customFormat="1" ht="12" outlineLevel="1" x14ac:dyDescent="0.2">
      <c r="C95" s="64"/>
      <c r="D95" s="562" t="s">
        <v>259</v>
      </c>
      <c r="E95" s="563"/>
      <c r="F95" s="564">
        <v>0</v>
      </c>
      <c r="G95" s="610">
        <v>0</v>
      </c>
      <c r="H95" s="616">
        <f t="shared" si="79"/>
        <v>0</v>
      </c>
      <c r="J95" s="623" t="s">
        <v>538</v>
      </c>
      <c r="K95" s="610">
        <f t="shared" si="81"/>
        <v>0</v>
      </c>
      <c r="L95" s="610">
        <f t="shared" si="81"/>
        <v>0</v>
      </c>
      <c r="M95" s="610">
        <f t="shared" si="81"/>
        <v>0</v>
      </c>
      <c r="N95" s="610">
        <f t="shared" si="81"/>
        <v>0</v>
      </c>
      <c r="O95" s="610">
        <f t="shared" si="81"/>
        <v>0</v>
      </c>
      <c r="P95" s="610">
        <f t="shared" si="81"/>
        <v>0</v>
      </c>
      <c r="Q95" s="610">
        <f t="shared" si="81"/>
        <v>0</v>
      </c>
      <c r="R95" s="610">
        <f t="shared" si="81"/>
        <v>0</v>
      </c>
      <c r="S95" s="610">
        <f t="shared" si="81"/>
        <v>0</v>
      </c>
      <c r="T95" s="610">
        <f t="shared" si="81"/>
        <v>0</v>
      </c>
      <c r="U95" s="610">
        <f t="shared" si="81"/>
        <v>0</v>
      </c>
      <c r="V95" s="610">
        <f t="shared" si="81"/>
        <v>0</v>
      </c>
      <c r="W95" s="616">
        <f t="shared" ref="W95" si="82">SUM(K95:V95)</f>
        <v>0</v>
      </c>
      <c r="Y95" s="288"/>
      <c r="Z95" s="288"/>
    </row>
    <row r="96" spans="3:26" s="63" customFormat="1" ht="3.6" customHeight="1" outlineLevel="1" thickBot="1" x14ac:dyDescent="0.25">
      <c r="C96" s="64"/>
      <c r="D96" s="295"/>
      <c r="E96" s="301"/>
      <c r="F96" s="282"/>
      <c r="G96" s="559"/>
      <c r="H96" s="552"/>
      <c r="J96" s="624"/>
      <c r="K96" s="617"/>
      <c r="L96" s="617"/>
      <c r="M96" s="617"/>
      <c r="N96" s="617"/>
      <c r="O96" s="617"/>
      <c r="P96" s="617"/>
      <c r="Q96" s="617"/>
      <c r="R96" s="617"/>
      <c r="S96" s="617"/>
      <c r="T96" s="617"/>
      <c r="U96" s="617"/>
      <c r="V96" s="617"/>
      <c r="W96" s="552"/>
      <c r="Y96" s="288"/>
      <c r="Z96" s="288"/>
    </row>
    <row r="97" spans="3:30" s="63" customFormat="1" ht="12.75" thickBot="1" x14ac:dyDescent="0.25">
      <c r="C97" s="64"/>
      <c r="D97" s="293"/>
      <c r="E97" s="300"/>
      <c r="F97" s="283" t="str">
        <f>E92</f>
        <v>Repairs and Maintenance Services</v>
      </c>
      <c r="G97" s="560">
        <f>C92</f>
        <v>6430</v>
      </c>
      <c r="H97" s="553">
        <f>SUBTOTAL(9,H93:H96)</f>
        <v>125</v>
      </c>
      <c r="J97" s="626"/>
      <c r="K97" s="620">
        <f>SUBTOTAL(9,K93:K96)</f>
        <v>0</v>
      </c>
      <c r="L97" s="620">
        <f t="shared" ref="L97:V97" si="83">SUBTOTAL(9,L93:L96)</f>
        <v>0</v>
      </c>
      <c r="M97" s="620">
        <f t="shared" si="83"/>
        <v>0</v>
      </c>
      <c r="N97" s="620">
        <f t="shared" si="83"/>
        <v>0</v>
      </c>
      <c r="O97" s="620">
        <f t="shared" si="83"/>
        <v>0</v>
      </c>
      <c r="P97" s="620">
        <f t="shared" si="83"/>
        <v>0</v>
      </c>
      <c r="Q97" s="620">
        <f t="shared" si="83"/>
        <v>0</v>
      </c>
      <c r="R97" s="620">
        <f t="shared" si="83"/>
        <v>0</v>
      </c>
      <c r="S97" s="620">
        <f t="shared" si="83"/>
        <v>0</v>
      </c>
      <c r="T97" s="620">
        <f t="shared" si="83"/>
        <v>125</v>
      </c>
      <c r="U97" s="620">
        <f t="shared" si="83"/>
        <v>0</v>
      </c>
      <c r="V97" s="620">
        <f t="shared" si="83"/>
        <v>0</v>
      </c>
      <c r="W97" s="553">
        <f>SUBTOTAL(9,W93:W96)</f>
        <v>125</v>
      </c>
      <c r="X97" s="63" t="str">
        <f>IF(H97=W97,"OK","Error")</f>
        <v>OK</v>
      </c>
      <c r="Y97" s="288">
        <v>0</v>
      </c>
      <c r="Z97" s="288">
        <f>H97-Y97</f>
        <v>125</v>
      </c>
    </row>
    <row r="98" spans="3:30" s="63" customFormat="1" ht="12" outlineLevel="1" x14ac:dyDescent="0.2">
      <c r="C98" s="64"/>
      <c r="D98" s="293"/>
      <c r="E98" s="300"/>
      <c r="F98" s="280"/>
      <c r="G98" s="557"/>
      <c r="H98" s="549"/>
      <c r="J98" s="619"/>
      <c r="K98" s="671"/>
      <c r="L98" s="671"/>
      <c r="M98" s="671"/>
      <c r="N98" s="671"/>
      <c r="O98" s="671"/>
      <c r="P98" s="671"/>
      <c r="Q98" s="671"/>
      <c r="R98" s="671"/>
      <c r="S98" s="671"/>
      <c r="T98" s="671"/>
      <c r="U98" s="671"/>
      <c r="V98" s="671"/>
      <c r="W98" s="549"/>
      <c r="Y98" s="288"/>
      <c r="Z98" s="288"/>
    </row>
    <row r="99" spans="3:30" s="63" customFormat="1" ht="12" outlineLevel="1" x14ac:dyDescent="0.2">
      <c r="C99" s="207">
        <v>6441</v>
      </c>
      <c r="D99" s="293"/>
      <c r="E99" s="300" t="s">
        <v>22</v>
      </c>
      <c r="F99" s="280"/>
      <c r="G99" s="557"/>
      <c r="H99" s="549"/>
      <c r="J99" s="619"/>
      <c r="K99" s="671"/>
      <c r="L99" s="671"/>
      <c r="M99" s="671"/>
      <c r="N99" s="671"/>
      <c r="O99" s="671"/>
      <c r="P99" s="671"/>
      <c r="Q99" s="671"/>
      <c r="R99" s="671"/>
      <c r="S99" s="671"/>
      <c r="T99" s="671"/>
      <c r="U99" s="671"/>
      <c r="V99" s="671"/>
      <c r="W99" s="549"/>
      <c r="Y99" s="288"/>
      <c r="Z99" s="288"/>
    </row>
    <row r="100" spans="3:30" s="63" customFormat="1" ht="12" outlineLevel="1" x14ac:dyDescent="0.2">
      <c r="C100" s="64"/>
      <c r="D100" s="565" t="s">
        <v>273</v>
      </c>
      <c r="E100" s="566" t="s">
        <v>552</v>
      </c>
      <c r="F100" s="574">
        <v>12</v>
      </c>
      <c r="G100" s="611">
        <v>1875</v>
      </c>
      <c r="H100" s="616">
        <f>IF(J100="NO", F100*G100,SUM(J100:V100))</f>
        <v>22500</v>
      </c>
      <c r="J100" s="622" t="s">
        <v>538</v>
      </c>
      <c r="K100" s="609">
        <f t="shared" ref="K100:V101" si="84">$F100*$G100/12</f>
        <v>1875</v>
      </c>
      <c r="L100" s="609">
        <f t="shared" si="84"/>
        <v>1875</v>
      </c>
      <c r="M100" s="609">
        <f t="shared" si="84"/>
        <v>1875</v>
      </c>
      <c r="N100" s="609">
        <f t="shared" si="84"/>
        <v>1875</v>
      </c>
      <c r="O100" s="609">
        <f t="shared" si="84"/>
        <v>1875</v>
      </c>
      <c r="P100" s="609">
        <f t="shared" si="84"/>
        <v>1875</v>
      </c>
      <c r="Q100" s="609">
        <f t="shared" si="84"/>
        <v>1875</v>
      </c>
      <c r="R100" s="609">
        <f t="shared" si="84"/>
        <v>1875</v>
      </c>
      <c r="S100" s="609">
        <f t="shared" si="84"/>
        <v>1875</v>
      </c>
      <c r="T100" s="609">
        <f t="shared" si="84"/>
        <v>1875</v>
      </c>
      <c r="U100" s="609">
        <f t="shared" si="84"/>
        <v>1875</v>
      </c>
      <c r="V100" s="609">
        <f t="shared" si="84"/>
        <v>1875</v>
      </c>
      <c r="W100" s="616">
        <f>SUM(K100:V100)</f>
        <v>22500</v>
      </c>
      <c r="Y100" s="288"/>
      <c r="Z100" s="288"/>
    </row>
    <row r="101" spans="3:30" s="63" customFormat="1" ht="12" outlineLevel="1" x14ac:dyDescent="0.2">
      <c r="C101" s="64"/>
      <c r="D101" s="565" t="s">
        <v>273</v>
      </c>
      <c r="E101" s="566" t="s">
        <v>517</v>
      </c>
      <c r="F101" s="574">
        <v>12</v>
      </c>
      <c r="G101" s="611">
        <v>855</v>
      </c>
      <c r="H101" s="616">
        <f t="shared" ref="H101:H102" si="85">IF(J101="NO", F101*G101,SUM(J101:V101))</f>
        <v>10260</v>
      </c>
      <c r="J101" s="622" t="s">
        <v>538</v>
      </c>
      <c r="K101" s="609">
        <f t="shared" si="84"/>
        <v>855</v>
      </c>
      <c r="L101" s="609">
        <f t="shared" si="84"/>
        <v>855</v>
      </c>
      <c r="M101" s="609">
        <f t="shared" si="84"/>
        <v>855</v>
      </c>
      <c r="N101" s="609">
        <f t="shared" si="84"/>
        <v>855</v>
      </c>
      <c r="O101" s="609">
        <f t="shared" si="84"/>
        <v>855</v>
      </c>
      <c r="P101" s="609">
        <f t="shared" si="84"/>
        <v>855</v>
      </c>
      <c r="Q101" s="609">
        <f t="shared" si="84"/>
        <v>855</v>
      </c>
      <c r="R101" s="609">
        <f t="shared" si="84"/>
        <v>855</v>
      </c>
      <c r="S101" s="609">
        <f t="shared" si="84"/>
        <v>855</v>
      </c>
      <c r="T101" s="609">
        <f t="shared" si="84"/>
        <v>855</v>
      </c>
      <c r="U101" s="609">
        <f t="shared" si="84"/>
        <v>855</v>
      </c>
      <c r="V101" s="609">
        <f t="shared" si="84"/>
        <v>855</v>
      </c>
      <c r="W101" s="616">
        <f>SUM(K101:V101)</f>
        <v>10260</v>
      </c>
      <c r="Y101" s="288"/>
      <c r="Z101" s="288"/>
    </row>
    <row r="102" spans="3:30" s="63" customFormat="1" ht="12" outlineLevel="1" x14ac:dyDescent="0.2">
      <c r="C102" s="64"/>
      <c r="D102" s="562" t="s">
        <v>260</v>
      </c>
      <c r="E102" s="563" t="s">
        <v>591</v>
      </c>
      <c r="F102" s="564">
        <v>1</v>
      </c>
      <c r="G102" s="610">
        <v>1000</v>
      </c>
      <c r="H102" s="616">
        <f t="shared" si="85"/>
        <v>1000</v>
      </c>
      <c r="J102" s="623" t="s">
        <v>539</v>
      </c>
      <c r="K102" s="610">
        <v>0</v>
      </c>
      <c r="L102" s="610">
        <v>0</v>
      </c>
      <c r="M102" s="610">
        <v>0</v>
      </c>
      <c r="N102" s="610">
        <v>0</v>
      </c>
      <c r="O102" s="610">
        <v>0</v>
      </c>
      <c r="P102" s="610">
        <v>0</v>
      </c>
      <c r="Q102" s="610">
        <v>0</v>
      </c>
      <c r="R102" s="610">
        <v>0</v>
      </c>
      <c r="S102" s="610">
        <v>0</v>
      </c>
      <c r="T102" s="610">
        <v>0</v>
      </c>
      <c r="U102" s="610">
        <v>1000</v>
      </c>
      <c r="V102" s="610">
        <v>0</v>
      </c>
      <c r="W102" s="616">
        <f>SUM(K102:V102)</f>
        <v>1000</v>
      </c>
      <c r="Y102" s="288"/>
      <c r="Z102" s="288"/>
      <c r="AD102" s="63">
        <f>2500*4</f>
        <v>10000</v>
      </c>
    </row>
    <row r="103" spans="3:30" s="63" customFormat="1" ht="12" outlineLevel="1" x14ac:dyDescent="0.2">
      <c r="C103" s="64"/>
      <c r="D103" s="562" t="s">
        <v>259</v>
      </c>
      <c r="E103" s="563"/>
      <c r="F103" s="564">
        <v>0</v>
      </c>
      <c r="G103" s="610">
        <v>0</v>
      </c>
      <c r="H103" s="551">
        <f t="shared" ref="H103" si="86">F103*G103</f>
        <v>0</v>
      </c>
      <c r="J103" s="623" t="s">
        <v>538</v>
      </c>
      <c r="K103" s="610">
        <f t="shared" ref="K103:V103" si="87">$F103*$G103/12</f>
        <v>0</v>
      </c>
      <c r="L103" s="610">
        <f t="shared" si="87"/>
        <v>0</v>
      </c>
      <c r="M103" s="610">
        <f t="shared" si="87"/>
        <v>0</v>
      </c>
      <c r="N103" s="610">
        <f t="shared" si="87"/>
        <v>0</v>
      </c>
      <c r="O103" s="610">
        <f t="shared" si="87"/>
        <v>0</v>
      </c>
      <c r="P103" s="610">
        <f t="shared" si="87"/>
        <v>0</v>
      </c>
      <c r="Q103" s="610">
        <f t="shared" si="87"/>
        <v>0</v>
      </c>
      <c r="R103" s="610">
        <f t="shared" si="87"/>
        <v>0</v>
      </c>
      <c r="S103" s="610">
        <f t="shared" si="87"/>
        <v>0</v>
      </c>
      <c r="T103" s="610">
        <f t="shared" si="87"/>
        <v>0</v>
      </c>
      <c r="U103" s="610">
        <f t="shared" si="87"/>
        <v>0</v>
      </c>
      <c r="V103" s="610">
        <f t="shared" si="87"/>
        <v>0</v>
      </c>
      <c r="W103" s="616">
        <f t="shared" ref="W103" si="88">SUM(K103:V103)</f>
        <v>0</v>
      </c>
      <c r="Y103" s="288"/>
      <c r="Z103" s="288"/>
    </row>
    <row r="104" spans="3:30" s="63" customFormat="1" ht="3.6" customHeight="1" outlineLevel="1" thickBot="1" x14ac:dyDescent="0.25">
      <c r="C104" s="64"/>
      <c r="D104" s="295"/>
      <c r="E104" s="301"/>
      <c r="F104" s="282"/>
      <c r="G104" s="559"/>
      <c r="H104" s="552"/>
      <c r="J104" s="624"/>
      <c r="K104" s="617"/>
      <c r="L104" s="617"/>
      <c r="M104" s="617"/>
      <c r="N104" s="617"/>
      <c r="O104" s="617"/>
      <c r="P104" s="617"/>
      <c r="Q104" s="617"/>
      <c r="R104" s="617"/>
      <c r="S104" s="617"/>
      <c r="T104" s="617"/>
      <c r="U104" s="617"/>
      <c r="V104" s="617"/>
      <c r="W104" s="552"/>
      <c r="Y104" s="288"/>
      <c r="Z104" s="288"/>
    </row>
    <row r="105" spans="3:30" s="63" customFormat="1" ht="12.75" thickBot="1" x14ac:dyDescent="0.25">
      <c r="C105" s="64"/>
      <c r="D105" s="293"/>
      <c r="E105" s="300"/>
      <c r="F105" s="283" t="str">
        <f>E99</f>
        <v>Renting Land and Buildings</v>
      </c>
      <c r="G105" s="560">
        <f>C99</f>
        <v>6441</v>
      </c>
      <c r="H105" s="553">
        <f>SUBTOTAL(9,H100:H104)</f>
        <v>33760</v>
      </c>
      <c r="J105" s="626"/>
      <c r="K105" s="620">
        <f t="shared" ref="K105:W105" si="89">SUBTOTAL(9,K100:K104)</f>
        <v>2730</v>
      </c>
      <c r="L105" s="620">
        <f t="shared" si="89"/>
        <v>2730</v>
      </c>
      <c r="M105" s="620">
        <f t="shared" si="89"/>
        <v>2730</v>
      </c>
      <c r="N105" s="620">
        <f t="shared" si="89"/>
        <v>2730</v>
      </c>
      <c r="O105" s="620">
        <f t="shared" si="89"/>
        <v>2730</v>
      </c>
      <c r="P105" s="620">
        <f t="shared" si="89"/>
        <v>2730</v>
      </c>
      <c r="Q105" s="620">
        <f t="shared" si="89"/>
        <v>2730</v>
      </c>
      <c r="R105" s="620">
        <f t="shared" si="89"/>
        <v>2730</v>
      </c>
      <c r="S105" s="620">
        <f t="shared" si="89"/>
        <v>2730</v>
      </c>
      <c r="T105" s="620">
        <f t="shared" si="89"/>
        <v>2730</v>
      </c>
      <c r="U105" s="620">
        <f t="shared" si="89"/>
        <v>3730</v>
      </c>
      <c r="V105" s="620">
        <f t="shared" si="89"/>
        <v>2730</v>
      </c>
      <c r="W105" s="553">
        <f t="shared" si="89"/>
        <v>33760</v>
      </c>
      <c r="X105" s="63" t="str">
        <f>IF(H105=W105,"OK","Error")</f>
        <v>OK</v>
      </c>
      <c r="Y105" s="288">
        <v>0</v>
      </c>
      <c r="Z105" s="288">
        <f>H105-Y105</f>
        <v>33760</v>
      </c>
    </row>
    <row r="106" spans="3:30" s="63" customFormat="1" ht="12" x14ac:dyDescent="0.2">
      <c r="C106" s="64"/>
      <c r="D106" s="293"/>
      <c r="E106" s="300"/>
      <c r="F106" s="280"/>
      <c r="G106" s="557"/>
      <c r="H106" s="549"/>
      <c r="J106" s="619"/>
      <c r="K106" s="671"/>
      <c r="L106" s="671"/>
      <c r="M106" s="671"/>
      <c r="N106" s="671"/>
      <c r="O106" s="671"/>
      <c r="P106" s="671"/>
      <c r="Q106" s="671"/>
      <c r="R106" s="671"/>
      <c r="S106" s="671"/>
      <c r="T106" s="671"/>
      <c r="U106" s="671"/>
      <c r="V106" s="671"/>
      <c r="W106" s="549"/>
      <c r="Y106" s="288"/>
      <c r="Z106" s="288"/>
    </row>
    <row r="107" spans="3:30" s="63" customFormat="1" ht="12" x14ac:dyDescent="0.2">
      <c r="C107" s="66" t="s">
        <v>101</v>
      </c>
      <c r="D107" s="293"/>
      <c r="E107" s="300"/>
      <c r="F107" s="280"/>
      <c r="G107" s="557"/>
      <c r="H107" s="549"/>
      <c r="J107" s="619"/>
      <c r="K107" s="671"/>
      <c r="L107" s="671"/>
      <c r="M107" s="671"/>
      <c r="N107" s="671"/>
      <c r="O107" s="671"/>
      <c r="P107" s="671"/>
      <c r="Q107" s="671"/>
      <c r="R107" s="671"/>
      <c r="S107" s="671"/>
      <c r="T107" s="671"/>
      <c r="U107" s="671"/>
      <c r="V107" s="671"/>
      <c r="W107" s="549"/>
      <c r="Y107" s="288"/>
      <c r="Z107" s="288"/>
    </row>
    <row r="108" spans="3:30" s="63" customFormat="1" ht="12" outlineLevel="1" x14ac:dyDescent="0.2">
      <c r="C108" s="207">
        <v>6519</v>
      </c>
      <c r="D108" s="293"/>
      <c r="E108" s="300" t="s">
        <v>23</v>
      </c>
      <c r="F108" s="280"/>
      <c r="G108" s="557"/>
      <c r="H108" s="549"/>
      <c r="J108" s="619"/>
      <c r="K108" s="671"/>
      <c r="L108" s="671"/>
      <c r="M108" s="671"/>
      <c r="N108" s="671"/>
      <c r="O108" s="671"/>
      <c r="P108" s="671"/>
      <c r="Q108" s="671"/>
      <c r="R108" s="671"/>
      <c r="S108" s="671"/>
      <c r="T108" s="671"/>
      <c r="U108" s="671"/>
      <c r="V108" s="671"/>
      <c r="W108" s="549"/>
      <c r="Y108" s="288"/>
      <c r="Z108" s="288"/>
    </row>
    <row r="109" spans="3:30" s="63" customFormat="1" ht="12" outlineLevel="1" x14ac:dyDescent="0.2">
      <c r="C109" s="64"/>
      <c r="D109" s="568" t="s">
        <v>276</v>
      </c>
      <c r="E109" s="569" t="s">
        <v>394</v>
      </c>
      <c r="F109" s="574">
        <v>0</v>
      </c>
      <c r="G109" s="611">
        <v>0</v>
      </c>
      <c r="H109" s="616">
        <f t="shared" ref="H109" si="90">IF(J109="NO", F109*G109,SUM(J109:V109))</f>
        <v>0</v>
      </c>
      <c r="J109" s="627" t="s">
        <v>538</v>
      </c>
      <c r="K109" s="611">
        <v>0</v>
      </c>
      <c r="L109" s="611">
        <v>0</v>
      </c>
      <c r="M109" s="611">
        <v>0</v>
      </c>
      <c r="N109" s="611">
        <v>0</v>
      </c>
      <c r="O109" s="611">
        <v>0</v>
      </c>
      <c r="P109" s="611">
        <v>0</v>
      </c>
      <c r="Q109" s="611">
        <v>0</v>
      </c>
      <c r="R109" s="611">
        <v>0</v>
      </c>
      <c r="S109" s="611">
        <v>0</v>
      </c>
      <c r="T109" s="611">
        <v>0</v>
      </c>
      <c r="U109" s="611">
        <v>0</v>
      </c>
      <c r="V109" s="611">
        <v>0</v>
      </c>
      <c r="W109" s="616">
        <f t="shared" ref="W109" si="91">SUM(K109:V109)</f>
        <v>0</v>
      </c>
      <c r="Y109" s="288"/>
      <c r="Z109" s="288"/>
    </row>
    <row r="110" spans="3:30" s="63" customFormat="1" ht="12" outlineLevel="1" x14ac:dyDescent="0.2">
      <c r="C110" s="64"/>
      <c r="D110" s="562" t="s">
        <v>259</v>
      </c>
      <c r="E110" s="563" t="s">
        <v>518</v>
      </c>
      <c r="F110" s="564">
        <v>0</v>
      </c>
      <c r="G110" s="610">
        <v>0</v>
      </c>
      <c r="H110" s="616">
        <f>IF(J110="NO", F110*G110,SUM(J110:V110))</f>
        <v>0</v>
      </c>
      <c r="J110" s="623" t="s">
        <v>538</v>
      </c>
      <c r="K110" s="610">
        <f t="shared" ref="K110:V111" si="92">$F110*$G110/12</f>
        <v>0</v>
      </c>
      <c r="L110" s="610">
        <f t="shared" si="92"/>
        <v>0</v>
      </c>
      <c r="M110" s="610">
        <f t="shared" si="92"/>
        <v>0</v>
      </c>
      <c r="N110" s="610">
        <f t="shared" si="92"/>
        <v>0</v>
      </c>
      <c r="O110" s="610">
        <f t="shared" si="92"/>
        <v>0</v>
      </c>
      <c r="P110" s="610">
        <f t="shared" si="92"/>
        <v>0</v>
      </c>
      <c r="Q110" s="610">
        <f t="shared" si="92"/>
        <v>0</v>
      </c>
      <c r="R110" s="610">
        <f t="shared" si="92"/>
        <v>0</v>
      </c>
      <c r="S110" s="610">
        <f t="shared" si="92"/>
        <v>0</v>
      </c>
      <c r="T110" s="610">
        <f t="shared" si="92"/>
        <v>0</v>
      </c>
      <c r="U110" s="610">
        <f t="shared" si="92"/>
        <v>0</v>
      </c>
      <c r="V110" s="610">
        <f t="shared" si="92"/>
        <v>0</v>
      </c>
      <c r="W110" s="616">
        <f>SUM(K110:V110)</f>
        <v>0</v>
      </c>
      <c r="Y110" s="288"/>
      <c r="Z110" s="288"/>
    </row>
    <row r="111" spans="3:30" s="63" customFormat="1" ht="12" outlineLevel="1" x14ac:dyDescent="0.2">
      <c r="C111" s="64"/>
      <c r="D111" s="562" t="s">
        <v>259</v>
      </c>
      <c r="E111" s="563"/>
      <c r="F111" s="564">
        <v>0</v>
      </c>
      <c r="G111" s="610">
        <v>0</v>
      </c>
      <c r="H111" s="616">
        <f t="shared" ref="H111" si="93">IF(J111="NO", F111*G111,SUM(J111:V111))</f>
        <v>0</v>
      </c>
      <c r="J111" s="623" t="s">
        <v>538</v>
      </c>
      <c r="K111" s="610">
        <f t="shared" si="92"/>
        <v>0</v>
      </c>
      <c r="L111" s="610">
        <f t="shared" si="92"/>
        <v>0</v>
      </c>
      <c r="M111" s="610">
        <f t="shared" si="92"/>
        <v>0</v>
      </c>
      <c r="N111" s="610">
        <f t="shared" si="92"/>
        <v>0</v>
      </c>
      <c r="O111" s="610">
        <f t="shared" si="92"/>
        <v>0</v>
      </c>
      <c r="P111" s="610">
        <f t="shared" si="92"/>
        <v>0</v>
      </c>
      <c r="Q111" s="610">
        <f t="shared" si="92"/>
        <v>0</v>
      </c>
      <c r="R111" s="610">
        <f t="shared" si="92"/>
        <v>0</v>
      </c>
      <c r="S111" s="610">
        <f t="shared" si="92"/>
        <v>0</v>
      </c>
      <c r="T111" s="610">
        <f t="shared" si="92"/>
        <v>0</v>
      </c>
      <c r="U111" s="610">
        <f t="shared" si="92"/>
        <v>0</v>
      </c>
      <c r="V111" s="610">
        <f t="shared" si="92"/>
        <v>0</v>
      </c>
      <c r="W111" s="616">
        <f t="shared" ref="W111" si="94">SUM(K111:V111)</f>
        <v>0</v>
      </c>
      <c r="Y111" s="288"/>
      <c r="Z111" s="288"/>
    </row>
    <row r="112" spans="3:30" s="63" customFormat="1" ht="3.6" customHeight="1" outlineLevel="1" thickBot="1" x14ac:dyDescent="0.25">
      <c r="C112" s="64"/>
      <c r="D112" s="295"/>
      <c r="E112" s="301"/>
      <c r="F112" s="282"/>
      <c r="G112" s="559"/>
      <c r="H112" s="552"/>
      <c r="J112" s="624"/>
      <c r="K112" s="617"/>
      <c r="L112" s="617"/>
      <c r="M112" s="617"/>
      <c r="N112" s="617"/>
      <c r="O112" s="617"/>
      <c r="P112" s="617"/>
      <c r="Q112" s="617"/>
      <c r="R112" s="617"/>
      <c r="S112" s="617"/>
      <c r="T112" s="617"/>
      <c r="U112" s="617"/>
      <c r="V112" s="617"/>
      <c r="W112" s="552"/>
      <c r="Y112" s="288"/>
      <c r="Z112" s="288"/>
    </row>
    <row r="113" spans="3:26" s="63" customFormat="1" ht="12.75" thickBot="1" x14ac:dyDescent="0.25">
      <c r="C113" s="64"/>
      <c r="D113" s="293"/>
      <c r="E113" s="300"/>
      <c r="F113" s="283" t="str">
        <f>E108</f>
        <v>Student Transportation Purchased From Other Source</v>
      </c>
      <c r="G113" s="560">
        <f>C108</f>
        <v>6519</v>
      </c>
      <c r="H113" s="553">
        <f>SUBTOTAL(9,H109:H112)</f>
        <v>0</v>
      </c>
      <c r="J113" s="626"/>
      <c r="K113" s="620">
        <f>SUBTOTAL(9,K109:K112)</f>
        <v>0</v>
      </c>
      <c r="L113" s="620">
        <f t="shared" ref="L113" si="95">SUBTOTAL(9,L109:L112)</f>
        <v>0</v>
      </c>
      <c r="M113" s="620">
        <f t="shared" ref="M113" si="96">SUBTOTAL(9,M109:M112)</f>
        <v>0</v>
      </c>
      <c r="N113" s="620">
        <f t="shared" ref="N113" si="97">SUBTOTAL(9,N109:N112)</f>
        <v>0</v>
      </c>
      <c r="O113" s="620">
        <f t="shared" ref="O113" si="98">SUBTOTAL(9,O109:O112)</f>
        <v>0</v>
      </c>
      <c r="P113" s="620">
        <f t="shared" ref="P113" si="99">SUBTOTAL(9,P109:P112)</f>
        <v>0</v>
      </c>
      <c r="Q113" s="620">
        <f t="shared" ref="Q113" si="100">SUBTOTAL(9,Q109:Q112)</f>
        <v>0</v>
      </c>
      <c r="R113" s="620">
        <f t="shared" ref="R113" si="101">SUBTOTAL(9,R109:R112)</f>
        <v>0</v>
      </c>
      <c r="S113" s="620">
        <f t="shared" ref="S113" si="102">SUBTOTAL(9,S109:S112)</f>
        <v>0</v>
      </c>
      <c r="T113" s="620">
        <f t="shared" ref="T113" si="103">SUBTOTAL(9,T109:T112)</f>
        <v>0</v>
      </c>
      <c r="U113" s="620">
        <f t="shared" ref="U113" si="104">SUBTOTAL(9,U109:U112)</f>
        <v>0</v>
      </c>
      <c r="V113" s="620">
        <f t="shared" ref="V113" si="105">SUBTOTAL(9,V109:V112)</f>
        <v>0</v>
      </c>
      <c r="W113" s="553">
        <f>SUBTOTAL(9,W109:W112)</f>
        <v>0</v>
      </c>
      <c r="X113" s="63" t="str">
        <f>IF(H113=W113,"OK","Error")</f>
        <v>OK</v>
      </c>
      <c r="Y113" s="288">
        <v>0</v>
      </c>
      <c r="Z113" s="288">
        <f>H113-Y113</f>
        <v>0</v>
      </c>
    </row>
    <row r="114" spans="3:26" s="63" customFormat="1" ht="12" outlineLevel="1" x14ac:dyDescent="0.2">
      <c r="C114" s="64"/>
      <c r="D114" s="293"/>
      <c r="E114" s="300"/>
      <c r="F114" s="280"/>
      <c r="G114" s="557"/>
      <c r="H114" s="549"/>
      <c r="J114" s="619"/>
      <c r="K114" s="671"/>
      <c r="L114" s="671"/>
      <c r="M114" s="671"/>
      <c r="N114" s="671"/>
      <c r="O114" s="671"/>
      <c r="P114" s="671"/>
      <c r="Q114" s="671"/>
      <c r="R114" s="671"/>
      <c r="S114" s="671"/>
      <c r="T114" s="671"/>
      <c r="U114" s="671"/>
      <c r="V114" s="671"/>
      <c r="W114" s="549"/>
      <c r="Y114" s="288"/>
      <c r="Z114" s="288"/>
    </row>
    <row r="115" spans="3:26" s="63" customFormat="1" ht="12" outlineLevel="1" x14ac:dyDescent="0.2">
      <c r="C115" s="207">
        <v>6521</v>
      </c>
      <c r="D115" s="293"/>
      <c r="E115" s="300" t="s">
        <v>24</v>
      </c>
      <c r="F115" s="280"/>
      <c r="G115" s="557"/>
      <c r="H115" s="549"/>
      <c r="J115" s="619"/>
      <c r="K115" s="671"/>
      <c r="L115" s="671"/>
      <c r="M115" s="671"/>
      <c r="N115" s="671"/>
      <c r="O115" s="671"/>
      <c r="P115" s="671"/>
      <c r="Q115" s="671"/>
      <c r="R115" s="671"/>
      <c r="S115" s="671"/>
      <c r="T115" s="671"/>
      <c r="U115" s="671"/>
      <c r="V115" s="671"/>
      <c r="W115" s="549"/>
      <c r="Y115" s="288"/>
      <c r="Z115" s="288"/>
    </row>
    <row r="116" spans="3:26" s="63" customFormat="1" ht="12" outlineLevel="1" x14ac:dyDescent="0.2">
      <c r="C116" s="64"/>
      <c r="D116" s="594" t="s">
        <v>259</v>
      </c>
      <c r="E116" s="595"/>
      <c r="F116" s="596">
        <v>0</v>
      </c>
      <c r="G116" s="612">
        <v>0</v>
      </c>
      <c r="H116" s="616">
        <f>IF(J116="NO", F116*G116,SUM(J116:V116))</f>
        <v>0</v>
      </c>
      <c r="J116" s="628" t="s">
        <v>538</v>
      </c>
      <c r="K116" s="612">
        <v>0</v>
      </c>
      <c r="L116" s="612">
        <v>0</v>
      </c>
      <c r="M116" s="612">
        <v>0</v>
      </c>
      <c r="N116" s="612">
        <v>0</v>
      </c>
      <c r="O116" s="612">
        <v>0</v>
      </c>
      <c r="P116" s="612">
        <v>0</v>
      </c>
      <c r="Q116" s="612">
        <v>0</v>
      </c>
      <c r="R116" s="612">
        <v>0</v>
      </c>
      <c r="S116" s="612">
        <v>0</v>
      </c>
      <c r="T116" s="612">
        <v>0</v>
      </c>
      <c r="U116" s="612">
        <v>0</v>
      </c>
      <c r="V116" s="612">
        <v>0</v>
      </c>
      <c r="W116" s="551">
        <f t="shared" ref="W116:W120" si="106">U116*V116</f>
        <v>0</v>
      </c>
      <c r="Y116" s="288"/>
      <c r="Z116" s="288"/>
    </row>
    <row r="117" spans="3:26" s="63" customFormat="1" ht="12" outlineLevel="1" x14ac:dyDescent="0.2">
      <c r="C117" s="64"/>
      <c r="D117" s="594" t="s">
        <v>259</v>
      </c>
      <c r="E117" s="595"/>
      <c r="F117" s="596">
        <v>0</v>
      </c>
      <c r="G117" s="612">
        <v>0</v>
      </c>
      <c r="H117" s="616">
        <f t="shared" ref="H117:H120" si="107">IF(J117="NO", F117*G117,SUM(J117:V117))</f>
        <v>0</v>
      </c>
      <c r="J117" s="628" t="s">
        <v>538</v>
      </c>
      <c r="K117" s="612">
        <v>0</v>
      </c>
      <c r="L117" s="612">
        <v>0</v>
      </c>
      <c r="M117" s="612">
        <v>0</v>
      </c>
      <c r="N117" s="612">
        <v>0</v>
      </c>
      <c r="O117" s="612">
        <v>0</v>
      </c>
      <c r="P117" s="612">
        <v>0</v>
      </c>
      <c r="Q117" s="612">
        <v>0</v>
      </c>
      <c r="R117" s="612">
        <v>0</v>
      </c>
      <c r="S117" s="612">
        <v>0</v>
      </c>
      <c r="T117" s="612">
        <v>0</v>
      </c>
      <c r="U117" s="612">
        <v>0</v>
      </c>
      <c r="V117" s="612">
        <v>0</v>
      </c>
      <c r="W117" s="551">
        <f t="shared" si="106"/>
        <v>0</v>
      </c>
      <c r="Y117" s="288"/>
      <c r="Z117" s="288"/>
    </row>
    <row r="118" spans="3:26" s="63" customFormat="1" ht="12" outlineLevel="1" x14ac:dyDescent="0.2">
      <c r="C118" s="64"/>
      <c r="D118" s="594" t="s">
        <v>259</v>
      </c>
      <c r="E118" s="595"/>
      <c r="F118" s="596">
        <v>0</v>
      </c>
      <c r="G118" s="612">
        <v>0</v>
      </c>
      <c r="H118" s="616">
        <f t="shared" si="107"/>
        <v>0</v>
      </c>
      <c r="J118" s="628" t="s">
        <v>538</v>
      </c>
      <c r="K118" s="612">
        <v>0</v>
      </c>
      <c r="L118" s="612">
        <v>0</v>
      </c>
      <c r="M118" s="612">
        <v>0</v>
      </c>
      <c r="N118" s="612">
        <v>0</v>
      </c>
      <c r="O118" s="612">
        <v>0</v>
      </c>
      <c r="P118" s="612">
        <v>0</v>
      </c>
      <c r="Q118" s="612">
        <v>0</v>
      </c>
      <c r="R118" s="612">
        <v>0</v>
      </c>
      <c r="S118" s="612">
        <v>0</v>
      </c>
      <c r="T118" s="612">
        <v>0</v>
      </c>
      <c r="U118" s="612">
        <v>0</v>
      </c>
      <c r="V118" s="612">
        <v>0</v>
      </c>
      <c r="W118" s="551">
        <f t="shared" si="106"/>
        <v>0</v>
      </c>
      <c r="Y118" s="288"/>
      <c r="Z118" s="288"/>
    </row>
    <row r="119" spans="3:26" s="63" customFormat="1" ht="12" outlineLevel="1" x14ac:dyDescent="0.2">
      <c r="C119" s="64"/>
      <c r="D119" s="594" t="s">
        <v>259</v>
      </c>
      <c r="E119" s="595"/>
      <c r="F119" s="596">
        <v>0</v>
      </c>
      <c r="G119" s="612">
        <v>0</v>
      </c>
      <c r="H119" s="616">
        <f t="shared" si="107"/>
        <v>0</v>
      </c>
      <c r="J119" s="628" t="s">
        <v>538</v>
      </c>
      <c r="K119" s="612">
        <v>0</v>
      </c>
      <c r="L119" s="612">
        <v>0</v>
      </c>
      <c r="M119" s="612">
        <v>0</v>
      </c>
      <c r="N119" s="612">
        <v>0</v>
      </c>
      <c r="O119" s="612">
        <v>0</v>
      </c>
      <c r="P119" s="612">
        <v>0</v>
      </c>
      <c r="Q119" s="612">
        <v>0</v>
      </c>
      <c r="R119" s="612">
        <v>0</v>
      </c>
      <c r="S119" s="612">
        <v>0</v>
      </c>
      <c r="T119" s="612">
        <v>0</v>
      </c>
      <c r="U119" s="612">
        <v>0</v>
      </c>
      <c r="V119" s="612">
        <v>0</v>
      </c>
      <c r="W119" s="551">
        <f t="shared" si="106"/>
        <v>0</v>
      </c>
      <c r="Y119" s="288"/>
      <c r="Z119" s="288"/>
    </row>
    <row r="120" spans="3:26" s="63" customFormat="1" ht="12" outlineLevel="1" x14ac:dyDescent="0.2">
      <c r="C120" s="64"/>
      <c r="D120" s="594" t="s">
        <v>259</v>
      </c>
      <c r="E120" s="595"/>
      <c r="F120" s="596">
        <v>0</v>
      </c>
      <c r="G120" s="612">
        <v>0</v>
      </c>
      <c r="H120" s="616">
        <f t="shared" si="107"/>
        <v>0</v>
      </c>
      <c r="J120" s="628" t="s">
        <v>538</v>
      </c>
      <c r="K120" s="612">
        <v>0</v>
      </c>
      <c r="L120" s="612">
        <v>0</v>
      </c>
      <c r="M120" s="612">
        <v>0</v>
      </c>
      <c r="N120" s="612">
        <v>0</v>
      </c>
      <c r="O120" s="612">
        <v>0</v>
      </c>
      <c r="P120" s="612">
        <v>0</v>
      </c>
      <c r="Q120" s="612">
        <v>0</v>
      </c>
      <c r="R120" s="612">
        <v>0</v>
      </c>
      <c r="S120" s="612">
        <v>0</v>
      </c>
      <c r="T120" s="612">
        <v>0</v>
      </c>
      <c r="U120" s="612">
        <v>0</v>
      </c>
      <c r="V120" s="612">
        <v>0</v>
      </c>
      <c r="W120" s="551">
        <f t="shared" si="106"/>
        <v>0</v>
      </c>
      <c r="Y120" s="288"/>
      <c r="Z120" s="288"/>
    </row>
    <row r="121" spans="3:26" s="63" customFormat="1" ht="3.6" customHeight="1" outlineLevel="1" thickBot="1" x14ac:dyDescent="0.25">
      <c r="C121" s="64"/>
      <c r="D121" s="295"/>
      <c r="E121" s="301"/>
      <c r="F121" s="282"/>
      <c r="G121" s="559"/>
      <c r="H121" s="552"/>
      <c r="J121" s="624"/>
      <c r="K121" s="617"/>
      <c r="L121" s="617"/>
      <c r="M121" s="617"/>
      <c r="N121" s="617"/>
      <c r="O121" s="617"/>
      <c r="P121" s="617"/>
      <c r="Q121" s="617"/>
      <c r="R121" s="617"/>
      <c r="S121" s="617"/>
      <c r="T121" s="617"/>
      <c r="U121" s="617"/>
      <c r="V121" s="617"/>
      <c r="W121" s="552"/>
      <c r="Y121" s="288"/>
      <c r="Z121" s="288"/>
    </row>
    <row r="122" spans="3:26" s="63" customFormat="1" ht="12.75" thickBot="1" x14ac:dyDescent="0.25">
      <c r="C122" s="64"/>
      <c r="D122" s="293"/>
      <c r="E122" s="300"/>
      <c r="F122" s="283" t="str">
        <f>E115</f>
        <v>Property Insurance ''Business Owners''</v>
      </c>
      <c r="G122" s="560">
        <f>C115</f>
        <v>6521</v>
      </c>
      <c r="H122" s="553">
        <f>SUBTOTAL(9,H116:H121)</f>
        <v>0</v>
      </c>
      <c r="J122" s="626"/>
      <c r="K122" s="620">
        <f>SUBTOTAL(9,K116:K121)</f>
        <v>0</v>
      </c>
      <c r="L122" s="620">
        <f t="shared" ref="L122" si="108">SUBTOTAL(9,L116:L121)</f>
        <v>0</v>
      </c>
      <c r="M122" s="620">
        <f t="shared" ref="M122" si="109">SUBTOTAL(9,M116:M121)</f>
        <v>0</v>
      </c>
      <c r="N122" s="620">
        <f t="shared" ref="N122" si="110">SUBTOTAL(9,N116:N121)</f>
        <v>0</v>
      </c>
      <c r="O122" s="620">
        <f t="shared" ref="O122" si="111">SUBTOTAL(9,O116:O121)</f>
        <v>0</v>
      </c>
      <c r="P122" s="620">
        <f t="shared" ref="P122" si="112">SUBTOTAL(9,P116:P121)</f>
        <v>0</v>
      </c>
      <c r="Q122" s="620">
        <f t="shared" ref="Q122" si="113">SUBTOTAL(9,Q116:Q121)</f>
        <v>0</v>
      </c>
      <c r="R122" s="620">
        <f t="shared" ref="R122" si="114">SUBTOTAL(9,R116:R121)</f>
        <v>0</v>
      </c>
      <c r="S122" s="620">
        <f t="shared" ref="S122" si="115">SUBTOTAL(9,S116:S121)</f>
        <v>0</v>
      </c>
      <c r="T122" s="620">
        <f t="shared" ref="T122" si="116">SUBTOTAL(9,T116:T121)</f>
        <v>0</v>
      </c>
      <c r="U122" s="620">
        <f t="shared" ref="U122" si="117">SUBTOTAL(9,U116:U121)</f>
        <v>0</v>
      </c>
      <c r="V122" s="620">
        <f>SUBTOTAL(9,V116:V121)</f>
        <v>0</v>
      </c>
      <c r="W122" s="553">
        <f>SUBTOTAL(9,W116:W121)</f>
        <v>0</v>
      </c>
      <c r="X122" s="63" t="str">
        <f>IF(H122=W122,"OK","Error")</f>
        <v>OK</v>
      </c>
      <c r="Y122" s="288">
        <v>0</v>
      </c>
      <c r="Z122" s="288">
        <f>H122-Y122</f>
        <v>0</v>
      </c>
    </row>
    <row r="123" spans="3:26" s="63" customFormat="1" ht="12" outlineLevel="1" x14ac:dyDescent="0.2">
      <c r="C123" s="64"/>
      <c r="D123" s="293"/>
      <c r="E123" s="300"/>
      <c r="F123" s="280"/>
      <c r="G123" s="557"/>
      <c r="H123" s="549"/>
      <c r="J123" s="619"/>
      <c r="K123" s="671"/>
      <c r="L123" s="671"/>
      <c r="M123" s="671"/>
      <c r="N123" s="671"/>
      <c r="O123" s="671"/>
      <c r="P123" s="671"/>
      <c r="Q123" s="671"/>
      <c r="R123" s="671"/>
      <c r="S123" s="671"/>
      <c r="T123" s="671"/>
      <c r="U123" s="671"/>
      <c r="V123" s="671"/>
      <c r="W123" s="549"/>
      <c r="Y123" s="288"/>
      <c r="Z123" s="288"/>
    </row>
    <row r="124" spans="3:26" s="63" customFormat="1" ht="12" outlineLevel="1" x14ac:dyDescent="0.2">
      <c r="C124" s="207">
        <v>6522</v>
      </c>
      <c r="D124" s="293"/>
      <c r="E124" s="300" t="s">
        <v>25</v>
      </c>
      <c r="F124" s="280"/>
      <c r="G124" s="557"/>
      <c r="H124" s="549"/>
      <c r="J124" s="619"/>
      <c r="K124" s="671"/>
      <c r="L124" s="671"/>
      <c r="M124" s="671"/>
      <c r="N124" s="671"/>
      <c r="O124" s="671"/>
      <c r="P124" s="671"/>
      <c r="Q124" s="671"/>
      <c r="R124" s="671"/>
      <c r="S124" s="671"/>
      <c r="T124" s="671"/>
      <c r="U124" s="671"/>
      <c r="V124" s="671"/>
      <c r="W124" s="549"/>
      <c r="Y124" s="288"/>
      <c r="Z124" s="288"/>
    </row>
    <row r="125" spans="3:26" s="63" customFormat="1" ht="12" outlineLevel="1" x14ac:dyDescent="0.2">
      <c r="C125" s="64"/>
      <c r="D125" s="594" t="s">
        <v>259</v>
      </c>
      <c r="E125" s="595"/>
      <c r="F125" s="596">
        <v>0</v>
      </c>
      <c r="G125" s="612">
        <v>0</v>
      </c>
      <c r="H125" s="616">
        <f>IF(J125="NO", F125*G125,SUM(J125:V125))</f>
        <v>0</v>
      </c>
      <c r="J125" s="628" t="s">
        <v>538</v>
      </c>
      <c r="K125" s="612">
        <v>0</v>
      </c>
      <c r="L125" s="612">
        <v>0</v>
      </c>
      <c r="M125" s="612">
        <v>0</v>
      </c>
      <c r="N125" s="612">
        <v>0</v>
      </c>
      <c r="O125" s="612">
        <v>0</v>
      </c>
      <c r="P125" s="612">
        <v>0</v>
      </c>
      <c r="Q125" s="612">
        <v>0</v>
      </c>
      <c r="R125" s="612">
        <v>0</v>
      </c>
      <c r="S125" s="612">
        <v>0</v>
      </c>
      <c r="T125" s="612">
        <v>0</v>
      </c>
      <c r="U125" s="612">
        <v>0</v>
      </c>
      <c r="V125" s="612">
        <v>0</v>
      </c>
      <c r="W125" s="551">
        <f t="shared" ref="W125:W129" si="118">U125*V125</f>
        <v>0</v>
      </c>
      <c r="Y125" s="288"/>
      <c r="Z125" s="288"/>
    </row>
    <row r="126" spans="3:26" s="63" customFormat="1" ht="12" outlineLevel="1" x14ac:dyDescent="0.2">
      <c r="C126" s="64"/>
      <c r="D126" s="594" t="s">
        <v>259</v>
      </c>
      <c r="E126" s="595"/>
      <c r="F126" s="596">
        <v>0</v>
      </c>
      <c r="G126" s="612">
        <v>0</v>
      </c>
      <c r="H126" s="616">
        <f t="shared" ref="H126:H129" si="119">IF(J126="NO", F126*G126,SUM(J126:V126))</f>
        <v>0</v>
      </c>
      <c r="J126" s="628" t="s">
        <v>538</v>
      </c>
      <c r="K126" s="612">
        <v>0</v>
      </c>
      <c r="L126" s="612">
        <v>0</v>
      </c>
      <c r="M126" s="612">
        <v>0</v>
      </c>
      <c r="N126" s="612">
        <v>0</v>
      </c>
      <c r="O126" s="612">
        <v>0</v>
      </c>
      <c r="P126" s="612">
        <v>0</v>
      </c>
      <c r="Q126" s="612">
        <v>0</v>
      </c>
      <c r="R126" s="612">
        <v>0</v>
      </c>
      <c r="S126" s="612">
        <v>0</v>
      </c>
      <c r="T126" s="612">
        <v>0</v>
      </c>
      <c r="U126" s="612">
        <v>0</v>
      </c>
      <c r="V126" s="612">
        <v>0</v>
      </c>
      <c r="W126" s="551">
        <f t="shared" si="118"/>
        <v>0</v>
      </c>
      <c r="Y126" s="288"/>
      <c r="Z126" s="288"/>
    </row>
    <row r="127" spans="3:26" s="63" customFormat="1" ht="12" outlineLevel="1" x14ac:dyDescent="0.2">
      <c r="C127" s="64"/>
      <c r="D127" s="594" t="s">
        <v>259</v>
      </c>
      <c r="E127" s="595"/>
      <c r="F127" s="596">
        <v>0</v>
      </c>
      <c r="G127" s="612">
        <v>0</v>
      </c>
      <c r="H127" s="616">
        <f t="shared" si="119"/>
        <v>0</v>
      </c>
      <c r="J127" s="628" t="s">
        <v>538</v>
      </c>
      <c r="K127" s="612">
        <v>0</v>
      </c>
      <c r="L127" s="612">
        <v>0</v>
      </c>
      <c r="M127" s="612">
        <v>0</v>
      </c>
      <c r="N127" s="612">
        <v>0</v>
      </c>
      <c r="O127" s="612">
        <v>0</v>
      </c>
      <c r="P127" s="612">
        <v>0</v>
      </c>
      <c r="Q127" s="612">
        <v>0</v>
      </c>
      <c r="R127" s="612">
        <v>0</v>
      </c>
      <c r="S127" s="612">
        <v>0</v>
      </c>
      <c r="T127" s="612">
        <v>0</v>
      </c>
      <c r="U127" s="612">
        <v>0</v>
      </c>
      <c r="V127" s="612">
        <v>0</v>
      </c>
      <c r="W127" s="551">
        <f t="shared" si="118"/>
        <v>0</v>
      </c>
      <c r="Y127" s="288"/>
      <c r="Z127" s="288"/>
    </row>
    <row r="128" spans="3:26" s="63" customFormat="1" ht="12" outlineLevel="1" x14ac:dyDescent="0.2">
      <c r="C128" s="64"/>
      <c r="D128" s="594" t="s">
        <v>259</v>
      </c>
      <c r="E128" s="595"/>
      <c r="F128" s="596">
        <v>0</v>
      </c>
      <c r="G128" s="612">
        <v>0</v>
      </c>
      <c r="H128" s="616">
        <f t="shared" si="119"/>
        <v>0</v>
      </c>
      <c r="J128" s="628" t="s">
        <v>538</v>
      </c>
      <c r="K128" s="612">
        <v>0</v>
      </c>
      <c r="L128" s="612">
        <v>0</v>
      </c>
      <c r="M128" s="612">
        <v>0</v>
      </c>
      <c r="N128" s="612">
        <v>0</v>
      </c>
      <c r="O128" s="612">
        <v>0</v>
      </c>
      <c r="P128" s="612">
        <v>0</v>
      </c>
      <c r="Q128" s="612">
        <v>0</v>
      </c>
      <c r="R128" s="612">
        <v>0</v>
      </c>
      <c r="S128" s="612">
        <v>0</v>
      </c>
      <c r="T128" s="612">
        <v>0</v>
      </c>
      <c r="U128" s="612">
        <v>0</v>
      </c>
      <c r="V128" s="612">
        <v>0</v>
      </c>
      <c r="W128" s="551">
        <f t="shared" si="118"/>
        <v>0</v>
      </c>
      <c r="Y128" s="288"/>
      <c r="Z128" s="288"/>
    </row>
    <row r="129" spans="3:26" s="63" customFormat="1" ht="12" outlineLevel="1" x14ac:dyDescent="0.2">
      <c r="C129" s="64"/>
      <c r="D129" s="594" t="s">
        <v>259</v>
      </c>
      <c r="E129" s="595"/>
      <c r="F129" s="596">
        <v>0</v>
      </c>
      <c r="G129" s="612">
        <v>0</v>
      </c>
      <c r="H129" s="616">
        <f t="shared" si="119"/>
        <v>0</v>
      </c>
      <c r="J129" s="628" t="s">
        <v>538</v>
      </c>
      <c r="K129" s="612">
        <v>0</v>
      </c>
      <c r="L129" s="612">
        <v>0</v>
      </c>
      <c r="M129" s="612">
        <v>0</v>
      </c>
      <c r="N129" s="612">
        <v>0</v>
      </c>
      <c r="O129" s="612">
        <v>0</v>
      </c>
      <c r="P129" s="612">
        <v>0</v>
      </c>
      <c r="Q129" s="612">
        <v>0</v>
      </c>
      <c r="R129" s="612">
        <v>0</v>
      </c>
      <c r="S129" s="612">
        <v>0</v>
      </c>
      <c r="T129" s="612">
        <v>0</v>
      </c>
      <c r="U129" s="612">
        <v>0</v>
      </c>
      <c r="V129" s="612">
        <v>0</v>
      </c>
      <c r="W129" s="551">
        <f t="shared" si="118"/>
        <v>0</v>
      </c>
      <c r="Y129" s="288"/>
      <c r="Z129" s="288"/>
    </row>
    <row r="130" spans="3:26" s="63" customFormat="1" ht="3.6" customHeight="1" outlineLevel="1" thickBot="1" x14ac:dyDescent="0.25">
      <c r="C130" s="64"/>
      <c r="D130" s="295"/>
      <c r="E130" s="301"/>
      <c r="F130" s="282"/>
      <c r="G130" s="559"/>
      <c r="H130" s="552"/>
      <c r="J130" s="624"/>
      <c r="K130" s="617"/>
      <c r="L130" s="617"/>
      <c r="M130" s="617"/>
      <c r="N130" s="617"/>
      <c r="O130" s="617"/>
      <c r="P130" s="617"/>
      <c r="Q130" s="617"/>
      <c r="R130" s="617"/>
      <c r="S130" s="617"/>
      <c r="T130" s="617"/>
      <c r="U130" s="617"/>
      <c r="V130" s="617"/>
      <c r="W130" s="552"/>
      <c r="Y130" s="288"/>
      <c r="Z130" s="288"/>
    </row>
    <row r="131" spans="3:26" s="63" customFormat="1" ht="12.75" thickBot="1" x14ac:dyDescent="0.25">
      <c r="C131" s="64"/>
      <c r="D131" s="293"/>
      <c r="E131" s="300"/>
      <c r="F131" s="283" t="str">
        <f>E124</f>
        <v>Liability Insurance ''Errors and Omissions''</v>
      </c>
      <c r="G131" s="560">
        <f>C124</f>
        <v>6522</v>
      </c>
      <c r="H131" s="553">
        <f>SUBTOTAL(9,H125:H130)</f>
        <v>0</v>
      </c>
      <c r="J131" s="626"/>
      <c r="K131" s="620">
        <f t="shared" ref="K131" si="120">SUBTOTAL(9,K125:K130)</f>
        <v>0</v>
      </c>
      <c r="L131" s="620">
        <f t="shared" ref="L131" si="121">SUBTOTAL(9,L125:L130)</f>
        <v>0</v>
      </c>
      <c r="M131" s="620">
        <f t="shared" ref="M131" si="122">SUBTOTAL(9,M125:M130)</f>
        <v>0</v>
      </c>
      <c r="N131" s="620">
        <f t="shared" ref="N131" si="123">SUBTOTAL(9,N125:N130)</f>
        <v>0</v>
      </c>
      <c r="O131" s="620">
        <f t="shared" ref="O131" si="124">SUBTOTAL(9,O125:O130)</f>
        <v>0</v>
      </c>
      <c r="P131" s="620">
        <f t="shared" ref="P131" si="125">SUBTOTAL(9,P125:P130)</f>
        <v>0</v>
      </c>
      <c r="Q131" s="620">
        <f t="shared" ref="Q131" si="126">SUBTOTAL(9,Q125:Q130)</f>
        <v>0</v>
      </c>
      <c r="R131" s="620">
        <f t="shared" ref="R131" si="127">SUBTOTAL(9,R125:R130)</f>
        <v>0</v>
      </c>
      <c r="S131" s="620">
        <f t="shared" ref="S131" si="128">SUBTOTAL(9,S125:S130)</f>
        <v>0</v>
      </c>
      <c r="T131" s="620">
        <f t="shared" ref="T131" si="129">SUBTOTAL(9,T125:T130)</f>
        <v>0</v>
      </c>
      <c r="U131" s="620">
        <f t="shared" ref="U131" si="130">SUBTOTAL(9,U125:U130)</f>
        <v>0</v>
      </c>
      <c r="V131" s="620">
        <f>SUBTOTAL(9,V125:V130)</f>
        <v>0</v>
      </c>
      <c r="W131" s="553">
        <f>SUBTOTAL(9,W125:W130)</f>
        <v>0</v>
      </c>
      <c r="X131" s="63" t="str">
        <f>IF(H131=W131,"OK","Error")</f>
        <v>OK</v>
      </c>
      <c r="Y131" s="288">
        <v>0</v>
      </c>
      <c r="Z131" s="288">
        <f>H131-Y131</f>
        <v>0</v>
      </c>
    </row>
    <row r="132" spans="3:26" s="63" customFormat="1" ht="12" outlineLevel="1" x14ac:dyDescent="0.2">
      <c r="C132" s="64"/>
      <c r="D132" s="293"/>
      <c r="E132" s="300"/>
      <c r="F132" s="280"/>
      <c r="G132" s="557"/>
      <c r="H132" s="549"/>
      <c r="J132" s="619"/>
      <c r="K132" s="671"/>
      <c r="L132" s="671"/>
      <c r="M132" s="671"/>
      <c r="N132" s="671"/>
      <c r="O132" s="671"/>
      <c r="P132" s="671"/>
      <c r="Q132" s="671"/>
      <c r="R132" s="671"/>
      <c r="S132" s="671"/>
      <c r="T132" s="671"/>
      <c r="U132" s="671"/>
      <c r="V132" s="671"/>
      <c r="W132" s="549"/>
      <c r="Y132" s="288"/>
      <c r="Z132" s="288"/>
    </row>
    <row r="133" spans="3:26" s="63" customFormat="1" ht="12" outlineLevel="1" x14ac:dyDescent="0.2">
      <c r="C133" s="207">
        <v>6523</v>
      </c>
      <c r="D133" s="293"/>
      <c r="E133" s="300" t="s">
        <v>26</v>
      </c>
      <c r="F133" s="280"/>
      <c r="G133" s="557"/>
      <c r="H133" s="549"/>
      <c r="J133" s="619"/>
      <c r="K133" s="671"/>
      <c r="L133" s="671"/>
      <c r="M133" s="671"/>
      <c r="N133" s="671"/>
      <c r="O133" s="671"/>
      <c r="P133" s="671"/>
      <c r="Q133" s="671"/>
      <c r="R133" s="671"/>
      <c r="S133" s="671"/>
      <c r="T133" s="671"/>
      <c r="U133" s="671"/>
      <c r="V133" s="671"/>
      <c r="W133" s="549"/>
      <c r="Y133" s="288"/>
      <c r="Z133" s="288"/>
    </row>
    <row r="134" spans="3:26" s="63" customFormat="1" ht="12" outlineLevel="1" x14ac:dyDescent="0.2">
      <c r="C134" s="64"/>
      <c r="D134" s="594" t="s">
        <v>259</v>
      </c>
      <c r="E134" s="595"/>
      <c r="F134" s="596">
        <v>0</v>
      </c>
      <c r="G134" s="612">
        <v>0</v>
      </c>
      <c r="H134" s="616">
        <f>IF(J134="NO", F134*G134,SUM(J134:V134))</f>
        <v>0</v>
      </c>
      <c r="J134" s="628" t="s">
        <v>538</v>
      </c>
      <c r="K134" s="612">
        <v>0</v>
      </c>
      <c r="L134" s="612">
        <v>0</v>
      </c>
      <c r="M134" s="612">
        <v>0</v>
      </c>
      <c r="N134" s="612">
        <v>0</v>
      </c>
      <c r="O134" s="612">
        <v>0</v>
      </c>
      <c r="P134" s="612">
        <v>0</v>
      </c>
      <c r="Q134" s="612">
        <v>0</v>
      </c>
      <c r="R134" s="612">
        <v>0</v>
      </c>
      <c r="S134" s="612">
        <v>0</v>
      </c>
      <c r="T134" s="612">
        <v>0</v>
      </c>
      <c r="U134" s="612">
        <v>0</v>
      </c>
      <c r="V134" s="612">
        <v>0</v>
      </c>
      <c r="W134" s="551">
        <f t="shared" ref="W134:W138" si="131">U134*V134</f>
        <v>0</v>
      </c>
      <c r="Y134" s="288"/>
      <c r="Z134" s="288"/>
    </row>
    <row r="135" spans="3:26" s="63" customFormat="1" ht="12" outlineLevel="1" x14ac:dyDescent="0.2">
      <c r="C135" s="64"/>
      <c r="D135" s="594" t="s">
        <v>259</v>
      </c>
      <c r="E135" s="595"/>
      <c r="F135" s="596">
        <v>0</v>
      </c>
      <c r="G135" s="612">
        <v>0</v>
      </c>
      <c r="H135" s="616">
        <f t="shared" ref="H135:H138" si="132">IF(J135="NO", F135*G135,SUM(J135:V135))</f>
        <v>0</v>
      </c>
      <c r="J135" s="628" t="s">
        <v>538</v>
      </c>
      <c r="K135" s="612">
        <v>0</v>
      </c>
      <c r="L135" s="612">
        <v>0</v>
      </c>
      <c r="M135" s="612">
        <v>0</v>
      </c>
      <c r="N135" s="612">
        <v>0</v>
      </c>
      <c r="O135" s="612">
        <v>0</v>
      </c>
      <c r="P135" s="612">
        <v>0</v>
      </c>
      <c r="Q135" s="612">
        <v>0</v>
      </c>
      <c r="R135" s="612">
        <v>0</v>
      </c>
      <c r="S135" s="612">
        <v>0</v>
      </c>
      <c r="T135" s="612">
        <v>0</v>
      </c>
      <c r="U135" s="612">
        <v>0</v>
      </c>
      <c r="V135" s="612">
        <v>0</v>
      </c>
      <c r="W135" s="551">
        <f t="shared" si="131"/>
        <v>0</v>
      </c>
      <c r="Y135" s="288"/>
      <c r="Z135" s="288"/>
    </row>
    <row r="136" spans="3:26" s="63" customFormat="1" ht="12" outlineLevel="1" x14ac:dyDescent="0.2">
      <c r="C136" s="64"/>
      <c r="D136" s="594" t="s">
        <v>259</v>
      </c>
      <c r="E136" s="595"/>
      <c r="F136" s="596">
        <v>0</v>
      </c>
      <c r="G136" s="612">
        <v>0</v>
      </c>
      <c r="H136" s="616">
        <f t="shared" si="132"/>
        <v>0</v>
      </c>
      <c r="J136" s="628" t="s">
        <v>538</v>
      </c>
      <c r="K136" s="612">
        <v>0</v>
      </c>
      <c r="L136" s="612">
        <v>0</v>
      </c>
      <c r="M136" s="612">
        <v>0</v>
      </c>
      <c r="N136" s="612">
        <v>0</v>
      </c>
      <c r="O136" s="612">
        <v>0</v>
      </c>
      <c r="P136" s="612">
        <v>0</v>
      </c>
      <c r="Q136" s="612">
        <v>0</v>
      </c>
      <c r="R136" s="612">
        <v>0</v>
      </c>
      <c r="S136" s="612">
        <v>0</v>
      </c>
      <c r="T136" s="612">
        <v>0</v>
      </c>
      <c r="U136" s="612">
        <v>0</v>
      </c>
      <c r="V136" s="612">
        <v>0</v>
      </c>
      <c r="W136" s="551">
        <f t="shared" si="131"/>
        <v>0</v>
      </c>
      <c r="Y136" s="288"/>
      <c r="Z136" s="288"/>
    </row>
    <row r="137" spans="3:26" s="63" customFormat="1" ht="12" outlineLevel="1" x14ac:dyDescent="0.2">
      <c r="C137" s="64"/>
      <c r="D137" s="594" t="s">
        <v>259</v>
      </c>
      <c r="E137" s="595"/>
      <c r="F137" s="596">
        <v>0</v>
      </c>
      <c r="G137" s="612">
        <v>0</v>
      </c>
      <c r="H137" s="616">
        <f t="shared" si="132"/>
        <v>0</v>
      </c>
      <c r="J137" s="628" t="s">
        <v>538</v>
      </c>
      <c r="K137" s="612">
        <v>0</v>
      </c>
      <c r="L137" s="612">
        <v>0</v>
      </c>
      <c r="M137" s="612">
        <v>0</v>
      </c>
      <c r="N137" s="612">
        <v>0</v>
      </c>
      <c r="O137" s="612">
        <v>0</v>
      </c>
      <c r="P137" s="612">
        <v>0</v>
      </c>
      <c r="Q137" s="612">
        <v>0</v>
      </c>
      <c r="R137" s="612">
        <v>0</v>
      </c>
      <c r="S137" s="612">
        <v>0</v>
      </c>
      <c r="T137" s="612">
        <v>0</v>
      </c>
      <c r="U137" s="612">
        <v>0</v>
      </c>
      <c r="V137" s="612">
        <v>0</v>
      </c>
      <c r="W137" s="551">
        <f t="shared" si="131"/>
        <v>0</v>
      </c>
      <c r="Y137" s="288"/>
      <c r="Z137" s="288"/>
    </row>
    <row r="138" spans="3:26" s="63" customFormat="1" ht="12" outlineLevel="1" x14ac:dyDescent="0.2">
      <c r="C138" s="64"/>
      <c r="D138" s="594" t="s">
        <v>259</v>
      </c>
      <c r="E138" s="595"/>
      <c r="F138" s="596">
        <v>0</v>
      </c>
      <c r="G138" s="612">
        <v>0</v>
      </c>
      <c r="H138" s="616">
        <f t="shared" si="132"/>
        <v>0</v>
      </c>
      <c r="J138" s="628" t="s">
        <v>538</v>
      </c>
      <c r="K138" s="612">
        <v>0</v>
      </c>
      <c r="L138" s="612">
        <v>0</v>
      </c>
      <c r="M138" s="612">
        <v>0</v>
      </c>
      <c r="N138" s="612">
        <v>0</v>
      </c>
      <c r="O138" s="612">
        <v>0</v>
      </c>
      <c r="P138" s="612">
        <v>0</v>
      </c>
      <c r="Q138" s="612">
        <v>0</v>
      </c>
      <c r="R138" s="612">
        <v>0</v>
      </c>
      <c r="S138" s="612">
        <v>0</v>
      </c>
      <c r="T138" s="612">
        <v>0</v>
      </c>
      <c r="U138" s="612">
        <v>0</v>
      </c>
      <c r="V138" s="612">
        <v>0</v>
      </c>
      <c r="W138" s="551">
        <f t="shared" si="131"/>
        <v>0</v>
      </c>
      <c r="Y138" s="288"/>
      <c r="Z138" s="288"/>
    </row>
    <row r="139" spans="3:26" s="63" customFormat="1" ht="3.6" customHeight="1" outlineLevel="1" thickBot="1" x14ac:dyDescent="0.25">
      <c r="C139" s="64"/>
      <c r="D139" s="295"/>
      <c r="E139" s="301"/>
      <c r="F139" s="282"/>
      <c r="G139" s="559"/>
      <c r="H139" s="552"/>
      <c r="J139" s="624"/>
      <c r="K139" s="617"/>
      <c r="L139" s="617"/>
      <c r="M139" s="617"/>
      <c r="N139" s="617"/>
      <c r="O139" s="617"/>
      <c r="P139" s="617"/>
      <c r="Q139" s="617"/>
      <c r="R139" s="617"/>
      <c r="S139" s="617"/>
      <c r="T139" s="617"/>
      <c r="U139" s="617"/>
      <c r="V139" s="617"/>
      <c r="W139" s="552"/>
      <c r="Y139" s="288"/>
      <c r="Z139" s="288"/>
    </row>
    <row r="140" spans="3:26" s="63" customFormat="1" ht="12.75" thickBot="1" x14ac:dyDescent="0.25">
      <c r="C140" s="64"/>
      <c r="D140" s="293"/>
      <c r="E140" s="300"/>
      <c r="F140" s="283" t="str">
        <f>E133</f>
        <v>Fidelity / Other Insurance ''Umbrella''</v>
      </c>
      <c r="G140" s="560">
        <f>C133</f>
        <v>6523</v>
      </c>
      <c r="H140" s="553">
        <f>SUBTOTAL(9,H134:H139)</f>
        <v>0</v>
      </c>
      <c r="J140" s="626"/>
      <c r="K140" s="620">
        <f t="shared" ref="K140" si="133">SUBTOTAL(9,K134:K139)</f>
        <v>0</v>
      </c>
      <c r="L140" s="620">
        <f t="shared" ref="L140" si="134">SUBTOTAL(9,L134:L139)</f>
        <v>0</v>
      </c>
      <c r="M140" s="620">
        <f t="shared" ref="M140" si="135">SUBTOTAL(9,M134:M139)</f>
        <v>0</v>
      </c>
      <c r="N140" s="620">
        <f t="shared" ref="N140" si="136">SUBTOTAL(9,N134:N139)</f>
        <v>0</v>
      </c>
      <c r="O140" s="620">
        <f t="shared" ref="O140" si="137">SUBTOTAL(9,O134:O139)</f>
        <v>0</v>
      </c>
      <c r="P140" s="620">
        <f t="shared" ref="P140" si="138">SUBTOTAL(9,P134:P139)</f>
        <v>0</v>
      </c>
      <c r="Q140" s="620">
        <f t="shared" ref="Q140" si="139">SUBTOTAL(9,Q134:Q139)</f>
        <v>0</v>
      </c>
      <c r="R140" s="620">
        <f t="shared" ref="R140" si="140">SUBTOTAL(9,R134:R139)</f>
        <v>0</v>
      </c>
      <c r="S140" s="620">
        <f t="shared" ref="S140" si="141">SUBTOTAL(9,S134:S139)</f>
        <v>0</v>
      </c>
      <c r="T140" s="620">
        <f t="shared" ref="T140" si="142">SUBTOTAL(9,T134:T139)</f>
        <v>0</v>
      </c>
      <c r="U140" s="620">
        <f t="shared" ref="U140" si="143">SUBTOTAL(9,U134:U139)</f>
        <v>0</v>
      </c>
      <c r="V140" s="620">
        <f>SUBTOTAL(9,V134:V139)</f>
        <v>0</v>
      </c>
      <c r="W140" s="553">
        <f>SUBTOTAL(9,W134:W139)</f>
        <v>0</v>
      </c>
      <c r="X140" s="63" t="str">
        <f>IF(H140=W140,"OK","Error")</f>
        <v>OK</v>
      </c>
      <c r="Y140" s="288">
        <v>0</v>
      </c>
      <c r="Z140" s="288">
        <f>H140-Y140</f>
        <v>0</v>
      </c>
    </row>
    <row r="141" spans="3:26" s="63" customFormat="1" ht="12" outlineLevel="1" x14ac:dyDescent="0.2">
      <c r="C141" s="64"/>
      <c r="D141" s="293"/>
      <c r="E141" s="300"/>
      <c r="F141" s="280"/>
      <c r="G141" s="557"/>
      <c r="H141" s="549"/>
      <c r="J141" s="619"/>
      <c r="K141" s="671"/>
      <c r="L141" s="671"/>
      <c r="M141" s="671"/>
      <c r="N141" s="671"/>
      <c r="O141" s="671"/>
      <c r="P141" s="671"/>
      <c r="Q141" s="671"/>
      <c r="R141" s="671"/>
      <c r="S141" s="671"/>
      <c r="T141" s="671"/>
      <c r="U141" s="671"/>
      <c r="V141" s="671"/>
      <c r="W141" s="549"/>
      <c r="Y141" s="288"/>
      <c r="Z141" s="288"/>
    </row>
    <row r="142" spans="3:26" s="63" customFormat="1" ht="12" outlineLevel="1" x14ac:dyDescent="0.2">
      <c r="C142" s="207">
        <v>6531</v>
      </c>
      <c r="D142" s="293"/>
      <c r="E142" s="300" t="s">
        <v>328</v>
      </c>
      <c r="F142" s="280"/>
      <c r="G142" s="557"/>
      <c r="H142" s="549"/>
      <c r="J142" s="619"/>
      <c r="K142" s="671"/>
      <c r="L142" s="671"/>
      <c r="M142" s="671"/>
      <c r="N142" s="671"/>
      <c r="O142" s="671"/>
      <c r="P142" s="671"/>
      <c r="Q142" s="671"/>
      <c r="R142" s="671"/>
      <c r="S142" s="671"/>
      <c r="T142" s="671"/>
      <c r="U142" s="671"/>
      <c r="V142" s="671"/>
      <c r="W142" s="549"/>
      <c r="Y142" s="288"/>
      <c r="Z142" s="288"/>
    </row>
    <row r="143" spans="3:26" s="63" customFormat="1" ht="12" outlineLevel="1" x14ac:dyDescent="0.2">
      <c r="C143" s="64"/>
      <c r="D143" s="562" t="s">
        <v>269</v>
      </c>
      <c r="E143" s="563" t="s">
        <v>344</v>
      </c>
      <c r="F143" s="564">
        <v>0</v>
      </c>
      <c r="G143" s="610">
        <v>0</v>
      </c>
      <c r="H143" s="616">
        <f t="shared" ref="H143" si="144">IF(J143="NO", F143*G143,SUM(J143:V143))</f>
        <v>0</v>
      </c>
      <c r="J143" s="623" t="s">
        <v>538</v>
      </c>
      <c r="K143" s="610">
        <f>$F143*$G143/12</f>
        <v>0</v>
      </c>
      <c r="L143" s="610">
        <f t="shared" ref="L143:V143" si="145">$F143*$G143/12</f>
        <v>0</v>
      </c>
      <c r="M143" s="610">
        <f t="shared" si="145"/>
        <v>0</v>
      </c>
      <c r="N143" s="610">
        <f t="shared" si="145"/>
        <v>0</v>
      </c>
      <c r="O143" s="610">
        <f t="shared" si="145"/>
        <v>0</v>
      </c>
      <c r="P143" s="610">
        <f t="shared" si="145"/>
        <v>0</v>
      </c>
      <c r="Q143" s="610">
        <f t="shared" si="145"/>
        <v>0</v>
      </c>
      <c r="R143" s="610">
        <f t="shared" si="145"/>
        <v>0</v>
      </c>
      <c r="S143" s="610">
        <f t="shared" si="145"/>
        <v>0</v>
      </c>
      <c r="T143" s="610">
        <f t="shared" si="145"/>
        <v>0</v>
      </c>
      <c r="U143" s="610">
        <f t="shared" si="145"/>
        <v>0</v>
      </c>
      <c r="V143" s="610">
        <f t="shared" si="145"/>
        <v>0</v>
      </c>
      <c r="W143" s="616">
        <f t="shared" ref="W143" si="146">SUM(K143:V143)</f>
        <v>0</v>
      </c>
      <c r="Y143" s="288"/>
      <c r="Z143" s="288"/>
    </row>
    <row r="144" spans="3:26" s="63" customFormat="1" ht="12" outlineLevel="1" x14ac:dyDescent="0.2">
      <c r="C144" s="64"/>
      <c r="D144" s="562" t="s">
        <v>259</v>
      </c>
      <c r="E144" s="563" t="s">
        <v>519</v>
      </c>
      <c r="F144" s="564">
        <v>0</v>
      </c>
      <c r="G144" s="610">
        <v>0</v>
      </c>
      <c r="H144" s="616">
        <f>IF(J144="NO", F144*G144,SUM(J144:V144))</f>
        <v>0</v>
      </c>
      <c r="J144" s="623" t="s">
        <v>538</v>
      </c>
      <c r="K144" s="610">
        <f t="shared" ref="K144:V145" si="147">$F144*$G144/12</f>
        <v>0</v>
      </c>
      <c r="L144" s="610">
        <f t="shared" si="147"/>
        <v>0</v>
      </c>
      <c r="M144" s="610">
        <f t="shared" si="147"/>
        <v>0</v>
      </c>
      <c r="N144" s="610">
        <f t="shared" si="147"/>
        <v>0</v>
      </c>
      <c r="O144" s="610">
        <f t="shared" si="147"/>
        <v>0</v>
      </c>
      <c r="P144" s="610">
        <f t="shared" si="147"/>
        <v>0</v>
      </c>
      <c r="Q144" s="610">
        <f t="shared" si="147"/>
        <v>0</v>
      </c>
      <c r="R144" s="610">
        <f t="shared" si="147"/>
        <v>0</v>
      </c>
      <c r="S144" s="610">
        <f t="shared" si="147"/>
        <v>0</v>
      </c>
      <c r="T144" s="610">
        <f t="shared" si="147"/>
        <v>0</v>
      </c>
      <c r="U144" s="610">
        <f t="shared" si="147"/>
        <v>0</v>
      </c>
      <c r="V144" s="610">
        <f t="shared" si="147"/>
        <v>0</v>
      </c>
      <c r="W144" s="616">
        <f>SUM(K144:V144)</f>
        <v>0</v>
      </c>
      <c r="Y144" s="288"/>
      <c r="Z144" s="288"/>
    </row>
    <row r="145" spans="3:26" s="63" customFormat="1" ht="12" outlineLevel="1" x14ac:dyDescent="0.2">
      <c r="C145" s="64"/>
      <c r="D145" s="562" t="s">
        <v>259</v>
      </c>
      <c r="E145" s="563"/>
      <c r="F145" s="564">
        <v>0</v>
      </c>
      <c r="G145" s="610">
        <v>0</v>
      </c>
      <c r="H145" s="616">
        <f t="shared" ref="H145" si="148">IF(J145="NO", F145*G145,SUM(J145:V145))</f>
        <v>0</v>
      </c>
      <c r="J145" s="623" t="s">
        <v>538</v>
      </c>
      <c r="K145" s="610">
        <f t="shared" si="147"/>
        <v>0</v>
      </c>
      <c r="L145" s="610">
        <f t="shared" si="147"/>
        <v>0</v>
      </c>
      <c r="M145" s="610">
        <f t="shared" si="147"/>
        <v>0</v>
      </c>
      <c r="N145" s="610">
        <f t="shared" si="147"/>
        <v>0</v>
      </c>
      <c r="O145" s="610">
        <f t="shared" si="147"/>
        <v>0</v>
      </c>
      <c r="P145" s="610">
        <f t="shared" si="147"/>
        <v>0</v>
      </c>
      <c r="Q145" s="610">
        <f t="shared" si="147"/>
        <v>0</v>
      </c>
      <c r="R145" s="610">
        <f t="shared" si="147"/>
        <v>0</v>
      </c>
      <c r="S145" s="610">
        <f t="shared" si="147"/>
        <v>0</v>
      </c>
      <c r="T145" s="610">
        <f t="shared" si="147"/>
        <v>0</v>
      </c>
      <c r="U145" s="610">
        <f t="shared" si="147"/>
        <v>0</v>
      </c>
      <c r="V145" s="610">
        <f t="shared" si="147"/>
        <v>0</v>
      </c>
      <c r="W145" s="616">
        <f t="shared" ref="W145" si="149">SUM(K145:V145)</f>
        <v>0</v>
      </c>
      <c r="Y145" s="288"/>
      <c r="Z145" s="288"/>
    </row>
    <row r="146" spans="3:26" s="63" customFormat="1" ht="3.6" customHeight="1" outlineLevel="1" thickBot="1" x14ac:dyDescent="0.25">
      <c r="C146" s="64"/>
      <c r="D146" s="295"/>
      <c r="E146" s="301"/>
      <c r="F146" s="282"/>
      <c r="G146" s="559"/>
      <c r="H146" s="552"/>
      <c r="J146" s="624"/>
      <c r="K146" s="617"/>
      <c r="L146" s="617"/>
      <c r="M146" s="617"/>
      <c r="N146" s="617"/>
      <c r="O146" s="617"/>
      <c r="P146" s="617"/>
      <c r="Q146" s="617"/>
      <c r="R146" s="617"/>
      <c r="S146" s="617"/>
      <c r="T146" s="617"/>
      <c r="U146" s="617"/>
      <c r="V146" s="617"/>
      <c r="W146" s="552"/>
      <c r="Y146" s="288"/>
      <c r="Z146" s="288"/>
    </row>
    <row r="147" spans="3:26" s="63" customFormat="1" ht="12.75" thickBot="1" x14ac:dyDescent="0.25">
      <c r="C147" s="64"/>
      <c r="D147" s="293"/>
      <c r="E147" s="300"/>
      <c r="F147" s="283" t="str">
        <f>E142</f>
        <v>Postage and Stamps</v>
      </c>
      <c r="G147" s="560">
        <f>C142</f>
        <v>6531</v>
      </c>
      <c r="H147" s="553">
        <f>SUBTOTAL(9,H143:H146)</f>
        <v>0</v>
      </c>
      <c r="J147" s="626"/>
      <c r="K147" s="620">
        <f>SUBTOTAL(9,K143:K146)</f>
        <v>0</v>
      </c>
      <c r="L147" s="620">
        <f t="shared" ref="L147" si="150">SUBTOTAL(9,L143:L146)</f>
        <v>0</v>
      </c>
      <c r="M147" s="620">
        <f t="shared" ref="M147" si="151">SUBTOTAL(9,M143:M146)</f>
        <v>0</v>
      </c>
      <c r="N147" s="620">
        <f t="shared" ref="N147" si="152">SUBTOTAL(9,N143:N146)</f>
        <v>0</v>
      </c>
      <c r="O147" s="620">
        <f t="shared" ref="O147" si="153">SUBTOTAL(9,O143:O146)</f>
        <v>0</v>
      </c>
      <c r="P147" s="620">
        <f t="shared" ref="P147" si="154">SUBTOTAL(9,P143:P146)</f>
        <v>0</v>
      </c>
      <c r="Q147" s="620">
        <f t="shared" ref="Q147" si="155">SUBTOTAL(9,Q143:Q146)</f>
        <v>0</v>
      </c>
      <c r="R147" s="620">
        <f t="shared" ref="R147" si="156">SUBTOTAL(9,R143:R146)</f>
        <v>0</v>
      </c>
      <c r="S147" s="620">
        <f t="shared" ref="S147" si="157">SUBTOTAL(9,S143:S146)</f>
        <v>0</v>
      </c>
      <c r="T147" s="620">
        <f t="shared" ref="T147" si="158">SUBTOTAL(9,T143:T146)</f>
        <v>0</v>
      </c>
      <c r="U147" s="620">
        <f t="shared" ref="U147" si="159">SUBTOTAL(9,U143:U146)</f>
        <v>0</v>
      </c>
      <c r="V147" s="620">
        <f t="shared" ref="V147" si="160">SUBTOTAL(9,V143:V146)</f>
        <v>0</v>
      </c>
      <c r="W147" s="553">
        <f>SUBTOTAL(9,W143:W146)</f>
        <v>0</v>
      </c>
      <c r="X147" s="63" t="str">
        <f>IF(H147=W147,"OK","Error")</f>
        <v>OK</v>
      </c>
      <c r="Y147" s="288">
        <v>0</v>
      </c>
      <c r="Z147" s="288">
        <f>H147-Y147</f>
        <v>0</v>
      </c>
    </row>
    <row r="148" spans="3:26" s="63" customFormat="1" ht="12" outlineLevel="1" x14ac:dyDescent="0.2">
      <c r="C148" s="64"/>
      <c r="D148" s="293"/>
      <c r="E148" s="300"/>
      <c r="F148" s="280"/>
      <c r="G148" s="557"/>
      <c r="H148" s="549"/>
      <c r="J148" s="619"/>
      <c r="K148" s="671"/>
      <c r="L148" s="671"/>
      <c r="M148" s="671"/>
      <c r="N148" s="671"/>
      <c r="O148" s="671"/>
      <c r="P148" s="671"/>
      <c r="Q148" s="671"/>
      <c r="R148" s="671"/>
      <c r="S148" s="671"/>
      <c r="T148" s="671"/>
      <c r="U148" s="671"/>
      <c r="V148" s="671"/>
      <c r="W148" s="549"/>
      <c r="Y148" s="288"/>
      <c r="Z148" s="288"/>
    </row>
    <row r="149" spans="3:26" s="63" customFormat="1" ht="12" outlineLevel="1" x14ac:dyDescent="0.2">
      <c r="C149" s="207">
        <v>6534</v>
      </c>
      <c r="D149" s="293"/>
      <c r="E149" s="300" t="s">
        <v>28</v>
      </c>
      <c r="F149" s="280"/>
      <c r="G149" s="557"/>
      <c r="H149" s="549"/>
      <c r="J149" s="619"/>
      <c r="K149" s="671"/>
      <c r="L149" s="671"/>
      <c r="M149" s="671"/>
      <c r="N149" s="671"/>
      <c r="O149" s="671"/>
      <c r="P149" s="671"/>
      <c r="Q149" s="671"/>
      <c r="R149" s="671"/>
      <c r="S149" s="671"/>
      <c r="T149" s="671"/>
      <c r="U149" s="671"/>
      <c r="V149" s="671"/>
      <c r="W149" s="549"/>
      <c r="Y149" s="288"/>
      <c r="Z149" s="288"/>
    </row>
    <row r="150" spans="3:26" s="63" customFormat="1" ht="12" outlineLevel="1" x14ac:dyDescent="0.2">
      <c r="C150" s="64"/>
      <c r="D150" s="562" t="s">
        <v>259</v>
      </c>
      <c r="E150" s="563" t="s">
        <v>519</v>
      </c>
      <c r="F150" s="564">
        <v>0</v>
      </c>
      <c r="G150" s="610">
        <v>0</v>
      </c>
      <c r="H150" s="616">
        <f t="shared" ref="H150" si="161">IF(J150="NO", F150*G150,SUM(J150:V150))</f>
        <v>0</v>
      </c>
      <c r="J150" s="623" t="s">
        <v>538</v>
      </c>
      <c r="K150" s="610">
        <f t="shared" ref="K150:V151" si="162">$F150*$G150/12</f>
        <v>0</v>
      </c>
      <c r="L150" s="610">
        <f t="shared" si="162"/>
        <v>0</v>
      </c>
      <c r="M150" s="610">
        <f t="shared" si="162"/>
        <v>0</v>
      </c>
      <c r="N150" s="610">
        <f t="shared" si="162"/>
        <v>0</v>
      </c>
      <c r="O150" s="610">
        <f t="shared" si="162"/>
        <v>0</v>
      </c>
      <c r="P150" s="610">
        <f t="shared" si="162"/>
        <v>0</v>
      </c>
      <c r="Q150" s="610">
        <f t="shared" si="162"/>
        <v>0</v>
      </c>
      <c r="R150" s="610">
        <f t="shared" si="162"/>
        <v>0</v>
      </c>
      <c r="S150" s="610">
        <f t="shared" si="162"/>
        <v>0</v>
      </c>
      <c r="T150" s="610">
        <f t="shared" si="162"/>
        <v>0</v>
      </c>
      <c r="U150" s="610">
        <f t="shared" si="162"/>
        <v>0</v>
      </c>
      <c r="V150" s="610">
        <f t="shared" si="162"/>
        <v>0</v>
      </c>
      <c r="W150" s="616">
        <f>SUM(K150:V150)</f>
        <v>0</v>
      </c>
      <c r="Y150" s="288"/>
      <c r="Z150" s="288"/>
    </row>
    <row r="151" spans="3:26" s="63" customFormat="1" ht="12" outlineLevel="1" x14ac:dyDescent="0.2">
      <c r="C151" s="64"/>
      <c r="D151" s="562" t="s">
        <v>259</v>
      </c>
      <c r="E151" s="563"/>
      <c r="F151" s="564">
        <v>0</v>
      </c>
      <c r="G151" s="610">
        <v>0</v>
      </c>
      <c r="H151" s="616">
        <f t="shared" ref="H151" si="163">IF(J151="NO", F151*G151,SUM(J151:V151))</f>
        <v>0</v>
      </c>
      <c r="J151" s="623" t="s">
        <v>538</v>
      </c>
      <c r="K151" s="610">
        <f t="shared" si="162"/>
        <v>0</v>
      </c>
      <c r="L151" s="610">
        <f t="shared" si="162"/>
        <v>0</v>
      </c>
      <c r="M151" s="610">
        <f t="shared" si="162"/>
        <v>0</v>
      </c>
      <c r="N151" s="610">
        <f t="shared" si="162"/>
        <v>0</v>
      </c>
      <c r="O151" s="610">
        <f t="shared" si="162"/>
        <v>0</v>
      </c>
      <c r="P151" s="610">
        <f t="shared" si="162"/>
        <v>0</v>
      </c>
      <c r="Q151" s="610">
        <f t="shared" si="162"/>
        <v>0</v>
      </c>
      <c r="R151" s="610">
        <f t="shared" si="162"/>
        <v>0</v>
      </c>
      <c r="S151" s="610">
        <f t="shared" si="162"/>
        <v>0</v>
      </c>
      <c r="T151" s="610">
        <f t="shared" si="162"/>
        <v>0</v>
      </c>
      <c r="U151" s="610">
        <f t="shared" si="162"/>
        <v>0</v>
      </c>
      <c r="V151" s="610">
        <f t="shared" si="162"/>
        <v>0</v>
      </c>
      <c r="W151" s="616">
        <f t="shared" ref="W151" si="164">SUM(K151:V151)</f>
        <v>0</v>
      </c>
      <c r="Y151" s="288"/>
      <c r="Z151" s="288"/>
    </row>
    <row r="152" spans="3:26" s="63" customFormat="1" ht="3.6" customHeight="1" outlineLevel="1" thickBot="1" x14ac:dyDescent="0.25">
      <c r="C152" s="64"/>
      <c r="D152" s="295"/>
      <c r="E152" s="301"/>
      <c r="F152" s="282"/>
      <c r="G152" s="559"/>
      <c r="H152" s="552"/>
      <c r="J152" s="624"/>
      <c r="K152" s="617"/>
      <c r="L152" s="617"/>
      <c r="M152" s="617"/>
      <c r="N152" s="617"/>
      <c r="O152" s="617"/>
      <c r="P152" s="617"/>
      <c r="Q152" s="617"/>
      <c r="R152" s="617"/>
      <c r="S152" s="617"/>
      <c r="T152" s="617"/>
      <c r="U152" s="617"/>
      <c r="V152" s="617"/>
      <c r="W152" s="552"/>
      <c r="Y152" s="288"/>
      <c r="Z152" s="288"/>
    </row>
    <row r="153" spans="3:26" s="63" customFormat="1" ht="12.75" thickBot="1" x14ac:dyDescent="0.25">
      <c r="C153" s="64"/>
      <c r="D153" s="293"/>
      <c r="E153" s="300"/>
      <c r="F153" s="283" t="str">
        <f>E149</f>
        <v>Telephone - Cell phone services</v>
      </c>
      <c r="G153" s="560">
        <f>C149</f>
        <v>6534</v>
      </c>
      <c r="H153" s="553">
        <f>SUBTOTAL(9,H150:H152)</f>
        <v>0</v>
      </c>
      <c r="J153" s="626"/>
      <c r="K153" s="620">
        <f>SUBTOTAL(9,K150:K152)</f>
        <v>0</v>
      </c>
      <c r="L153" s="620">
        <f t="shared" ref="L153:V153" si="165">SUBTOTAL(9,L150:L152)</f>
        <v>0</v>
      </c>
      <c r="M153" s="620">
        <f t="shared" si="165"/>
        <v>0</v>
      </c>
      <c r="N153" s="620">
        <f t="shared" si="165"/>
        <v>0</v>
      </c>
      <c r="O153" s="620">
        <f t="shared" si="165"/>
        <v>0</v>
      </c>
      <c r="P153" s="620">
        <f t="shared" si="165"/>
        <v>0</v>
      </c>
      <c r="Q153" s="620">
        <f t="shared" si="165"/>
        <v>0</v>
      </c>
      <c r="R153" s="620">
        <f t="shared" si="165"/>
        <v>0</v>
      </c>
      <c r="S153" s="620">
        <f t="shared" si="165"/>
        <v>0</v>
      </c>
      <c r="T153" s="620">
        <f t="shared" si="165"/>
        <v>0</v>
      </c>
      <c r="U153" s="620">
        <f t="shared" si="165"/>
        <v>0</v>
      </c>
      <c r="V153" s="620">
        <f t="shared" si="165"/>
        <v>0</v>
      </c>
      <c r="W153" s="553">
        <f>SUBTOTAL(9,W150:W152)</f>
        <v>0</v>
      </c>
      <c r="X153" s="63" t="str">
        <f>IF(H153=W153,"OK","Error")</f>
        <v>OK</v>
      </c>
      <c r="Y153" s="288">
        <v>0</v>
      </c>
      <c r="Z153" s="288">
        <f>H153-Y153</f>
        <v>0</v>
      </c>
    </row>
    <row r="154" spans="3:26" s="63" customFormat="1" ht="12" outlineLevel="1" x14ac:dyDescent="0.2">
      <c r="C154" s="64"/>
      <c r="D154" s="293"/>
      <c r="E154" s="300"/>
      <c r="F154" s="280"/>
      <c r="G154" s="557"/>
      <c r="H154" s="549"/>
      <c r="J154" s="619"/>
      <c r="K154" s="671"/>
      <c r="L154" s="671"/>
      <c r="M154" s="671"/>
      <c r="N154" s="671"/>
      <c r="O154" s="671"/>
      <c r="P154" s="671"/>
      <c r="Q154" s="671"/>
      <c r="R154" s="671"/>
      <c r="S154" s="671"/>
      <c r="T154" s="671"/>
      <c r="U154" s="671"/>
      <c r="V154" s="671"/>
      <c r="W154" s="549"/>
      <c r="Y154" s="288"/>
      <c r="Z154" s="288"/>
    </row>
    <row r="155" spans="3:26" s="63" customFormat="1" ht="12" outlineLevel="1" x14ac:dyDescent="0.2">
      <c r="C155" s="207">
        <v>6535</v>
      </c>
      <c r="D155" s="293"/>
      <c r="E155" s="300" t="s">
        <v>29</v>
      </c>
      <c r="F155" s="280"/>
      <c r="G155" s="557"/>
      <c r="H155" s="549"/>
      <c r="J155" s="619"/>
      <c r="K155" s="671"/>
      <c r="L155" s="671"/>
      <c r="M155" s="671"/>
      <c r="N155" s="671"/>
      <c r="O155" s="671"/>
      <c r="P155" s="671"/>
      <c r="Q155" s="671"/>
      <c r="R155" s="671"/>
      <c r="S155" s="671"/>
      <c r="T155" s="671"/>
      <c r="U155" s="671"/>
      <c r="V155" s="671"/>
      <c r="W155" s="549"/>
      <c r="Y155" s="288"/>
      <c r="Z155" s="288"/>
    </row>
    <row r="156" spans="3:26" s="63" customFormat="1" ht="12" outlineLevel="1" x14ac:dyDescent="0.2">
      <c r="C156" s="64"/>
      <c r="D156" s="565" t="s">
        <v>269</v>
      </c>
      <c r="E156" s="566" t="s">
        <v>553</v>
      </c>
      <c r="F156" s="574">
        <v>12</v>
      </c>
      <c r="G156" s="611">
        <v>302</v>
      </c>
      <c r="H156" s="616">
        <f t="shared" ref="H156" si="166">IF(J156="NO", F156*G156,SUM(J156:V156))</f>
        <v>3624</v>
      </c>
      <c r="J156" s="627" t="s">
        <v>538</v>
      </c>
      <c r="K156" s="611">
        <f t="shared" ref="K156:V157" si="167">$F156*$G156/12</f>
        <v>302</v>
      </c>
      <c r="L156" s="611">
        <f t="shared" si="167"/>
        <v>302</v>
      </c>
      <c r="M156" s="611">
        <f t="shared" si="167"/>
        <v>302</v>
      </c>
      <c r="N156" s="611">
        <f t="shared" si="167"/>
        <v>302</v>
      </c>
      <c r="O156" s="611">
        <f t="shared" si="167"/>
        <v>302</v>
      </c>
      <c r="P156" s="611">
        <f t="shared" si="167"/>
        <v>302</v>
      </c>
      <c r="Q156" s="611">
        <f t="shared" si="167"/>
        <v>302</v>
      </c>
      <c r="R156" s="611">
        <f t="shared" si="167"/>
        <v>302</v>
      </c>
      <c r="S156" s="611">
        <f t="shared" si="167"/>
        <v>302</v>
      </c>
      <c r="T156" s="611">
        <f t="shared" si="167"/>
        <v>302</v>
      </c>
      <c r="U156" s="611">
        <f t="shared" si="167"/>
        <v>302</v>
      </c>
      <c r="V156" s="611">
        <f t="shared" si="167"/>
        <v>302</v>
      </c>
      <c r="W156" s="616">
        <f t="shared" ref="W156" si="168">SUM(K156:V156)</f>
        <v>3624</v>
      </c>
      <c r="Y156" s="288"/>
      <c r="Z156" s="288"/>
    </row>
    <row r="157" spans="3:26" s="63" customFormat="1" ht="12" outlineLevel="1" x14ac:dyDescent="0.2">
      <c r="C157" s="64"/>
      <c r="D157" s="562" t="s">
        <v>259</v>
      </c>
      <c r="E157" s="563"/>
      <c r="F157" s="564">
        <v>0</v>
      </c>
      <c r="G157" s="610">
        <v>0</v>
      </c>
      <c r="H157" s="616">
        <f t="shared" ref="H157" si="169">IF(J157="NO", F157*G157,SUM(J157:V157))</f>
        <v>0</v>
      </c>
      <c r="J157" s="623" t="s">
        <v>538</v>
      </c>
      <c r="K157" s="610">
        <f t="shared" si="167"/>
        <v>0</v>
      </c>
      <c r="L157" s="610">
        <f t="shared" si="167"/>
        <v>0</v>
      </c>
      <c r="M157" s="610">
        <f t="shared" si="167"/>
        <v>0</v>
      </c>
      <c r="N157" s="610">
        <f t="shared" si="167"/>
        <v>0</v>
      </c>
      <c r="O157" s="610">
        <f t="shared" si="167"/>
        <v>0</v>
      </c>
      <c r="P157" s="610">
        <f t="shared" si="167"/>
        <v>0</v>
      </c>
      <c r="Q157" s="610">
        <f t="shared" si="167"/>
        <v>0</v>
      </c>
      <c r="R157" s="610">
        <f t="shared" si="167"/>
        <v>0</v>
      </c>
      <c r="S157" s="610">
        <f t="shared" si="167"/>
        <v>0</v>
      </c>
      <c r="T157" s="610">
        <f t="shared" si="167"/>
        <v>0</v>
      </c>
      <c r="U157" s="610">
        <f t="shared" si="167"/>
        <v>0</v>
      </c>
      <c r="V157" s="610">
        <f t="shared" si="167"/>
        <v>0</v>
      </c>
      <c r="W157" s="616">
        <f t="shared" ref="W157" si="170">SUM(K157:V157)</f>
        <v>0</v>
      </c>
      <c r="Y157" s="288"/>
      <c r="Z157" s="288"/>
    </row>
    <row r="158" spans="3:26" s="63" customFormat="1" ht="3.6" customHeight="1" outlineLevel="1" thickBot="1" x14ac:dyDescent="0.25">
      <c r="C158" s="64"/>
      <c r="D158" s="295"/>
      <c r="E158" s="301"/>
      <c r="F158" s="282"/>
      <c r="G158" s="559"/>
      <c r="H158" s="552"/>
      <c r="J158" s="624"/>
      <c r="K158" s="617"/>
      <c r="L158" s="617"/>
      <c r="M158" s="617"/>
      <c r="N158" s="617"/>
      <c r="O158" s="617"/>
      <c r="P158" s="617"/>
      <c r="Q158" s="617"/>
      <c r="R158" s="617"/>
      <c r="S158" s="617"/>
      <c r="T158" s="617"/>
      <c r="U158" s="617"/>
      <c r="V158" s="617"/>
      <c r="W158" s="552"/>
      <c r="Y158" s="288"/>
      <c r="Z158" s="288"/>
    </row>
    <row r="159" spans="3:26" s="63" customFormat="1" ht="12.75" thickBot="1" x14ac:dyDescent="0.25">
      <c r="C159" s="64"/>
      <c r="D159" s="293"/>
      <c r="E159" s="300"/>
      <c r="F159" s="283" t="str">
        <f>E155</f>
        <v>Data Communications, Internet, Video, T-lines, etc</v>
      </c>
      <c r="G159" s="560">
        <f>C155</f>
        <v>6535</v>
      </c>
      <c r="H159" s="553">
        <f>SUBTOTAL(9,H156:H158)</f>
        <v>3624</v>
      </c>
      <c r="J159" s="626"/>
      <c r="K159" s="620">
        <f>SUBTOTAL(9,K156:K158)</f>
        <v>302</v>
      </c>
      <c r="L159" s="620">
        <f t="shared" ref="L159" si="171">SUBTOTAL(9,L156:L158)</f>
        <v>302</v>
      </c>
      <c r="M159" s="620">
        <f t="shared" ref="M159" si="172">SUBTOTAL(9,M156:M158)</f>
        <v>302</v>
      </c>
      <c r="N159" s="620">
        <f t="shared" ref="N159" si="173">SUBTOTAL(9,N156:N158)</f>
        <v>302</v>
      </c>
      <c r="O159" s="620">
        <f t="shared" ref="O159" si="174">SUBTOTAL(9,O156:O158)</f>
        <v>302</v>
      </c>
      <c r="P159" s="620">
        <f t="shared" ref="P159" si="175">SUBTOTAL(9,P156:P158)</f>
        <v>302</v>
      </c>
      <c r="Q159" s="620">
        <f t="shared" ref="Q159" si="176">SUBTOTAL(9,Q156:Q158)</f>
        <v>302</v>
      </c>
      <c r="R159" s="620">
        <f t="shared" ref="R159" si="177">SUBTOTAL(9,R156:R158)</f>
        <v>302</v>
      </c>
      <c r="S159" s="620">
        <f t="shared" ref="S159" si="178">SUBTOTAL(9,S156:S158)</f>
        <v>302</v>
      </c>
      <c r="T159" s="620">
        <f t="shared" ref="T159" si="179">SUBTOTAL(9,T156:T158)</f>
        <v>302</v>
      </c>
      <c r="U159" s="620">
        <f t="shared" ref="U159" si="180">SUBTOTAL(9,U156:U158)</f>
        <v>302</v>
      </c>
      <c r="V159" s="620">
        <f t="shared" ref="V159" si="181">SUBTOTAL(9,V156:V158)</f>
        <v>302</v>
      </c>
      <c r="W159" s="553">
        <f>SUBTOTAL(9,W156:W158)</f>
        <v>3624</v>
      </c>
      <c r="X159" s="63" t="str">
        <f>IF(H159=W159,"OK","Error")</f>
        <v>OK</v>
      </c>
      <c r="Y159" s="288">
        <v>0</v>
      </c>
      <c r="Z159" s="288">
        <f>H159-Y159</f>
        <v>3624</v>
      </c>
    </row>
    <row r="160" spans="3:26" s="63" customFormat="1" ht="12" outlineLevel="1" x14ac:dyDescent="0.2">
      <c r="C160" s="64"/>
      <c r="D160" s="293"/>
      <c r="E160" s="300"/>
      <c r="F160" s="280"/>
      <c r="G160" s="557"/>
      <c r="H160" s="549"/>
      <c r="J160" s="619"/>
      <c r="K160" s="671"/>
      <c r="L160" s="671"/>
      <c r="M160" s="671"/>
      <c r="N160" s="671"/>
      <c r="O160" s="671"/>
      <c r="P160" s="671"/>
      <c r="Q160" s="671"/>
      <c r="R160" s="671"/>
      <c r="S160" s="671"/>
      <c r="T160" s="671"/>
      <c r="U160" s="671"/>
      <c r="V160" s="671"/>
      <c r="W160" s="549"/>
      <c r="Y160" s="288"/>
      <c r="Z160" s="288"/>
    </row>
    <row r="161" spans="3:26" s="63" customFormat="1" ht="12" outlineLevel="1" x14ac:dyDescent="0.2">
      <c r="C161" s="207">
        <v>6540</v>
      </c>
      <c r="D161" s="293"/>
      <c r="E161" s="300" t="s">
        <v>30</v>
      </c>
      <c r="F161" s="280"/>
      <c r="G161" s="557"/>
      <c r="H161" s="549"/>
      <c r="J161" s="619"/>
      <c r="K161" s="671"/>
      <c r="L161" s="671"/>
      <c r="M161" s="671"/>
      <c r="N161" s="671"/>
      <c r="O161" s="671"/>
      <c r="P161" s="671"/>
      <c r="Q161" s="671"/>
      <c r="R161" s="671"/>
      <c r="S161" s="671"/>
      <c r="T161" s="671"/>
      <c r="U161" s="671"/>
      <c r="V161" s="671"/>
      <c r="W161" s="549"/>
      <c r="Y161" s="288"/>
      <c r="Z161" s="288"/>
    </row>
    <row r="162" spans="3:26" s="63" customFormat="1" ht="12" outlineLevel="1" x14ac:dyDescent="0.2">
      <c r="C162" s="64"/>
      <c r="D162" s="562" t="s">
        <v>259</v>
      </c>
      <c r="E162" s="563" t="s">
        <v>592</v>
      </c>
      <c r="F162" s="564">
        <v>0</v>
      </c>
      <c r="G162" s="610">
        <v>0</v>
      </c>
      <c r="H162" s="616">
        <f t="shared" ref="H162:H163" si="182">IF(J162="NO", F162*G162,SUM(J162:V162))</f>
        <v>0</v>
      </c>
      <c r="J162" s="623" t="s">
        <v>538</v>
      </c>
      <c r="K162" s="610">
        <f t="shared" ref="K162:V163" si="183">$F162*$G162/12</f>
        <v>0</v>
      </c>
      <c r="L162" s="610">
        <f t="shared" si="183"/>
        <v>0</v>
      </c>
      <c r="M162" s="610">
        <f t="shared" si="183"/>
        <v>0</v>
      </c>
      <c r="N162" s="610">
        <f t="shared" si="183"/>
        <v>0</v>
      </c>
      <c r="O162" s="610">
        <f t="shared" si="183"/>
        <v>0</v>
      </c>
      <c r="P162" s="610">
        <f t="shared" si="183"/>
        <v>0</v>
      </c>
      <c r="Q162" s="610">
        <f t="shared" si="183"/>
        <v>0</v>
      </c>
      <c r="R162" s="610">
        <f t="shared" si="183"/>
        <v>0</v>
      </c>
      <c r="S162" s="610">
        <f t="shared" si="183"/>
        <v>0</v>
      </c>
      <c r="T162" s="610">
        <f t="shared" si="183"/>
        <v>0</v>
      </c>
      <c r="U162" s="610">
        <f t="shared" si="183"/>
        <v>0</v>
      </c>
      <c r="V162" s="610">
        <f t="shared" si="183"/>
        <v>0</v>
      </c>
      <c r="W162" s="616">
        <f t="shared" ref="W162:W163" si="184">SUM(K162:V162)</f>
        <v>0</v>
      </c>
      <c r="Y162" s="288"/>
      <c r="Z162" s="288"/>
    </row>
    <row r="163" spans="3:26" s="63" customFormat="1" ht="12" outlineLevel="1" x14ac:dyDescent="0.2">
      <c r="C163" s="64"/>
      <c r="D163" s="562" t="s">
        <v>259</v>
      </c>
      <c r="E163" s="563"/>
      <c r="F163" s="564">
        <v>0</v>
      </c>
      <c r="G163" s="610">
        <v>0</v>
      </c>
      <c r="H163" s="616">
        <f t="shared" si="182"/>
        <v>0</v>
      </c>
      <c r="J163" s="623" t="s">
        <v>538</v>
      </c>
      <c r="K163" s="610">
        <f t="shared" si="183"/>
        <v>0</v>
      </c>
      <c r="L163" s="610">
        <f t="shared" si="183"/>
        <v>0</v>
      </c>
      <c r="M163" s="610">
        <f t="shared" si="183"/>
        <v>0</v>
      </c>
      <c r="N163" s="610">
        <f t="shared" si="183"/>
        <v>0</v>
      </c>
      <c r="O163" s="610">
        <f t="shared" si="183"/>
        <v>0</v>
      </c>
      <c r="P163" s="610">
        <f t="shared" si="183"/>
        <v>0</v>
      </c>
      <c r="Q163" s="610">
        <f t="shared" si="183"/>
        <v>0</v>
      </c>
      <c r="R163" s="610">
        <f t="shared" si="183"/>
        <v>0</v>
      </c>
      <c r="S163" s="610">
        <f t="shared" si="183"/>
        <v>0</v>
      </c>
      <c r="T163" s="610">
        <f t="shared" si="183"/>
        <v>0</v>
      </c>
      <c r="U163" s="610">
        <f t="shared" si="183"/>
        <v>0</v>
      </c>
      <c r="V163" s="610">
        <f t="shared" si="183"/>
        <v>0</v>
      </c>
      <c r="W163" s="616">
        <f t="shared" si="184"/>
        <v>0</v>
      </c>
      <c r="Y163" s="288"/>
      <c r="Z163" s="288"/>
    </row>
    <row r="164" spans="3:26" s="63" customFormat="1" ht="3.6" customHeight="1" outlineLevel="1" thickBot="1" x14ac:dyDescent="0.25">
      <c r="C164" s="64"/>
      <c r="D164" s="295"/>
      <c r="E164" s="301"/>
      <c r="F164" s="282"/>
      <c r="G164" s="559"/>
      <c r="H164" s="552"/>
      <c r="J164" s="624"/>
      <c r="K164" s="617"/>
      <c r="L164" s="617"/>
      <c r="M164" s="617"/>
      <c r="N164" s="617"/>
      <c r="O164" s="617"/>
      <c r="P164" s="617"/>
      <c r="Q164" s="617"/>
      <c r="R164" s="617"/>
      <c r="S164" s="617"/>
      <c r="T164" s="617"/>
      <c r="U164" s="617"/>
      <c r="V164" s="617"/>
      <c r="W164" s="552"/>
      <c r="Y164" s="288"/>
      <c r="Z164" s="288"/>
    </row>
    <row r="165" spans="3:26" s="63" customFormat="1" ht="12.75" thickBot="1" x14ac:dyDescent="0.25">
      <c r="C165" s="64"/>
      <c r="D165" s="293"/>
      <c r="E165" s="300"/>
      <c r="F165" s="283" t="str">
        <f>E161</f>
        <v>Advertising</v>
      </c>
      <c r="G165" s="560">
        <f>C161</f>
        <v>6540</v>
      </c>
      <c r="H165" s="553">
        <f>SUBTOTAL(9,H162:H164)</f>
        <v>0</v>
      </c>
      <c r="J165" s="626"/>
      <c r="K165" s="615">
        <f>F161</f>
        <v>0</v>
      </c>
      <c r="L165" s="615">
        <f>G161</f>
        <v>0</v>
      </c>
      <c r="M165" s="615">
        <f>H161</f>
        <v>0</v>
      </c>
      <c r="N165" s="615">
        <f>I161</f>
        <v>0</v>
      </c>
      <c r="O165" s="615">
        <f t="shared" ref="O165:V165" si="185">K161</f>
        <v>0</v>
      </c>
      <c r="P165" s="615">
        <f t="shared" si="185"/>
        <v>0</v>
      </c>
      <c r="Q165" s="615">
        <f t="shared" si="185"/>
        <v>0</v>
      </c>
      <c r="R165" s="615">
        <f t="shared" si="185"/>
        <v>0</v>
      </c>
      <c r="S165" s="615">
        <f t="shared" si="185"/>
        <v>0</v>
      </c>
      <c r="T165" s="615">
        <f t="shared" si="185"/>
        <v>0</v>
      </c>
      <c r="U165" s="615">
        <f t="shared" si="185"/>
        <v>0</v>
      </c>
      <c r="V165" s="615">
        <f t="shared" si="185"/>
        <v>0</v>
      </c>
      <c r="W165" s="553">
        <f>SUBTOTAL(9,W162:W164)</f>
        <v>0</v>
      </c>
      <c r="X165" s="63" t="str">
        <f>IF(H165=W165,"OK","Error")</f>
        <v>OK</v>
      </c>
      <c r="Y165" s="288">
        <v>0</v>
      </c>
      <c r="Z165" s="288">
        <f>H165-Y165</f>
        <v>0</v>
      </c>
    </row>
    <row r="166" spans="3:26" s="63" customFormat="1" ht="12" outlineLevel="1" x14ac:dyDescent="0.2">
      <c r="C166" s="64"/>
      <c r="D166" s="293"/>
      <c r="E166" s="300"/>
      <c r="F166" s="280"/>
      <c r="G166" s="557"/>
      <c r="H166" s="549"/>
      <c r="J166" s="619"/>
      <c r="K166" s="671"/>
      <c r="L166" s="671"/>
      <c r="M166" s="671"/>
      <c r="N166" s="671"/>
      <c r="O166" s="671"/>
      <c r="P166" s="671"/>
      <c r="Q166" s="671"/>
      <c r="R166" s="671"/>
      <c r="S166" s="671"/>
      <c r="T166" s="671"/>
      <c r="U166" s="671"/>
      <c r="V166" s="671"/>
      <c r="W166" s="549"/>
      <c r="Y166" s="288"/>
      <c r="Z166" s="288"/>
    </row>
    <row r="167" spans="3:26" s="63" customFormat="1" ht="12" outlineLevel="1" x14ac:dyDescent="0.2">
      <c r="C167" s="207">
        <v>6550</v>
      </c>
      <c r="D167" s="293"/>
      <c r="E167" s="300" t="s">
        <v>31</v>
      </c>
      <c r="F167" s="280"/>
      <c r="G167" s="557"/>
      <c r="H167" s="549"/>
      <c r="J167" s="619"/>
      <c r="K167" s="671"/>
      <c r="L167" s="671"/>
      <c r="M167" s="671"/>
      <c r="N167" s="671"/>
      <c r="O167" s="671"/>
      <c r="P167" s="671"/>
      <c r="Q167" s="671"/>
      <c r="R167" s="671"/>
      <c r="S167" s="671"/>
      <c r="T167" s="671"/>
      <c r="U167" s="671"/>
      <c r="V167" s="671"/>
      <c r="W167" s="549"/>
      <c r="Y167" s="288"/>
      <c r="Z167" s="288"/>
    </row>
    <row r="168" spans="3:26" s="63" customFormat="1" ht="12" outlineLevel="1" x14ac:dyDescent="0.2">
      <c r="C168" s="64"/>
      <c r="D168" s="562" t="s">
        <v>259</v>
      </c>
      <c r="E168" s="563" t="s">
        <v>520</v>
      </c>
      <c r="F168" s="564">
        <v>0</v>
      </c>
      <c r="G168" s="610">
        <v>0</v>
      </c>
      <c r="H168" s="616">
        <f>IF(J168="NO", F168*G168,SUM(J168:V168))</f>
        <v>0</v>
      </c>
      <c r="J168" s="623" t="s">
        <v>538</v>
      </c>
      <c r="K168" s="610">
        <f t="shared" ref="K168:V169" si="186">$F168*$G168/12</f>
        <v>0</v>
      </c>
      <c r="L168" s="610">
        <f t="shared" si="186"/>
        <v>0</v>
      </c>
      <c r="M168" s="610">
        <f t="shared" si="186"/>
        <v>0</v>
      </c>
      <c r="N168" s="610">
        <f t="shared" si="186"/>
        <v>0</v>
      </c>
      <c r="O168" s="610">
        <f t="shared" si="186"/>
        <v>0</v>
      </c>
      <c r="P168" s="610">
        <f t="shared" si="186"/>
        <v>0</v>
      </c>
      <c r="Q168" s="610">
        <f t="shared" si="186"/>
        <v>0</v>
      </c>
      <c r="R168" s="610">
        <f t="shared" si="186"/>
        <v>0</v>
      </c>
      <c r="S168" s="610">
        <f t="shared" si="186"/>
        <v>0</v>
      </c>
      <c r="T168" s="610">
        <f t="shared" si="186"/>
        <v>0</v>
      </c>
      <c r="U168" s="610">
        <f t="shared" si="186"/>
        <v>0</v>
      </c>
      <c r="V168" s="610">
        <f t="shared" si="186"/>
        <v>0</v>
      </c>
      <c r="W168" s="616">
        <f>SUM(K168:V168)</f>
        <v>0</v>
      </c>
      <c r="Y168" s="288"/>
      <c r="Z168" s="288"/>
    </row>
    <row r="169" spans="3:26" s="63" customFormat="1" ht="12" outlineLevel="1" x14ac:dyDescent="0.2">
      <c r="C169" s="64"/>
      <c r="D169" s="562" t="s">
        <v>259</v>
      </c>
      <c r="E169" s="563"/>
      <c r="F169" s="564">
        <v>0</v>
      </c>
      <c r="G169" s="610">
        <v>0</v>
      </c>
      <c r="H169" s="616">
        <f t="shared" ref="H169" si="187">IF(J169="NO", F169*G169,SUM(J169:V169))</f>
        <v>0</v>
      </c>
      <c r="J169" s="623" t="s">
        <v>538</v>
      </c>
      <c r="K169" s="610">
        <f t="shared" si="186"/>
        <v>0</v>
      </c>
      <c r="L169" s="610">
        <f t="shared" si="186"/>
        <v>0</v>
      </c>
      <c r="M169" s="610">
        <f t="shared" si="186"/>
        <v>0</v>
      </c>
      <c r="N169" s="610">
        <f t="shared" si="186"/>
        <v>0</v>
      </c>
      <c r="O169" s="610">
        <f t="shared" si="186"/>
        <v>0</v>
      </c>
      <c r="P169" s="610">
        <f t="shared" si="186"/>
        <v>0</v>
      </c>
      <c r="Q169" s="610">
        <f t="shared" si="186"/>
        <v>0</v>
      </c>
      <c r="R169" s="610">
        <f t="shared" si="186"/>
        <v>0</v>
      </c>
      <c r="S169" s="610">
        <f t="shared" si="186"/>
        <v>0</v>
      </c>
      <c r="T169" s="610">
        <f t="shared" si="186"/>
        <v>0</v>
      </c>
      <c r="U169" s="610">
        <f t="shared" si="186"/>
        <v>0</v>
      </c>
      <c r="V169" s="610">
        <f t="shared" si="186"/>
        <v>0</v>
      </c>
      <c r="W169" s="616">
        <f t="shared" ref="W169" si="188">SUM(K169:V169)</f>
        <v>0</v>
      </c>
      <c r="Y169" s="288"/>
      <c r="Z169" s="288"/>
    </row>
    <row r="170" spans="3:26" s="63" customFormat="1" ht="3.6" customHeight="1" outlineLevel="1" thickBot="1" x14ac:dyDescent="0.25">
      <c r="C170" s="64"/>
      <c r="D170" s="295"/>
      <c r="E170" s="301"/>
      <c r="F170" s="282"/>
      <c r="G170" s="559"/>
      <c r="H170" s="552"/>
      <c r="J170" s="624"/>
      <c r="K170" s="617"/>
      <c r="L170" s="617"/>
      <c r="M170" s="617"/>
      <c r="N170" s="617"/>
      <c r="O170" s="617"/>
      <c r="P170" s="617"/>
      <c r="Q170" s="617"/>
      <c r="R170" s="617"/>
      <c r="S170" s="617"/>
      <c r="T170" s="617"/>
      <c r="U170" s="617"/>
      <c r="V170" s="617"/>
      <c r="W170" s="552"/>
      <c r="Y170" s="288"/>
      <c r="Z170" s="288"/>
    </row>
    <row r="171" spans="3:26" s="63" customFormat="1" ht="12.75" thickBot="1" x14ac:dyDescent="0.25">
      <c r="C171" s="64"/>
      <c r="D171" s="293"/>
      <c r="E171" s="300"/>
      <c r="F171" s="283" t="str">
        <f>E167</f>
        <v>Printing and Binding</v>
      </c>
      <c r="G171" s="560">
        <f>C167</f>
        <v>6550</v>
      </c>
      <c r="H171" s="553">
        <f>SUBTOTAL(9,H168:H170)</f>
        <v>0</v>
      </c>
      <c r="J171" s="626"/>
      <c r="K171" s="620">
        <f>SUBTOTAL(9,K168:K170)</f>
        <v>0</v>
      </c>
      <c r="L171" s="620">
        <f t="shared" ref="L171" si="189">SUBTOTAL(9,L168:L170)</f>
        <v>0</v>
      </c>
      <c r="M171" s="620">
        <f t="shared" ref="M171" si="190">SUBTOTAL(9,M168:M170)</f>
        <v>0</v>
      </c>
      <c r="N171" s="620">
        <f t="shared" ref="N171" si="191">SUBTOTAL(9,N168:N170)</f>
        <v>0</v>
      </c>
      <c r="O171" s="620">
        <f t="shared" ref="O171" si="192">SUBTOTAL(9,O168:O170)</f>
        <v>0</v>
      </c>
      <c r="P171" s="620">
        <f t="shared" ref="P171" si="193">SUBTOTAL(9,P168:P170)</f>
        <v>0</v>
      </c>
      <c r="Q171" s="620">
        <f t="shared" ref="Q171" si="194">SUBTOTAL(9,Q168:Q170)</f>
        <v>0</v>
      </c>
      <c r="R171" s="620">
        <f t="shared" ref="R171" si="195">SUBTOTAL(9,R168:R170)</f>
        <v>0</v>
      </c>
      <c r="S171" s="620">
        <f t="shared" ref="S171" si="196">SUBTOTAL(9,S168:S170)</f>
        <v>0</v>
      </c>
      <c r="T171" s="620">
        <f t="shared" ref="T171" si="197">SUBTOTAL(9,T168:T170)</f>
        <v>0</v>
      </c>
      <c r="U171" s="620">
        <f t="shared" ref="U171" si="198">SUBTOTAL(9,U168:U170)</f>
        <v>0</v>
      </c>
      <c r="V171" s="620">
        <f t="shared" ref="V171" si="199">SUBTOTAL(9,V168:V170)</f>
        <v>0</v>
      </c>
      <c r="W171" s="553">
        <f>SUBTOTAL(9,W168:W170)</f>
        <v>0</v>
      </c>
      <c r="X171" s="63" t="str">
        <f>IF(H171=W171,"OK","Error")</f>
        <v>OK</v>
      </c>
      <c r="Y171" s="288">
        <v>0</v>
      </c>
      <c r="Z171" s="288">
        <f>H171-Y171</f>
        <v>0</v>
      </c>
    </row>
    <row r="172" spans="3:26" s="63" customFormat="1" ht="12" outlineLevel="1" x14ac:dyDescent="0.2">
      <c r="C172" s="64"/>
      <c r="D172" s="293"/>
      <c r="E172" s="300"/>
      <c r="F172" s="280"/>
      <c r="G172" s="557"/>
      <c r="H172" s="549"/>
      <c r="J172" s="619"/>
      <c r="K172" s="671"/>
      <c r="L172" s="671"/>
      <c r="M172" s="671"/>
      <c r="N172" s="671"/>
      <c r="O172" s="671"/>
      <c r="P172" s="671"/>
      <c r="Q172" s="671"/>
      <c r="R172" s="671"/>
      <c r="S172" s="671"/>
      <c r="T172" s="671"/>
      <c r="U172" s="671"/>
      <c r="V172" s="671"/>
      <c r="W172" s="549"/>
      <c r="Y172" s="288"/>
      <c r="Z172" s="288"/>
    </row>
    <row r="173" spans="3:26" s="63" customFormat="1" ht="12" outlineLevel="1" x14ac:dyDescent="0.2">
      <c r="C173" s="64">
        <v>6568</v>
      </c>
      <c r="D173" s="293"/>
      <c r="E173" s="300" t="s">
        <v>327</v>
      </c>
      <c r="F173" s="280"/>
      <c r="G173" s="557"/>
      <c r="H173" s="549"/>
      <c r="J173" s="619"/>
      <c r="K173" s="671"/>
      <c r="L173" s="671"/>
      <c r="M173" s="671"/>
      <c r="N173" s="671"/>
      <c r="O173" s="671"/>
      <c r="P173" s="671"/>
      <c r="Q173" s="671"/>
      <c r="R173" s="671"/>
      <c r="S173" s="671"/>
      <c r="T173" s="671"/>
      <c r="U173" s="671"/>
      <c r="V173" s="671"/>
      <c r="W173" s="549"/>
      <c r="Y173" s="288"/>
      <c r="Z173" s="288"/>
    </row>
    <row r="174" spans="3:26" s="63" customFormat="1" ht="12" outlineLevel="1" x14ac:dyDescent="0.2">
      <c r="C174" s="64"/>
      <c r="D174" s="633" t="s">
        <v>259</v>
      </c>
      <c r="E174" s="634"/>
      <c r="F174" s="596">
        <v>0</v>
      </c>
      <c r="G174" s="612"/>
      <c r="H174" s="635">
        <f>IF(J174="NO", F174*G174,SUM(J174:V174))</f>
        <v>0</v>
      </c>
      <c r="I174" s="636"/>
      <c r="J174" s="628" t="s">
        <v>538</v>
      </c>
      <c r="K174" s="612">
        <f t="shared" ref="K174:V177" si="200">$F174*$G174/12</f>
        <v>0</v>
      </c>
      <c r="L174" s="612">
        <f>$F174*$G174/12</f>
        <v>0</v>
      </c>
      <c r="M174" s="612">
        <f t="shared" si="200"/>
        <v>0</v>
      </c>
      <c r="N174" s="612">
        <f t="shared" si="200"/>
        <v>0</v>
      </c>
      <c r="O174" s="612">
        <f t="shared" si="200"/>
        <v>0</v>
      </c>
      <c r="P174" s="612">
        <f t="shared" si="200"/>
        <v>0</v>
      </c>
      <c r="Q174" s="612">
        <f t="shared" si="200"/>
        <v>0</v>
      </c>
      <c r="R174" s="612">
        <f t="shared" si="200"/>
        <v>0</v>
      </c>
      <c r="S174" s="612">
        <f t="shared" si="200"/>
        <v>0</v>
      </c>
      <c r="T174" s="612">
        <f t="shared" si="200"/>
        <v>0</v>
      </c>
      <c r="U174" s="612">
        <f t="shared" si="200"/>
        <v>0</v>
      </c>
      <c r="V174" s="612">
        <f t="shared" si="200"/>
        <v>0</v>
      </c>
      <c r="W174" s="635">
        <f>SUM(K174:V174)</f>
        <v>0</v>
      </c>
      <c r="Y174" s="288"/>
      <c r="Z174" s="288"/>
    </row>
    <row r="175" spans="3:26" s="63" customFormat="1" ht="12" outlineLevel="1" x14ac:dyDescent="0.2">
      <c r="C175" s="64"/>
      <c r="D175" s="633" t="s">
        <v>259</v>
      </c>
      <c r="E175" s="634"/>
      <c r="F175" s="596">
        <v>0</v>
      </c>
      <c r="G175" s="612"/>
      <c r="H175" s="635">
        <f>IF(J175="NO", F175*G175,SUM(J175:V175))</f>
        <v>0</v>
      </c>
      <c r="I175" s="636"/>
      <c r="J175" s="628" t="s">
        <v>538</v>
      </c>
      <c r="K175" s="612">
        <f t="shared" si="200"/>
        <v>0</v>
      </c>
      <c r="L175" s="612">
        <f>$F175*$G175/12</f>
        <v>0</v>
      </c>
      <c r="M175" s="612">
        <f t="shared" si="200"/>
        <v>0</v>
      </c>
      <c r="N175" s="612">
        <f t="shared" si="200"/>
        <v>0</v>
      </c>
      <c r="O175" s="612">
        <f t="shared" si="200"/>
        <v>0</v>
      </c>
      <c r="P175" s="612">
        <f t="shared" si="200"/>
        <v>0</v>
      </c>
      <c r="Q175" s="612">
        <f t="shared" si="200"/>
        <v>0</v>
      </c>
      <c r="R175" s="612">
        <f t="shared" si="200"/>
        <v>0</v>
      </c>
      <c r="S175" s="612">
        <f t="shared" si="200"/>
        <v>0</v>
      </c>
      <c r="T175" s="612">
        <f t="shared" si="200"/>
        <v>0</v>
      </c>
      <c r="U175" s="612">
        <f t="shared" si="200"/>
        <v>0</v>
      </c>
      <c r="V175" s="612">
        <f t="shared" si="200"/>
        <v>0</v>
      </c>
      <c r="W175" s="635">
        <f>SUM(K175:V175)</f>
        <v>0</v>
      </c>
      <c r="Y175" s="288"/>
      <c r="Z175" s="288"/>
    </row>
    <row r="176" spans="3:26" s="63" customFormat="1" ht="12" outlineLevel="1" x14ac:dyDescent="0.2">
      <c r="C176" s="64"/>
      <c r="D176" s="633" t="s">
        <v>259</v>
      </c>
      <c r="E176" s="634"/>
      <c r="F176" s="596">
        <v>0</v>
      </c>
      <c r="G176" s="612"/>
      <c r="H176" s="635">
        <f>IF(J176="NO", F176*G176,SUM(J176:V176))</f>
        <v>0</v>
      </c>
      <c r="I176" s="636"/>
      <c r="J176" s="628" t="s">
        <v>538</v>
      </c>
      <c r="K176" s="612">
        <f t="shared" si="200"/>
        <v>0</v>
      </c>
      <c r="L176" s="612">
        <f>$F176*$G176/12</f>
        <v>0</v>
      </c>
      <c r="M176" s="612">
        <f t="shared" si="200"/>
        <v>0</v>
      </c>
      <c r="N176" s="612">
        <f t="shared" si="200"/>
        <v>0</v>
      </c>
      <c r="O176" s="612">
        <f t="shared" si="200"/>
        <v>0</v>
      </c>
      <c r="P176" s="612">
        <f t="shared" si="200"/>
        <v>0</v>
      </c>
      <c r="Q176" s="612">
        <f t="shared" si="200"/>
        <v>0</v>
      </c>
      <c r="R176" s="612">
        <f t="shared" si="200"/>
        <v>0</v>
      </c>
      <c r="S176" s="612">
        <f t="shared" si="200"/>
        <v>0</v>
      </c>
      <c r="T176" s="612">
        <f t="shared" si="200"/>
        <v>0</v>
      </c>
      <c r="U176" s="612">
        <f t="shared" si="200"/>
        <v>0</v>
      </c>
      <c r="V176" s="612">
        <f t="shared" si="200"/>
        <v>0</v>
      </c>
      <c r="W176" s="635">
        <f>SUM(K176:V176)</f>
        <v>0</v>
      </c>
      <c r="Y176" s="288"/>
      <c r="Z176" s="288"/>
    </row>
    <row r="177" spans="3:26" s="63" customFormat="1" ht="12" outlineLevel="1" x14ac:dyDescent="0.2">
      <c r="C177" s="64"/>
      <c r="D177" s="633" t="s">
        <v>259</v>
      </c>
      <c r="E177" s="634"/>
      <c r="F177" s="596">
        <v>0</v>
      </c>
      <c r="G177" s="612"/>
      <c r="H177" s="635">
        <f t="shared" ref="H177" si="201">IF(J177="NO", F177*G177,SUM(J177:V177))</f>
        <v>0</v>
      </c>
      <c r="I177" s="636"/>
      <c r="J177" s="628" t="s">
        <v>538</v>
      </c>
      <c r="K177" s="612">
        <f t="shared" si="200"/>
        <v>0</v>
      </c>
      <c r="L177" s="612">
        <f t="shared" si="200"/>
        <v>0</v>
      </c>
      <c r="M177" s="612">
        <f t="shared" si="200"/>
        <v>0</v>
      </c>
      <c r="N177" s="612">
        <f t="shared" si="200"/>
        <v>0</v>
      </c>
      <c r="O177" s="612">
        <f t="shared" si="200"/>
        <v>0</v>
      </c>
      <c r="P177" s="612">
        <f t="shared" si="200"/>
        <v>0</v>
      </c>
      <c r="Q177" s="612">
        <f t="shared" si="200"/>
        <v>0</v>
      </c>
      <c r="R177" s="612">
        <f t="shared" si="200"/>
        <v>0</v>
      </c>
      <c r="S177" s="612">
        <f t="shared" si="200"/>
        <v>0</v>
      </c>
      <c r="T177" s="612">
        <f t="shared" si="200"/>
        <v>0</v>
      </c>
      <c r="U177" s="612">
        <f t="shared" si="200"/>
        <v>0</v>
      </c>
      <c r="V177" s="612">
        <f t="shared" si="200"/>
        <v>0</v>
      </c>
      <c r="W177" s="635">
        <f t="shared" ref="W177" si="202">SUM(K177:V177)</f>
        <v>0</v>
      </c>
      <c r="Y177" s="288"/>
      <c r="Z177" s="288"/>
    </row>
    <row r="178" spans="3:26" s="63" customFormat="1" ht="3.6" customHeight="1" outlineLevel="1" thickBot="1" x14ac:dyDescent="0.25">
      <c r="C178" s="64"/>
      <c r="D178" s="295"/>
      <c r="E178" s="301"/>
      <c r="F178" s="282"/>
      <c r="G178" s="559"/>
      <c r="H178" s="552"/>
      <c r="J178" s="624"/>
      <c r="K178" s="617"/>
      <c r="L178" s="617"/>
      <c r="M178" s="617"/>
      <c r="N178" s="617"/>
      <c r="O178" s="617"/>
      <c r="P178" s="617"/>
      <c r="Q178" s="617"/>
      <c r="R178" s="617"/>
      <c r="S178" s="617"/>
      <c r="T178" s="617"/>
      <c r="U178" s="617"/>
      <c r="V178" s="617"/>
      <c r="W178" s="552"/>
      <c r="Y178" s="288"/>
      <c r="Z178" s="288"/>
    </row>
    <row r="179" spans="3:26" s="63" customFormat="1" ht="12.75" thickBot="1" x14ac:dyDescent="0.25">
      <c r="C179" s="64"/>
      <c r="D179" s="293"/>
      <c r="E179" s="300"/>
      <c r="F179" s="283" t="str">
        <f>E173</f>
        <v>Tuition-Other (Grant ONLY)</v>
      </c>
      <c r="G179" s="560">
        <f>C173</f>
        <v>6568</v>
      </c>
      <c r="H179" s="553">
        <f>SUBTOTAL(9,H174:H178)</f>
        <v>0</v>
      </c>
      <c r="J179" s="626"/>
      <c r="K179" s="620">
        <f t="shared" ref="K179" si="203">SUBTOTAL(9,K174:K178)</f>
        <v>0</v>
      </c>
      <c r="L179" s="620">
        <f>SUBTOTAL(9,L174:L178)</f>
        <v>0</v>
      </c>
      <c r="M179" s="620">
        <f t="shared" ref="M179:V179" si="204">SUBTOTAL(9,M174:M178)</f>
        <v>0</v>
      </c>
      <c r="N179" s="620">
        <f t="shared" si="204"/>
        <v>0</v>
      </c>
      <c r="O179" s="620">
        <f t="shared" si="204"/>
        <v>0</v>
      </c>
      <c r="P179" s="620">
        <f t="shared" si="204"/>
        <v>0</v>
      </c>
      <c r="Q179" s="620">
        <f t="shared" si="204"/>
        <v>0</v>
      </c>
      <c r="R179" s="620">
        <f t="shared" si="204"/>
        <v>0</v>
      </c>
      <c r="S179" s="620">
        <f t="shared" si="204"/>
        <v>0</v>
      </c>
      <c r="T179" s="620">
        <f t="shared" si="204"/>
        <v>0</v>
      </c>
      <c r="U179" s="620">
        <f t="shared" si="204"/>
        <v>0</v>
      </c>
      <c r="V179" s="620">
        <f t="shared" si="204"/>
        <v>0</v>
      </c>
      <c r="W179" s="553">
        <f>SUBTOTAL(9,W174:W178)</f>
        <v>0</v>
      </c>
      <c r="X179" s="63" t="str">
        <f>IF(H179=W179,"OK","Error")</f>
        <v>OK</v>
      </c>
      <c r="Y179" s="288">
        <v>0</v>
      </c>
      <c r="Z179" s="288">
        <f>H179-Y179</f>
        <v>0</v>
      </c>
    </row>
    <row r="180" spans="3:26" s="63" customFormat="1" ht="12" outlineLevel="1" x14ac:dyDescent="0.2">
      <c r="C180" s="64"/>
      <c r="D180" s="293"/>
      <c r="E180" s="300"/>
      <c r="F180" s="280"/>
      <c r="G180" s="557"/>
      <c r="H180" s="549"/>
      <c r="J180" s="619"/>
      <c r="K180" s="671"/>
      <c r="L180" s="671"/>
      <c r="M180" s="671"/>
      <c r="N180" s="671"/>
      <c r="O180" s="671"/>
      <c r="P180" s="671"/>
      <c r="Q180" s="671"/>
      <c r="R180" s="671"/>
      <c r="S180" s="671"/>
      <c r="T180" s="671"/>
      <c r="U180" s="671"/>
      <c r="V180" s="671"/>
      <c r="W180" s="549"/>
      <c r="Y180" s="288"/>
      <c r="Z180" s="288"/>
    </row>
    <row r="181" spans="3:26" s="63" customFormat="1" ht="12" outlineLevel="1" x14ac:dyDescent="0.2">
      <c r="C181" s="207">
        <v>6569</v>
      </c>
      <c r="D181" s="293"/>
      <c r="E181" s="300" t="s">
        <v>32</v>
      </c>
      <c r="F181" s="280"/>
      <c r="G181" s="557"/>
      <c r="H181" s="549"/>
      <c r="J181" s="619"/>
      <c r="K181" s="671"/>
      <c r="L181" s="671"/>
      <c r="M181" s="671"/>
      <c r="N181" s="671"/>
      <c r="O181" s="671"/>
      <c r="P181" s="671"/>
      <c r="Q181" s="671"/>
      <c r="R181" s="671"/>
      <c r="S181" s="671"/>
      <c r="T181" s="671"/>
      <c r="U181" s="671"/>
      <c r="V181" s="671"/>
      <c r="W181" s="549"/>
      <c r="Y181" s="288"/>
      <c r="Z181" s="288"/>
    </row>
    <row r="182" spans="3:26" s="63" customFormat="1" ht="12" outlineLevel="1" x14ac:dyDescent="0.2">
      <c r="C182" s="64"/>
      <c r="D182" s="565" t="s">
        <v>260</v>
      </c>
      <c r="E182" s="566" t="s">
        <v>593</v>
      </c>
      <c r="F182" s="574">
        <f>AVERAGE('Rev &amp; Enroll'!Q24:V24)-F185</f>
        <v>71</v>
      </c>
      <c r="G182" s="611">
        <v>950</v>
      </c>
      <c r="H182" s="616">
        <f>IF(J182="NO", F182*G182,SUM(J182:V182))</f>
        <v>67450</v>
      </c>
      <c r="J182" s="627" t="s">
        <v>539</v>
      </c>
      <c r="K182" s="609">
        <v>0</v>
      </c>
      <c r="L182" s="609">
        <v>0</v>
      </c>
      <c r="M182" s="609">
        <v>0</v>
      </c>
      <c r="N182" s="609">
        <f>F182*G182/2</f>
        <v>33725</v>
      </c>
      <c r="O182" s="609">
        <f>F182*G182/2</f>
        <v>33725</v>
      </c>
      <c r="P182" s="609">
        <v>0</v>
      </c>
      <c r="Q182" s="609">
        <v>0</v>
      </c>
      <c r="R182" s="609">
        <v>0</v>
      </c>
      <c r="S182" s="609">
        <v>0</v>
      </c>
      <c r="T182" s="609">
        <v>0</v>
      </c>
      <c r="U182" s="609">
        <v>0</v>
      </c>
      <c r="V182" s="609">
        <v>0</v>
      </c>
      <c r="W182" s="635">
        <f t="shared" ref="W182:W187" si="205">SUM(K182:V182)</f>
        <v>67450</v>
      </c>
      <c r="Y182" s="288"/>
      <c r="Z182" s="288"/>
    </row>
    <row r="183" spans="3:26" s="63" customFormat="1" ht="12" outlineLevel="1" x14ac:dyDescent="0.2">
      <c r="C183" s="64"/>
      <c r="D183" s="565" t="s">
        <v>260</v>
      </c>
      <c r="E183" s="566" t="s">
        <v>594</v>
      </c>
      <c r="F183" s="574">
        <f>AVERAGE('Rev &amp; Enroll'!W24:AB24)-F186</f>
        <v>71</v>
      </c>
      <c r="G183" s="611">
        <v>1100</v>
      </c>
      <c r="H183" s="616">
        <f t="shared" ref="H183:H186" si="206">IF(J183="NO", F183*G183,SUM(J183:V183))</f>
        <v>78100</v>
      </c>
      <c r="J183" s="627" t="s">
        <v>539</v>
      </c>
      <c r="K183" s="609">
        <v>0</v>
      </c>
      <c r="L183" s="609">
        <v>0</v>
      </c>
      <c r="M183" s="609">
        <v>0</v>
      </c>
      <c r="N183" s="609">
        <v>0</v>
      </c>
      <c r="O183" s="609">
        <v>0</v>
      </c>
      <c r="P183" s="609">
        <v>0</v>
      </c>
      <c r="Q183" s="609">
        <v>0</v>
      </c>
      <c r="R183" s="609">
        <v>0</v>
      </c>
      <c r="S183" s="609">
        <f>F183*G183/2</f>
        <v>39050</v>
      </c>
      <c r="T183" s="609">
        <f>F183*G183/2</f>
        <v>39050</v>
      </c>
      <c r="U183" s="609">
        <v>0</v>
      </c>
      <c r="V183" s="609">
        <v>0</v>
      </c>
      <c r="W183" s="635">
        <f t="shared" si="205"/>
        <v>78100</v>
      </c>
      <c r="Y183" s="288"/>
      <c r="Z183" s="288"/>
    </row>
    <row r="184" spans="3:26" s="63" customFormat="1" ht="12" outlineLevel="1" x14ac:dyDescent="0.2">
      <c r="C184" s="64"/>
      <c r="D184" s="565" t="s">
        <v>260</v>
      </c>
      <c r="E184" s="566" t="s">
        <v>595</v>
      </c>
      <c r="F184" s="574">
        <v>2</v>
      </c>
      <c r="G184" s="611">
        <v>1000</v>
      </c>
      <c r="H184" s="616">
        <f t="shared" si="206"/>
        <v>6000</v>
      </c>
      <c r="J184" s="627" t="s">
        <v>539</v>
      </c>
      <c r="K184" s="609">
        <v>0</v>
      </c>
      <c r="L184" s="609">
        <v>0</v>
      </c>
      <c r="M184" s="609">
        <v>0</v>
      </c>
      <c r="N184" s="609">
        <v>3000</v>
      </c>
      <c r="O184" s="609">
        <v>0</v>
      </c>
      <c r="P184" s="609">
        <v>0</v>
      </c>
      <c r="Q184" s="609">
        <v>0</v>
      </c>
      <c r="R184" s="609">
        <v>0</v>
      </c>
      <c r="S184" s="609">
        <v>3000</v>
      </c>
      <c r="T184" s="609">
        <v>0</v>
      </c>
      <c r="U184" s="609">
        <v>0</v>
      </c>
      <c r="V184" s="609">
        <v>0</v>
      </c>
      <c r="W184" s="635">
        <f t="shared" si="205"/>
        <v>6000</v>
      </c>
      <c r="Y184" s="288"/>
      <c r="Z184" s="288"/>
    </row>
    <row r="185" spans="3:26" s="63" customFormat="1" ht="12" outlineLevel="1" x14ac:dyDescent="0.2">
      <c r="C185" s="64"/>
      <c r="D185" s="597" t="s">
        <v>281</v>
      </c>
      <c r="E185" s="566" t="s">
        <v>596</v>
      </c>
      <c r="F185" s="574">
        <f>'Rev &amp; Enroll'!F30</f>
        <v>17</v>
      </c>
      <c r="G185" s="611">
        <v>950</v>
      </c>
      <c r="H185" s="616">
        <f t="shared" si="206"/>
        <v>16150</v>
      </c>
      <c r="J185" s="627" t="s">
        <v>538</v>
      </c>
      <c r="K185" s="609">
        <v>0</v>
      </c>
      <c r="L185" s="609">
        <v>0</v>
      </c>
      <c r="M185" s="609">
        <v>0</v>
      </c>
      <c r="N185" s="609">
        <v>0</v>
      </c>
      <c r="O185" s="673">
        <f>F185*G185</f>
        <v>16150</v>
      </c>
      <c r="P185" s="609">
        <v>0</v>
      </c>
      <c r="Q185" s="609">
        <v>0</v>
      </c>
      <c r="R185" s="609">
        <v>0</v>
      </c>
      <c r="S185" s="609">
        <v>0</v>
      </c>
      <c r="T185" s="609">
        <v>0</v>
      </c>
      <c r="U185" s="609">
        <v>0</v>
      </c>
      <c r="V185" s="609">
        <v>0</v>
      </c>
      <c r="W185" s="635">
        <f t="shared" si="205"/>
        <v>16150</v>
      </c>
      <c r="Y185" s="288"/>
      <c r="Z185" s="288"/>
    </row>
    <row r="186" spans="3:26" s="63" customFormat="1" ht="12" outlineLevel="1" x14ac:dyDescent="0.2">
      <c r="C186" s="64"/>
      <c r="D186" s="597" t="s">
        <v>281</v>
      </c>
      <c r="E186" s="566" t="s">
        <v>597</v>
      </c>
      <c r="F186" s="574">
        <f>'Rev &amp; Enroll'!F30</f>
        <v>17</v>
      </c>
      <c r="G186" s="611">
        <v>1600</v>
      </c>
      <c r="H186" s="616">
        <f t="shared" si="206"/>
        <v>27200</v>
      </c>
      <c r="J186" s="627" t="s">
        <v>538</v>
      </c>
      <c r="K186" s="609">
        <v>0</v>
      </c>
      <c r="L186" s="609">
        <v>0</v>
      </c>
      <c r="M186" s="609">
        <v>0</v>
      </c>
      <c r="N186" s="609">
        <v>0</v>
      </c>
      <c r="O186" s="609">
        <v>0</v>
      </c>
      <c r="P186" s="609">
        <v>0</v>
      </c>
      <c r="Q186" s="609">
        <v>0</v>
      </c>
      <c r="R186" s="609">
        <v>0</v>
      </c>
      <c r="S186" s="609">
        <v>0</v>
      </c>
      <c r="T186" s="673">
        <f>F186*G186</f>
        <v>27200</v>
      </c>
      <c r="U186" s="609">
        <v>0</v>
      </c>
      <c r="V186" s="609">
        <v>0</v>
      </c>
      <c r="W186" s="635">
        <f t="shared" si="205"/>
        <v>27200</v>
      </c>
      <c r="Y186" s="288"/>
      <c r="Z186" s="288"/>
    </row>
    <row r="187" spans="3:26" s="63" customFormat="1" ht="12" outlineLevel="1" x14ac:dyDescent="0.2">
      <c r="C187" s="64"/>
      <c r="D187" s="565" t="s">
        <v>260</v>
      </c>
      <c r="E187" s="566" t="s">
        <v>598</v>
      </c>
      <c r="F187" s="574">
        <v>2</v>
      </c>
      <c r="G187" s="611">
        <v>-2000</v>
      </c>
      <c r="H187" s="616">
        <f t="shared" ref="H187:H188" si="207">IF(J187="NO", F187*G187,SUM(J187:V187))</f>
        <v>-4000</v>
      </c>
      <c r="J187" s="627" t="s">
        <v>538</v>
      </c>
      <c r="K187" s="611">
        <v>0</v>
      </c>
      <c r="L187" s="611">
        <v>0</v>
      </c>
      <c r="M187" s="611">
        <v>0</v>
      </c>
      <c r="N187" s="611">
        <v>0</v>
      </c>
      <c r="O187" s="611">
        <v>-1000</v>
      </c>
      <c r="P187" s="611">
        <v>-1000</v>
      </c>
      <c r="Q187" s="611">
        <v>0</v>
      </c>
      <c r="R187" s="611">
        <v>0</v>
      </c>
      <c r="S187" s="611">
        <v>0</v>
      </c>
      <c r="T187" s="611">
        <v>-1000</v>
      </c>
      <c r="U187" s="611">
        <v>-1000</v>
      </c>
      <c r="V187" s="611">
        <v>0</v>
      </c>
      <c r="W187" s="635">
        <f t="shared" si="205"/>
        <v>-4000</v>
      </c>
      <c r="Y187" s="288"/>
      <c r="Z187" s="288"/>
    </row>
    <row r="188" spans="3:26" s="63" customFormat="1" ht="12" outlineLevel="1" x14ac:dyDescent="0.2">
      <c r="C188" s="64"/>
      <c r="D188" s="633" t="s">
        <v>259</v>
      </c>
      <c r="E188" s="634"/>
      <c r="F188" s="596">
        <v>0</v>
      </c>
      <c r="G188" s="612"/>
      <c r="H188" s="635">
        <f t="shared" si="207"/>
        <v>0</v>
      </c>
      <c r="I188" s="636"/>
      <c r="J188" s="628" t="s">
        <v>538</v>
      </c>
      <c r="K188" s="612">
        <f t="shared" ref="K188:V188" si="208">$F188*$G188/12</f>
        <v>0</v>
      </c>
      <c r="L188" s="612">
        <f t="shared" si="208"/>
        <v>0</v>
      </c>
      <c r="M188" s="612">
        <f t="shared" si="208"/>
        <v>0</v>
      </c>
      <c r="N188" s="612">
        <f t="shared" si="208"/>
        <v>0</v>
      </c>
      <c r="O188" s="612">
        <f t="shared" si="208"/>
        <v>0</v>
      </c>
      <c r="P188" s="612">
        <f t="shared" si="208"/>
        <v>0</v>
      </c>
      <c r="Q188" s="612">
        <f t="shared" si="208"/>
        <v>0</v>
      </c>
      <c r="R188" s="612">
        <f t="shared" si="208"/>
        <v>0</v>
      </c>
      <c r="S188" s="612">
        <f t="shared" si="208"/>
        <v>0</v>
      </c>
      <c r="T188" s="612">
        <f t="shared" si="208"/>
        <v>0</v>
      </c>
      <c r="U188" s="612">
        <f t="shared" si="208"/>
        <v>0</v>
      </c>
      <c r="V188" s="612">
        <f t="shared" si="208"/>
        <v>0</v>
      </c>
      <c r="W188" s="635">
        <f t="shared" ref="W188" si="209">SUM(K188:V188)</f>
        <v>0</v>
      </c>
      <c r="Y188" s="288"/>
      <c r="Z188" s="288"/>
    </row>
    <row r="189" spans="3:26" s="63" customFormat="1" ht="3.6" customHeight="1" outlineLevel="1" thickBot="1" x14ac:dyDescent="0.25">
      <c r="C189" s="64"/>
      <c r="D189" s="295"/>
      <c r="E189" s="301"/>
      <c r="F189" s="282"/>
      <c r="G189" s="559"/>
      <c r="H189" s="552"/>
      <c r="J189" s="624"/>
      <c r="K189" s="617"/>
      <c r="L189" s="617"/>
      <c r="M189" s="617"/>
      <c r="N189" s="617"/>
      <c r="O189" s="617"/>
      <c r="P189" s="617"/>
      <c r="Q189" s="617"/>
      <c r="R189" s="617"/>
      <c r="S189" s="617"/>
      <c r="T189" s="617"/>
      <c r="U189" s="617"/>
      <c r="V189" s="617"/>
      <c r="W189" s="552"/>
      <c r="Y189" s="288"/>
      <c r="Z189" s="288"/>
    </row>
    <row r="190" spans="3:26" s="63" customFormat="1" ht="12.75" thickBot="1" x14ac:dyDescent="0.25">
      <c r="C190" s="64"/>
      <c r="D190" s="293"/>
      <c r="E190" s="300"/>
      <c r="F190" s="283" t="str">
        <f>E181</f>
        <v>Tuition-Other</v>
      </c>
      <c r="G190" s="560">
        <f>C181</f>
        <v>6569</v>
      </c>
      <c r="H190" s="553">
        <f>SUBTOTAL(9,H182:H189)</f>
        <v>190900</v>
      </c>
      <c r="J190" s="626"/>
      <c r="K190" s="615">
        <f>SUBTOTAL(9,K182:K189)</f>
        <v>0</v>
      </c>
      <c r="L190" s="615">
        <f t="shared" ref="L190:W190" si="210">SUBTOTAL(9,L182:L189)</f>
        <v>0</v>
      </c>
      <c r="M190" s="615">
        <f t="shared" si="210"/>
        <v>0</v>
      </c>
      <c r="N190" s="615">
        <f t="shared" si="210"/>
        <v>36725</v>
      </c>
      <c r="O190" s="615">
        <f t="shared" si="210"/>
        <v>48875</v>
      </c>
      <c r="P190" s="615">
        <f t="shared" si="210"/>
        <v>-1000</v>
      </c>
      <c r="Q190" s="615">
        <f t="shared" si="210"/>
        <v>0</v>
      </c>
      <c r="R190" s="615">
        <f t="shared" si="210"/>
        <v>0</v>
      </c>
      <c r="S190" s="615">
        <f t="shared" si="210"/>
        <v>42050</v>
      </c>
      <c r="T190" s="615">
        <f t="shared" si="210"/>
        <v>65250</v>
      </c>
      <c r="U190" s="615">
        <f t="shared" si="210"/>
        <v>-1000</v>
      </c>
      <c r="V190" s="615">
        <f t="shared" si="210"/>
        <v>0</v>
      </c>
      <c r="W190" s="553">
        <f t="shared" si="210"/>
        <v>190900</v>
      </c>
      <c r="X190" s="63" t="str">
        <f>IF(H190=W190,"OK","Error")</f>
        <v>OK</v>
      </c>
      <c r="Y190" s="288">
        <v>0</v>
      </c>
      <c r="Z190" s="288">
        <f>H190-Y190</f>
        <v>190900</v>
      </c>
    </row>
    <row r="191" spans="3:26" s="63" customFormat="1" ht="12" outlineLevel="1" x14ac:dyDescent="0.2">
      <c r="C191" s="64"/>
      <c r="D191" s="293"/>
      <c r="E191" s="300"/>
      <c r="F191" s="280"/>
      <c r="G191" s="557"/>
      <c r="H191" s="549"/>
      <c r="J191" s="619"/>
      <c r="K191" s="671"/>
      <c r="L191" s="671"/>
      <c r="M191" s="671"/>
      <c r="N191" s="671"/>
      <c r="O191" s="671"/>
      <c r="P191" s="671"/>
      <c r="Q191" s="671"/>
      <c r="R191" s="671"/>
      <c r="S191" s="671"/>
      <c r="T191" s="671"/>
      <c r="U191" s="671"/>
      <c r="V191" s="671"/>
      <c r="W191" s="549"/>
      <c r="Y191" s="288"/>
      <c r="Z191" s="288"/>
    </row>
    <row r="192" spans="3:26" s="63" customFormat="1" ht="12" outlineLevel="1" x14ac:dyDescent="0.2">
      <c r="C192" s="207">
        <v>6580</v>
      </c>
      <c r="D192" s="293"/>
      <c r="E192" s="300" t="s">
        <v>33</v>
      </c>
      <c r="F192" s="280"/>
      <c r="G192" s="557"/>
      <c r="H192" s="549"/>
      <c r="J192" s="619"/>
      <c r="K192" s="671"/>
      <c r="L192" s="671"/>
      <c r="M192" s="671"/>
      <c r="N192" s="671"/>
      <c r="O192" s="671"/>
      <c r="P192" s="671"/>
      <c r="Q192" s="671"/>
      <c r="R192" s="671"/>
      <c r="S192" s="671"/>
      <c r="T192" s="671"/>
      <c r="U192" s="671"/>
      <c r="V192" s="671"/>
      <c r="W192" s="549"/>
      <c r="Y192" s="288"/>
      <c r="Z192" s="288"/>
    </row>
    <row r="193" spans="3:26" s="63" customFormat="1" ht="12" outlineLevel="1" x14ac:dyDescent="0.2">
      <c r="C193" s="64"/>
      <c r="D193" s="565" t="s">
        <v>260</v>
      </c>
      <c r="E193" s="566" t="s">
        <v>529</v>
      </c>
      <c r="F193" s="564">
        <v>0</v>
      </c>
      <c r="G193" s="610">
        <v>0</v>
      </c>
      <c r="H193" s="616">
        <f t="shared" ref="H193" si="211">IF(J193="NO", F193*G193,SUM(J193:V193))</f>
        <v>0</v>
      </c>
      <c r="J193" s="623" t="s">
        <v>538</v>
      </c>
      <c r="K193" s="610">
        <f t="shared" ref="K193:V196" si="212">$F193*$G193/12</f>
        <v>0</v>
      </c>
      <c r="L193" s="610">
        <f t="shared" si="212"/>
        <v>0</v>
      </c>
      <c r="M193" s="610">
        <f t="shared" si="212"/>
        <v>0</v>
      </c>
      <c r="N193" s="610">
        <f t="shared" si="212"/>
        <v>0</v>
      </c>
      <c r="O193" s="610">
        <f t="shared" si="212"/>
        <v>0</v>
      </c>
      <c r="P193" s="610">
        <f t="shared" si="212"/>
        <v>0</v>
      </c>
      <c r="Q193" s="610">
        <f t="shared" si="212"/>
        <v>0</v>
      </c>
      <c r="R193" s="610">
        <f t="shared" si="212"/>
        <v>0</v>
      </c>
      <c r="S193" s="610">
        <f t="shared" si="212"/>
        <v>0</v>
      </c>
      <c r="T193" s="610">
        <f t="shared" si="212"/>
        <v>0</v>
      </c>
      <c r="U193" s="610">
        <f t="shared" si="212"/>
        <v>0</v>
      </c>
      <c r="V193" s="610">
        <f t="shared" si="212"/>
        <v>0</v>
      </c>
      <c r="W193" s="616">
        <f t="shared" ref="W193" si="213">SUM(K193:V193)</f>
        <v>0</v>
      </c>
      <c r="Y193" s="288"/>
      <c r="Z193" s="288"/>
    </row>
    <row r="194" spans="3:26" s="63" customFormat="1" ht="12" outlineLevel="1" x14ac:dyDescent="0.2">
      <c r="C194" s="64"/>
      <c r="D194" s="565" t="s">
        <v>268</v>
      </c>
      <c r="E194" s="566" t="s">
        <v>554</v>
      </c>
      <c r="F194" s="564">
        <v>0</v>
      </c>
      <c r="G194" s="610">
        <v>0</v>
      </c>
      <c r="H194" s="616">
        <f>IF(J194="NO", F194*G194,SUM(J194:V194))</f>
        <v>0</v>
      </c>
      <c r="J194" s="623" t="s">
        <v>538</v>
      </c>
      <c r="K194" s="610">
        <f t="shared" si="212"/>
        <v>0</v>
      </c>
      <c r="L194" s="610">
        <f t="shared" si="212"/>
        <v>0</v>
      </c>
      <c r="M194" s="610">
        <f t="shared" si="212"/>
        <v>0</v>
      </c>
      <c r="N194" s="610">
        <f t="shared" si="212"/>
        <v>0</v>
      </c>
      <c r="O194" s="610">
        <f t="shared" si="212"/>
        <v>0</v>
      </c>
      <c r="P194" s="610">
        <f t="shared" si="212"/>
        <v>0</v>
      </c>
      <c r="Q194" s="610">
        <f t="shared" si="212"/>
        <v>0</v>
      </c>
      <c r="R194" s="610">
        <f t="shared" si="212"/>
        <v>0</v>
      </c>
      <c r="S194" s="610">
        <f t="shared" si="212"/>
        <v>0</v>
      </c>
      <c r="T194" s="610">
        <f t="shared" si="212"/>
        <v>0</v>
      </c>
      <c r="U194" s="610">
        <f t="shared" si="212"/>
        <v>0</v>
      </c>
      <c r="V194" s="610">
        <f t="shared" si="212"/>
        <v>0</v>
      </c>
      <c r="W194" s="616">
        <f>SUM(K194:V194)</f>
        <v>0</v>
      </c>
      <c r="Y194" s="288"/>
      <c r="Z194" s="288"/>
    </row>
    <row r="195" spans="3:26" s="63" customFormat="1" ht="12" outlineLevel="1" x14ac:dyDescent="0.2">
      <c r="C195" s="64"/>
      <c r="D195" s="565" t="s">
        <v>268</v>
      </c>
      <c r="E195" s="566" t="s">
        <v>555</v>
      </c>
      <c r="F195" s="564">
        <v>0</v>
      </c>
      <c r="G195" s="610">
        <v>0</v>
      </c>
      <c r="H195" s="616">
        <f t="shared" ref="H195" si="214">IF(J195="NO", F195*G195,SUM(J195:V195))</f>
        <v>0</v>
      </c>
      <c r="J195" s="623" t="s">
        <v>538</v>
      </c>
      <c r="K195" s="610">
        <f t="shared" si="212"/>
        <v>0</v>
      </c>
      <c r="L195" s="610">
        <f t="shared" si="212"/>
        <v>0</v>
      </c>
      <c r="M195" s="610">
        <f t="shared" si="212"/>
        <v>0</v>
      </c>
      <c r="N195" s="610">
        <f t="shared" si="212"/>
        <v>0</v>
      </c>
      <c r="O195" s="610">
        <f t="shared" si="212"/>
        <v>0</v>
      </c>
      <c r="P195" s="610">
        <f t="shared" si="212"/>
        <v>0</v>
      </c>
      <c r="Q195" s="610">
        <f t="shared" si="212"/>
        <v>0</v>
      </c>
      <c r="R195" s="610">
        <f t="shared" si="212"/>
        <v>0</v>
      </c>
      <c r="S195" s="610">
        <f t="shared" si="212"/>
        <v>0</v>
      </c>
      <c r="T195" s="610">
        <f t="shared" si="212"/>
        <v>0</v>
      </c>
      <c r="U195" s="610">
        <f t="shared" si="212"/>
        <v>0</v>
      </c>
      <c r="V195" s="610">
        <f t="shared" si="212"/>
        <v>0</v>
      </c>
      <c r="W195" s="616">
        <f t="shared" ref="W195" si="215">SUM(K195:V195)</f>
        <v>0</v>
      </c>
      <c r="Y195" s="288"/>
      <c r="Z195" s="288"/>
    </row>
    <row r="196" spans="3:26" s="63" customFormat="1" ht="12" outlineLevel="1" x14ac:dyDescent="0.2">
      <c r="C196" s="64"/>
      <c r="D196" s="633" t="s">
        <v>259</v>
      </c>
      <c r="E196" s="634"/>
      <c r="F196" s="596">
        <v>0</v>
      </c>
      <c r="G196" s="612"/>
      <c r="H196" s="635">
        <f>IF(J196="NO", F196*G196,SUM(J196:V196))</f>
        <v>0</v>
      </c>
      <c r="I196" s="636"/>
      <c r="J196" s="628" t="s">
        <v>538</v>
      </c>
      <c r="K196" s="612">
        <f t="shared" si="212"/>
        <v>0</v>
      </c>
      <c r="L196" s="612">
        <f t="shared" si="212"/>
        <v>0</v>
      </c>
      <c r="M196" s="612">
        <f t="shared" si="212"/>
        <v>0</v>
      </c>
      <c r="N196" s="612">
        <f t="shared" si="212"/>
        <v>0</v>
      </c>
      <c r="O196" s="612">
        <f t="shared" si="212"/>
        <v>0</v>
      </c>
      <c r="P196" s="612">
        <f t="shared" si="212"/>
        <v>0</v>
      </c>
      <c r="Q196" s="612">
        <f t="shared" si="212"/>
        <v>0</v>
      </c>
      <c r="R196" s="612">
        <f t="shared" si="212"/>
        <v>0</v>
      </c>
      <c r="S196" s="612">
        <f t="shared" si="212"/>
        <v>0</v>
      </c>
      <c r="T196" s="612">
        <f t="shared" si="212"/>
        <v>0</v>
      </c>
      <c r="U196" s="612">
        <f t="shared" si="212"/>
        <v>0</v>
      </c>
      <c r="V196" s="612">
        <f t="shared" si="212"/>
        <v>0</v>
      </c>
      <c r="W196" s="635">
        <f t="shared" ref="W196" si="216">SUM(K196:V196)</f>
        <v>0</v>
      </c>
      <c r="Y196" s="288"/>
      <c r="Z196" s="288"/>
    </row>
    <row r="197" spans="3:26" s="63" customFormat="1" ht="3.6" customHeight="1" outlineLevel="1" thickBot="1" x14ac:dyDescent="0.25">
      <c r="C197" s="64"/>
      <c r="D197" s="295"/>
      <c r="E197" s="301"/>
      <c r="F197" s="282"/>
      <c r="G197" s="559"/>
      <c r="H197" s="552"/>
      <c r="J197" s="624"/>
      <c r="K197" s="617"/>
      <c r="L197" s="617"/>
      <c r="M197" s="617"/>
      <c r="N197" s="617"/>
      <c r="O197" s="617"/>
      <c r="P197" s="617"/>
      <c r="Q197" s="617"/>
      <c r="R197" s="617"/>
      <c r="S197" s="617"/>
      <c r="T197" s="617"/>
      <c r="U197" s="617"/>
      <c r="V197" s="617"/>
      <c r="W197" s="552"/>
      <c r="Y197" s="288"/>
      <c r="Z197" s="288"/>
    </row>
    <row r="198" spans="3:26" s="63" customFormat="1" ht="12.75" thickBot="1" x14ac:dyDescent="0.25">
      <c r="C198" s="64"/>
      <c r="D198" s="293"/>
      <c r="E198" s="300"/>
      <c r="F198" s="283" t="str">
        <f>E192</f>
        <v>Travel</v>
      </c>
      <c r="G198" s="560">
        <f>C192</f>
        <v>6580</v>
      </c>
      <c r="H198" s="553">
        <f>SUBTOTAL(9,H193:H197)</f>
        <v>0</v>
      </c>
      <c r="J198" s="626"/>
      <c r="K198" s="620">
        <f>SUBTOTAL(9,K194:K197)</f>
        <v>0</v>
      </c>
      <c r="L198" s="620">
        <f t="shared" ref="L198:W198" si="217">SUBTOTAL(9,L193:L197)</f>
        <v>0</v>
      </c>
      <c r="M198" s="620">
        <f t="shared" si="217"/>
        <v>0</v>
      </c>
      <c r="N198" s="620">
        <f t="shared" si="217"/>
        <v>0</v>
      </c>
      <c r="O198" s="620">
        <f t="shared" si="217"/>
        <v>0</v>
      </c>
      <c r="P198" s="620">
        <f t="shared" si="217"/>
        <v>0</v>
      </c>
      <c r="Q198" s="620">
        <f t="shared" si="217"/>
        <v>0</v>
      </c>
      <c r="R198" s="620">
        <f t="shared" si="217"/>
        <v>0</v>
      </c>
      <c r="S198" s="620">
        <f t="shared" si="217"/>
        <v>0</v>
      </c>
      <c r="T198" s="620">
        <f t="shared" si="217"/>
        <v>0</v>
      </c>
      <c r="U198" s="620">
        <f t="shared" si="217"/>
        <v>0</v>
      </c>
      <c r="V198" s="620">
        <f t="shared" si="217"/>
        <v>0</v>
      </c>
      <c r="W198" s="553">
        <f t="shared" si="217"/>
        <v>0</v>
      </c>
      <c r="X198" s="63" t="str">
        <f>IF(H198=W198,"OK","Error")</f>
        <v>OK</v>
      </c>
      <c r="Y198" s="288">
        <v>0</v>
      </c>
      <c r="Z198" s="288">
        <f>H198-Y198</f>
        <v>0</v>
      </c>
    </row>
    <row r="199" spans="3:26" s="63" customFormat="1" ht="12" x14ac:dyDescent="0.2">
      <c r="C199" s="64"/>
      <c r="D199" s="293"/>
      <c r="E199" s="300"/>
      <c r="F199" s="280"/>
      <c r="G199" s="557"/>
      <c r="H199" s="549"/>
      <c r="J199" s="619"/>
      <c r="K199" s="671"/>
      <c r="L199" s="671"/>
      <c r="M199" s="671"/>
      <c r="N199" s="671"/>
      <c r="O199" s="671"/>
      <c r="P199" s="671"/>
      <c r="Q199" s="671"/>
      <c r="R199" s="671"/>
      <c r="S199" s="671"/>
      <c r="T199" s="671"/>
      <c r="U199" s="671"/>
      <c r="V199" s="671"/>
      <c r="W199" s="549"/>
      <c r="Y199" s="288"/>
      <c r="Z199" s="288"/>
    </row>
    <row r="200" spans="3:26" s="63" customFormat="1" ht="12" x14ac:dyDescent="0.2">
      <c r="C200" s="66" t="s">
        <v>102</v>
      </c>
      <c r="D200" s="293"/>
      <c r="E200" s="300"/>
      <c r="F200" s="280"/>
      <c r="G200" s="557"/>
      <c r="H200" s="549"/>
      <c r="J200" s="619"/>
      <c r="K200" s="671"/>
      <c r="L200" s="671"/>
      <c r="M200" s="671"/>
      <c r="N200" s="671"/>
      <c r="O200" s="671"/>
      <c r="P200" s="671"/>
      <c r="Q200" s="671"/>
      <c r="R200" s="671"/>
      <c r="S200" s="671"/>
      <c r="T200" s="671"/>
      <c r="U200" s="671"/>
      <c r="V200" s="671"/>
      <c r="W200" s="549"/>
      <c r="Y200" s="288"/>
      <c r="Z200" s="288"/>
    </row>
    <row r="201" spans="3:26" s="63" customFormat="1" ht="12" outlineLevel="1" x14ac:dyDescent="0.2">
      <c r="C201" s="207">
        <v>6610</v>
      </c>
      <c r="D201" s="293"/>
      <c r="E201" s="300" t="s">
        <v>34</v>
      </c>
      <c r="F201" s="280"/>
      <c r="G201" s="557"/>
      <c r="H201" s="549"/>
      <c r="J201" s="619"/>
      <c r="K201" s="671"/>
      <c r="L201" s="671"/>
      <c r="M201" s="671"/>
      <c r="N201" s="671"/>
      <c r="O201" s="671"/>
      <c r="P201" s="671"/>
      <c r="Q201" s="671"/>
      <c r="R201" s="671"/>
      <c r="S201" s="671"/>
      <c r="T201" s="671"/>
      <c r="U201" s="671"/>
      <c r="V201" s="671"/>
      <c r="W201" s="549"/>
      <c r="Y201" s="288"/>
      <c r="Z201" s="288"/>
    </row>
    <row r="202" spans="3:26" s="63" customFormat="1" ht="12" outlineLevel="1" x14ac:dyDescent="0.2">
      <c r="C202" s="64"/>
      <c r="D202" s="597" t="s">
        <v>279</v>
      </c>
      <c r="E202" s="566" t="s">
        <v>395</v>
      </c>
      <c r="F202" s="574">
        <v>1</v>
      </c>
      <c r="G202" s="611">
        <v>192</v>
      </c>
      <c r="H202" s="616">
        <f t="shared" ref="H202" si="218">IF(J202="NO", F202*G202,SUM(J202:V202))</f>
        <v>192</v>
      </c>
      <c r="J202" s="622" t="s">
        <v>539</v>
      </c>
      <c r="K202" s="609">
        <v>0</v>
      </c>
      <c r="L202" s="609">
        <v>0</v>
      </c>
      <c r="M202" s="609">
        <v>0</v>
      </c>
      <c r="N202" s="609">
        <v>192</v>
      </c>
      <c r="O202" s="609">
        <v>0</v>
      </c>
      <c r="P202" s="609">
        <v>0</v>
      </c>
      <c r="Q202" s="609">
        <v>0</v>
      </c>
      <c r="R202" s="609">
        <v>0</v>
      </c>
      <c r="S202" s="609">
        <v>0</v>
      </c>
      <c r="T202" s="609">
        <v>0</v>
      </c>
      <c r="U202" s="609">
        <v>0</v>
      </c>
      <c r="V202" s="609">
        <v>0</v>
      </c>
      <c r="W202" s="616">
        <f t="shared" ref="W202" si="219">SUM(K202:V202)</f>
        <v>192</v>
      </c>
      <c r="Y202" s="288"/>
      <c r="Z202" s="288"/>
    </row>
    <row r="203" spans="3:26" s="63" customFormat="1" ht="12" outlineLevel="1" x14ac:dyDescent="0.2">
      <c r="C203" s="64"/>
      <c r="D203" s="570" t="s">
        <v>260</v>
      </c>
      <c r="E203" s="571" t="s">
        <v>334</v>
      </c>
      <c r="F203" s="564">
        <v>12</v>
      </c>
      <c r="G203" s="610">
        <v>25</v>
      </c>
      <c r="H203" s="616">
        <f>IF(J203="NO", F203*G203,SUM(J203:V203))</f>
        <v>300</v>
      </c>
      <c r="J203" s="623" t="s">
        <v>539</v>
      </c>
      <c r="K203" s="610">
        <f t="shared" ref="K203:V207" si="220">$F203*$G203/12</f>
        <v>25</v>
      </c>
      <c r="L203" s="610">
        <f t="shared" si="220"/>
        <v>25</v>
      </c>
      <c r="M203" s="610">
        <f t="shared" si="220"/>
        <v>25</v>
      </c>
      <c r="N203" s="610">
        <f t="shared" si="220"/>
        <v>25</v>
      </c>
      <c r="O203" s="610">
        <f t="shared" si="220"/>
        <v>25</v>
      </c>
      <c r="P203" s="610">
        <f t="shared" si="220"/>
        <v>25</v>
      </c>
      <c r="Q203" s="610">
        <f t="shared" si="220"/>
        <v>25</v>
      </c>
      <c r="R203" s="610">
        <f t="shared" si="220"/>
        <v>25</v>
      </c>
      <c r="S203" s="610">
        <f t="shared" si="220"/>
        <v>25</v>
      </c>
      <c r="T203" s="610">
        <f t="shared" si="220"/>
        <v>25</v>
      </c>
      <c r="U203" s="610">
        <f t="shared" si="220"/>
        <v>25</v>
      </c>
      <c r="V203" s="610">
        <f t="shared" si="220"/>
        <v>25</v>
      </c>
      <c r="W203" s="616">
        <f>SUM(K203:V203)</f>
        <v>300</v>
      </c>
      <c r="Y203" s="288"/>
      <c r="Z203" s="288"/>
    </row>
    <row r="204" spans="3:26" s="63" customFormat="1" ht="12" outlineLevel="1" x14ac:dyDescent="0.2">
      <c r="C204" s="64"/>
      <c r="D204" s="570" t="s">
        <v>268</v>
      </c>
      <c r="E204" s="571" t="s">
        <v>333</v>
      </c>
      <c r="F204" s="564">
        <v>12</v>
      </c>
      <c r="G204" s="610">
        <v>25</v>
      </c>
      <c r="H204" s="616">
        <f t="shared" ref="H204" si="221">IF(J204="NO", F204*G204,SUM(J204:V204))</f>
        <v>300</v>
      </c>
      <c r="J204" s="623" t="s">
        <v>539</v>
      </c>
      <c r="K204" s="610">
        <f t="shared" si="220"/>
        <v>25</v>
      </c>
      <c r="L204" s="610">
        <f t="shared" si="220"/>
        <v>25</v>
      </c>
      <c r="M204" s="610">
        <f t="shared" si="220"/>
        <v>25</v>
      </c>
      <c r="N204" s="610">
        <f t="shared" si="220"/>
        <v>25</v>
      </c>
      <c r="O204" s="610">
        <f t="shared" si="220"/>
        <v>25</v>
      </c>
      <c r="P204" s="610">
        <f t="shared" si="220"/>
        <v>25</v>
      </c>
      <c r="Q204" s="610">
        <f t="shared" si="220"/>
        <v>25</v>
      </c>
      <c r="R204" s="610">
        <f t="shared" si="220"/>
        <v>25</v>
      </c>
      <c r="S204" s="610">
        <f t="shared" si="220"/>
        <v>25</v>
      </c>
      <c r="T204" s="610">
        <f t="shared" si="220"/>
        <v>25</v>
      </c>
      <c r="U204" s="610">
        <f t="shared" si="220"/>
        <v>25</v>
      </c>
      <c r="V204" s="610">
        <f t="shared" si="220"/>
        <v>25</v>
      </c>
      <c r="W204" s="616">
        <f t="shared" ref="W204" si="222">SUM(K204:V204)</f>
        <v>300</v>
      </c>
      <c r="Y204" s="288"/>
      <c r="Z204" s="288"/>
    </row>
    <row r="205" spans="3:26" s="63" customFormat="1" ht="12" outlineLevel="1" x14ac:dyDescent="0.2">
      <c r="C205" s="64"/>
      <c r="D205" s="570" t="s">
        <v>269</v>
      </c>
      <c r="E205" s="571" t="s">
        <v>335</v>
      </c>
      <c r="F205" s="564">
        <v>12</v>
      </c>
      <c r="G205" s="610">
        <v>125</v>
      </c>
      <c r="H205" s="616">
        <f t="shared" ref="H205" si="223">IF(J205="NO", F205*G205,SUM(J205:V205))</f>
        <v>1500</v>
      </c>
      <c r="J205" s="623" t="s">
        <v>539</v>
      </c>
      <c r="K205" s="610">
        <f t="shared" si="220"/>
        <v>125</v>
      </c>
      <c r="L205" s="610">
        <f t="shared" si="220"/>
        <v>125</v>
      </c>
      <c r="M205" s="610">
        <f t="shared" si="220"/>
        <v>125</v>
      </c>
      <c r="N205" s="610">
        <f t="shared" si="220"/>
        <v>125</v>
      </c>
      <c r="O205" s="610">
        <f t="shared" si="220"/>
        <v>125</v>
      </c>
      <c r="P205" s="610">
        <f t="shared" si="220"/>
        <v>125</v>
      </c>
      <c r="Q205" s="610">
        <f t="shared" si="220"/>
        <v>125</v>
      </c>
      <c r="R205" s="610">
        <f t="shared" si="220"/>
        <v>125</v>
      </c>
      <c r="S205" s="610">
        <f t="shared" si="220"/>
        <v>125</v>
      </c>
      <c r="T205" s="610">
        <f t="shared" si="220"/>
        <v>125</v>
      </c>
      <c r="U205" s="610">
        <f t="shared" si="220"/>
        <v>125</v>
      </c>
      <c r="V205" s="610">
        <f t="shared" si="220"/>
        <v>125</v>
      </c>
      <c r="W205" s="616">
        <f t="shared" ref="W205" si="224">SUM(K205:V205)</f>
        <v>1500</v>
      </c>
      <c r="Y205" s="288"/>
      <c r="Z205" s="288"/>
    </row>
    <row r="206" spans="3:26" s="63" customFormat="1" ht="12" outlineLevel="1" x14ac:dyDescent="0.2">
      <c r="C206" s="64"/>
      <c r="D206" s="562" t="s">
        <v>259</v>
      </c>
      <c r="E206" s="563" t="s">
        <v>521</v>
      </c>
      <c r="F206" s="564">
        <v>0</v>
      </c>
      <c r="G206" s="610">
        <v>0</v>
      </c>
      <c r="H206" s="616">
        <f t="shared" ref="H206:H207" si="225">IF(J206="NO", F206*G206,SUM(J206:V206))</f>
        <v>0</v>
      </c>
      <c r="J206" s="623" t="s">
        <v>538</v>
      </c>
      <c r="K206" s="610">
        <f t="shared" si="220"/>
        <v>0</v>
      </c>
      <c r="L206" s="610">
        <f t="shared" si="220"/>
        <v>0</v>
      </c>
      <c r="M206" s="610">
        <f t="shared" si="220"/>
        <v>0</v>
      </c>
      <c r="N206" s="610">
        <f t="shared" si="220"/>
        <v>0</v>
      </c>
      <c r="O206" s="610">
        <f t="shared" si="220"/>
        <v>0</v>
      </c>
      <c r="P206" s="610">
        <f t="shared" si="220"/>
        <v>0</v>
      </c>
      <c r="Q206" s="610">
        <f t="shared" si="220"/>
        <v>0</v>
      </c>
      <c r="R206" s="610">
        <f t="shared" si="220"/>
        <v>0</v>
      </c>
      <c r="S206" s="610">
        <f t="shared" si="220"/>
        <v>0</v>
      </c>
      <c r="T206" s="610">
        <f t="shared" si="220"/>
        <v>0</v>
      </c>
      <c r="U206" s="610">
        <f t="shared" si="220"/>
        <v>0</v>
      </c>
      <c r="V206" s="610">
        <f t="shared" si="220"/>
        <v>0</v>
      </c>
      <c r="W206" s="616">
        <f t="shared" ref="W206:W207" si="226">SUM(K206:V206)</f>
        <v>0</v>
      </c>
      <c r="Y206" s="288"/>
      <c r="Z206" s="288"/>
    </row>
    <row r="207" spans="3:26" s="63" customFormat="1" ht="12" outlineLevel="1" x14ac:dyDescent="0.2">
      <c r="C207" s="64"/>
      <c r="D207" s="562" t="s">
        <v>259</v>
      </c>
      <c r="E207" s="563"/>
      <c r="F207" s="564">
        <v>0</v>
      </c>
      <c r="G207" s="610">
        <v>0</v>
      </c>
      <c r="H207" s="616">
        <f t="shared" si="225"/>
        <v>0</v>
      </c>
      <c r="J207" s="623" t="s">
        <v>538</v>
      </c>
      <c r="K207" s="610">
        <f t="shared" si="220"/>
        <v>0</v>
      </c>
      <c r="L207" s="610">
        <f t="shared" si="220"/>
        <v>0</v>
      </c>
      <c r="M207" s="610">
        <f t="shared" si="220"/>
        <v>0</v>
      </c>
      <c r="N207" s="610">
        <f t="shared" si="220"/>
        <v>0</v>
      </c>
      <c r="O207" s="610">
        <f t="shared" si="220"/>
        <v>0</v>
      </c>
      <c r="P207" s="610">
        <f t="shared" si="220"/>
        <v>0</v>
      </c>
      <c r="Q207" s="610">
        <f t="shared" si="220"/>
        <v>0</v>
      </c>
      <c r="R207" s="610">
        <f t="shared" si="220"/>
        <v>0</v>
      </c>
      <c r="S207" s="610">
        <f t="shared" si="220"/>
        <v>0</v>
      </c>
      <c r="T207" s="610">
        <f t="shared" si="220"/>
        <v>0</v>
      </c>
      <c r="U207" s="610">
        <f t="shared" si="220"/>
        <v>0</v>
      </c>
      <c r="V207" s="610">
        <f t="shared" si="220"/>
        <v>0</v>
      </c>
      <c r="W207" s="616">
        <f t="shared" si="226"/>
        <v>0</v>
      </c>
      <c r="Y207" s="288"/>
      <c r="Z207" s="288"/>
    </row>
    <row r="208" spans="3:26" s="63" customFormat="1" ht="3.6" customHeight="1" outlineLevel="1" thickBot="1" x14ac:dyDescent="0.25">
      <c r="C208" s="64"/>
      <c r="D208" s="295"/>
      <c r="E208" s="301"/>
      <c r="F208" s="282"/>
      <c r="G208" s="559"/>
      <c r="H208" s="552"/>
      <c r="J208" s="624"/>
      <c r="K208" s="617"/>
      <c r="L208" s="617"/>
      <c r="M208" s="617"/>
      <c r="N208" s="617"/>
      <c r="O208" s="617"/>
      <c r="P208" s="617"/>
      <c r="Q208" s="617"/>
      <c r="R208" s="617"/>
      <c r="S208" s="617"/>
      <c r="T208" s="617"/>
      <c r="U208" s="617"/>
      <c r="V208" s="617"/>
      <c r="W208" s="552"/>
      <c r="Y208" s="288"/>
      <c r="Z208" s="288"/>
    </row>
    <row r="209" spans="3:26" s="63" customFormat="1" ht="12.75" thickBot="1" x14ac:dyDescent="0.25">
      <c r="C209" s="64"/>
      <c r="D209" s="293"/>
      <c r="E209" s="300"/>
      <c r="F209" s="283" t="str">
        <f>E201</f>
        <v>General Supplies</v>
      </c>
      <c r="G209" s="560">
        <f>C201</f>
        <v>6610</v>
      </c>
      <c r="H209" s="553">
        <f>SUBTOTAL(9,H202:H208)</f>
        <v>2292</v>
      </c>
      <c r="J209" s="626"/>
      <c r="K209" s="620">
        <f t="shared" ref="K209:W209" si="227">SUBTOTAL(9,K202:K208)</f>
        <v>175</v>
      </c>
      <c r="L209" s="620">
        <f t="shared" si="227"/>
        <v>175</v>
      </c>
      <c r="M209" s="620">
        <f t="shared" si="227"/>
        <v>175</v>
      </c>
      <c r="N209" s="620">
        <f t="shared" si="227"/>
        <v>367</v>
      </c>
      <c r="O209" s="620">
        <f t="shared" si="227"/>
        <v>175</v>
      </c>
      <c r="P209" s="620">
        <f t="shared" si="227"/>
        <v>175</v>
      </c>
      <c r="Q209" s="620">
        <f t="shared" si="227"/>
        <v>175</v>
      </c>
      <c r="R209" s="620">
        <f t="shared" si="227"/>
        <v>175</v>
      </c>
      <c r="S209" s="620">
        <f t="shared" si="227"/>
        <v>175</v>
      </c>
      <c r="T209" s="620">
        <f t="shared" si="227"/>
        <v>175</v>
      </c>
      <c r="U209" s="620">
        <f t="shared" si="227"/>
        <v>175</v>
      </c>
      <c r="V209" s="620">
        <f t="shared" si="227"/>
        <v>175</v>
      </c>
      <c r="W209" s="553">
        <f t="shared" si="227"/>
        <v>2292</v>
      </c>
      <c r="X209" s="63" t="str">
        <f>IF(H209=W209,"OK","Error")</f>
        <v>OK</v>
      </c>
      <c r="Y209" s="288">
        <v>0</v>
      </c>
      <c r="Z209" s="288">
        <f>H209-Y209</f>
        <v>2292</v>
      </c>
    </row>
    <row r="210" spans="3:26" s="63" customFormat="1" ht="12" outlineLevel="1" x14ac:dyDescent="0.2">
      <c r="C210" s="64"/>
      <c r="D210" s="293"/>
      <c r="E210" s="300"/>
      <c r="F210" s="280"/>
      <c r="G210" s="557"/>
      <c r="H210" s="549"/>
      <c r="J210" s="619"/>
      <c r="K210" s="671"/>
      <c r="L210" s="671"/>
      <c r="M210" s="671"/>
      <c r="N210" s="671"/>
      <c r="O210" s="671"/>
      <c r="P210" s="671"/>
      <c r="Q210" s="671"/>
      <c r="R210" s="671"/>
      <c r="S210" s="671"/>
      <c r="T210" s="671"/>
      <c r="U210" s="671"/>
      <c r="V210" s="671"/>
      <c r="W210" s="549"/>
      <c r="Y210" s="288"/>
      <c r="Z210" s="288"/>
    </row>
    <row r="211" spans="3:26" s="63" customFormat="1" ht="12" outlineLevel="1" x14ac:dyDescent="0.2">
      <c r="C211" s="207">
        <v>6612</v>
      </c>
      <c r="D211" s="293"/>
      <c r="E211" s="300" t="s">
        <v>35</v>
      </c>
      <c r="F211" s="280"/>
      <c r="G211" s="557"/>
      <c r="H211" s="549"/>
      <c r="J211" s="619"/>
      <c r="K211" s="671"/>
      <c r="L211" s="671"/>
      <c r="M211" s="671"/>
      <c r="N211" s="671"/>
      <c r="O211" s="671"/>
      <c r="P211" s="671"/>
      <c r="Q211" s="671"/>
      <c r="R211" s="671"/>
      <c r="S211" s="671"/>
      <c r="T211" s="671"/>
      <c r="U211" s="671"/>
      <c r="V211" s="671"/>
      <c r="W211" s="549"/>
      <c r="Y211" s="288"/>
      <c r="Z211" s="288"/>
    </row>
    <row r="212" spans="3:26" s="63" customFormat="1" ht="12" outlineLevel="1" x14ac:dyDescent="0.2">
      <c r="C212" s="64"/>
      <c r="D212" s="594" t="s">
        <v>259</v>
      </c>
      <c r="E212" s="595"/>
      <c r="F212" s="596">
        <v>0</v>
      </c>
      <c r="G212" s="612">
        <v>0</v>
      </c>
      <c r="H212" s="616">
        <f t="shared" ref="H212" si="228">IF(J212="NO", F212*G212,SUM(J212:V212))</f>
        <v>0</v>
      </c>
      <c r="J212" s="628" t="s">
        <v>538</v>
      </c>
      <c r="K212" s="612">
        <f t="shared" ref="K212:V216" si="229">$F212*$G212/12</f>
        <v>0</v>
      </c>
      <c r="L212" s="612">
        <f t="shared" si="229"/>
        <v>0</v>
      </c>
      <c r="M212" s="612">
        <f t="shared" si="229"/>
        <v>0</v>
      </c>
      <c r="N212" s="612">
        <f t="shared" si="229"/>
        <v>0</v>
      </c>
      <c r="O212" s="612">
        <f t="shared" si="229"/>
        <v>0</v>
      </c>
      <c r="P212" s="612">
        <f t="shared" si="229"/>
        <v>0</v>
      </c>
      <c r="Q212" s="612">
        <f t="shared" si="229"/>
        <v>0</v>
      </c>
      <c r="R212" s="612">
        <f t="shared" si="229"/>
        <v>0</v>
      </c>
      <c r="S212" s="612">
        <f t="shared" si="229"/>
        <v>0</v>
      </c>
      <c r="T212" s="612">
        <f t="shared" si="229"/>
        <v>0</v>
      </c>
      <c r="U212" s="612">
        <f t="shared" si="229"/>
        <v>0</v>
      </c>
      <c r="V212" s="612">
        <f t="shared" si="229"/>
        <v>0</v>
      </c>
      <c r="W212" s="635">
        <f t="shared" ref="W212" si="230">SUM(K212:V212)</f>
        <v>0</v>
      </c>
      <c r="Y212" s="288"/>
      <c r="Z212" s="288"/>
    </row>
    <row r="213" spans="3:26" s="63" customFormat="1" ht="12" outlineLevel="1" x14ac:dyDescent="0.2">
      <c r="C213" s="64"/>
      <c r="D213" s="594" t="s">
        <v>259</v>
      </c>
      <c r="E213" s="595"/>
      <c r="F213" s="596">
        <v>0</v>
      </c>
      <c r="G213" s="612">
        <v>0</v>
      </c>
      <c r="H213" s="616">
        <f t="shared" ref="H213:H216" si="231">IF(J213="NO", F213*G213,SUM(J213:V213))</f>
        <v>0</v>
      </c>
      <c r="J213" s="628" t="s">
        <v>538</v>
      </c>
      <c r="K213" s="612">
        <f t="shared" si="229"/>
        <v>0</v>
      </c>
      <c r="L213" s="612">
        <f t="shared" si="229"/>
        <v>0</v>
      </c>
      <c r="M213" s="612">
        <f t="shared" si="229"/>
        <v>0</v>
      </c>
      <c r="N213" s="612">
        <f t="shared" si="229"/>
        <v>0</v>
      </c>
      <c r="O213" s="612">
        <f t="shared" si="229"/>
        <v>0</v>
      </c>
      <c r="P213" s="612">
        <f t="shared" si="229"/>
        <v>0</v>
      </c>
      <c r="Q213" s="612">
        <f t="shared" si="229"/>
        <v>0</v>
      </c>
      <c r="R213" s="612">
        <f t="shared" si="229"/>
        <v>0</v>
      </c>
      <c r="S213" s="612">
        <f t="shared" si="229"/>
        <v>0</v>
      </c>
      <c r="T213" s="612">
        <f t="shared" si="229"/>
        <v>0</v>
      </c>
      <c r="U213" s="612">
        <f t="shared" si="229"/>
        <v>0</v>
      </c>
      <c r="V213" s="612">
        <f t="shared" si="229"/>
        <v>0</v>
      </c>
      <c r="W213" s="635">
        <f t="shared" ref="W213:W216" si="232">SUM(K213:V213)</f>
        <v>0</v>
      </c>
      <c r="Y213" s="288"/>
      <c r="Z213" s="288"/>
    </row>
    <row r="214" spans="3:26" s="63" customFormat="1" ht="12" outlineLevel="1" x14ac:dyDescent="0.2">
      <c r="C214" s="64"/>
      <c r="D214" s="594" t="s">
        <v>259</v>
      </c>
      <c r="E214" s="595"/>
      <c r="F214" s="596">
        <v>0</v>
      </c>
      <c r="G214" s="612">
        <v>0</v>
      </c>
      <c r="H214" s="616">
        <f t="shared" si="231"/>
        <v>0</v>
      </c>
      <c r="J214" s="628" t="s">
        <v>538</v>
      </c>
      <c r="K214" s="612">
        <f t="shared" si="229"/>
        <v>0</v>
      </c>
      <c r="L214" s="612">
        <f t="shared" si="229"/>
        <v>0</v>
      </c>
      <c r="M214" s="612">
        <f t="shared" si="229"/>
        <v>0</v>
      </c>
      <c r="N214" s="612">
        <f t="shared" si="229"/>
        <v>0</v>
      </c>
      <c r="O214" s="612">
        <f t="shared" si="229"/>
        <v>0</v>
      </c>
      <c r="P214" s="612">
        <f t="shared" si="229"/>
        <v>0</v>
      </c>
      <c r="Q214" s="612">
        <f t="shared" si="229"/>
        <v>0</v>
      </c>
      <c r="R214" s="612">
        <f t="shared" si="229"/>
        <v>0</v>
      </c>
      <c r="S214" s="612">
        <f t="shared" si="229"/>
        <v>0</v>
      </c>
      <c r="T214" s="612">
        <f t="shared" si="229"/>
        <v>0</v>
      </c>
      <c r="U214" s="612">
        <f t="shared" si="229"/>
        <v>0</v>
      </c>
      <c r="V214" s="612">
        <f t="shared" si="229"/>
        <v>0</v>
      </c>
      <c r="W214" s="635">
        <f t="shared" si="232"/>
        <v>0</v>
      </c>
      <c r="Y214" s="288"/>
      <c r="Z214" s="288"/>
    </row>
    <row r="215" spans="3:26" s="63" customFormat="1" ht="12" outlineLevel="1" x14ac:dyDescent="0.2">
      <c r="C215" s="64"/>
      <c r="D215" s="594" t="s">
        <v>259</v>
      </c>
      <c r="E215" s="595"/>
      <c r="F215" s="596">
        <v>0</v>
      </c>
      <c r="G215" s="612">
        <v>0</v>
      </c>
      <c r="H215" s="616">
        <f t="shared" si="231"/>
        <v>0</v>
      </c>
      <c r="J215" s="628" t="s">
        <v>538</v>
      </c>
      <c r="K215" s="612">
        <f t="shared" si="229"/>
        <v>0</v>
      </c>
      <c r="L215" s="612">
        <f t="shared" si="229"/>
        <v>0</v>
      </c>
      <c r="M215" s="612">
        <f t="shared" si="229"/>
        <v>0</v>
      </c>
      <c r="N215" s="612">
        <f t="shared" si="229"/>
        <v>0</v>
      </c>
      <c r="O215" s="612">
        <f t="shared" si="229"/>
        <v>0</v>
      </c>
      <c r="P215" s="612">
        <f t="shared" si="229"/>
        <v>0</v>
      </c>
      <c r="Q215" s="612">
        <f t="shared" si="229"/>
        <v>0</v>
      </c>
      <c r="R215" s="612">
        <f t="shared" si="229"/>
        <v>0</v>
      </c>
      <c r="S215" s="612">
        <f t="shared" si="229"/>
        <v>0</v>
      </c>
      <c r="T215" s="612">
        <f t="shared" si="229"/>
        <v>0</v>
      </c>
      <c r="U215" s="612">
        <f t="shared" si="229"/>
        <v>0</v>
      </c>
      <c r="V215" s="612">
        <f t="shared" si="229"/>
        <v>0</v>
      </c>
      <c r="W215" s="635">
        <f t="shared" si="232"/>
        <v>0</v>
      </c>
      <c r="Y215" s="288"/>
      <c r="Z215" s="288"/>
    </row>
    <row r="216" spans="3:26" s="63" customFormat="1" ht="12" outlineLevel="1" x14ac:dyDescent="0.2">
      <c r="C216" s="64"/>
      <c r="D216" s="594" t="s">
        <v>259</v>
      </c>
      <c r="E216" s="595"/>
      <c r="F216" s="596">
        <v>0</v>
      </c>
      <c r="G216" s="612">
        <v>0</v>
      </c>
      <c r="H216" s="616">
        <f t="shared" si="231"/>
        <v>0</v>
      </c>
      <c r="J216" s="628" t="s">
        <v>538</v>
      </c>
      <c r="K216" s="612">
        <f t="shared" si="229"/>
        <v>0</v>
      </c>
      <c r="L216" s="612">
        <f t="shared" si="229"/>
        <v>0</v>
      </c>
      <c r="M216" s="612">
        <f t="shared" si="229"/>
        <v>0</v>
      </c>
      <c r="N216" s="612">
        <f t="shared" si="229"/>
        <v>0</v>
      </c>
      <c r="O216" s="612">
        <f t="shared" si="229"/>
        <v>0</v>
      </c>
      <c r="P216" s="612">
        <f t="shared" si="229"/>
        <v>0</v>
      </c>
      <c r="Q216" s="612">
        <f t="shared" si="229"/>
        <v>0</v>
      </c>
      <c r="R216" s="612">
        <f t="shared" si="229"/>
        <v>0</v>
      </c>
      <c r="S216" s="612">
        <f t="shared" si="229"/>
        <v>0</v>
      </c>
      <c r="T216" s="612">
        <f t="shared" si="229"/>
        <v>0</v>
      </c>
      <c r="U216" s="612">
        <f t="shared" si="229"/>
        <v>0</v>
      </c>
      <c r="V216" s="612">
        <f t="shared" si="229"/>
        <v>0</v>
      </c>
      <c r="W216" s="635">
        <f t="shared" si="232"/>
        <v>0</v>
      </c>
      <c r="Y216" s="288"/>
      <c r="Z216" s="288"/>
    </row>
    <row r="217" spans="3:26" s="63" customFormat="1" ht="3.6" customHeight="1" outlineLevel="1" thickBot="1" x14ac:dyDescent="0.25">
      <c r="C217" s="64"/>
      <c r="D217" s="295"/>
      <c r="E217" s="301"/>
      <c r="F217" s="282"/>
      <c r="G217" s="559"/>
      <c r="H217" s="552"/>
      <c r="J217" s="624"/>
      <c r="K217" s="617"/>
      <c r="L217" s="617"/>
      <c r="M217" s="617"/>
      <c r="N217" s="617"/>
      <c r="O217" s="617"/>
      <c r="P217" s="617"/>
      <c r="Q217" s="617"/>
      <c r="R217" s="617"/>
      <c r="S217" s="617"/>
      <c r="T217" s="617"/>
      <c r="U217" s="617"/>
      <c r="V217" s="617"/>
      <c r="W217" s="552"/>
      <c r="Y217" s="288"/>
      <c r="Z217" s="288"/>
    </row>
    <row r="218" spans="3:26" s="63" customFormat="1" ht="12.75" thickBot="1" x14ac:dyDescent="0.25">
      <c r="C218" s="64"/>
      <c r="D218" s="293"/>
      <c r="E218" s="300"/>
      <c r="F218" s="283" t="str">
        <f>E211</f>
        <v>Technology Supplies and Equipment</v>
      </c>
      <c r="G218" s="560">
        <f>C211</f>
        <v>6612</v>
      </c>
      <c r="H218" s="553">
        <f>SUBTOTAL(9,H212:H217)</f>
        <v>0</v>
      </c>
      <c r="J218" s="626"/>
      <c r="K218" s="620">
        <f>SUBTOTAL(9,K212:K217)</f>
        <v>0</v>
      </c>
      <c r="L218" s="620">
        <f t="shared" ref="L218" si="233">SUBTOTAL(9,L212:L217)</f>
        <v>0</v>
      </c>
      <c r="M218" s="620">
        <f t="shared" ref="M218" si="234">SUBTOTAL(9,M212:M217)</f>
        <v>0</v>
      </c>
      <c r="N218" s="620">
        <f t="shared" ref="N218" si="235">SUBTOTAL(9,N212:N217)</f>
        <v>0</v>
      </c>
      <c r="O218" s="620">
        <f t="shared" ref="O218" si="236">SUBTOTAL(9,O212:O217)</f>
        <v>0</v>
      </c>
      <c r="P218" s="620">
        <f t="shared" ref="P218" si="237">SUBTOTAL(9,P212:P217)</f>
        <v>0</v>
      </c>
      <c r="Q218" s="620">
        <f t="shared" ref="Q218" si="238">SUBTOTAL(9,Q212:Q217)</f>
        <v>0</v>
      </c>
      <c r="R218" s="620">
        <f t="shared" ref="R218" si="239">SUBTOTAL(9,R212:R217)</f>
        <v>0</v>
      </c>
      <c r="S218" s="620">
        <f t="shared" ref="S218" si="240">SUBTOTAL(9,S212:S217)</f>
        <v>0</v>
      </c>
      <c r="T218" s="620">
        <f t="shared" ref="T218" si="241">SUBTOTAL(9,T212:T217)</f>
        <v>0</v>
      </c>
      <c r="U218" s="620">
        <f t="shared" ref="U218" si="242">SUBTOTAL(9,U212:U217)</f>
        <v>0</v>
      </c>
      <c r="V218" s="620">
        <f>SUBTOTAL(9,V212:V217)</f>
        <v>0</v>
      </c>
      <c r="W218" s="553">
        <f>SUBTOTAL(9,W212:W217)</f>
        <v>0</v>
      </c>
      <c r="X218" s="63" t="str">
        <f>IF(H218=W218,"OK","Error")</f>
        <v>OK</v>
      </c>
      <c r="Y218" s="288">
        <v>0</v>
      </c>
      <c r="Z218" s="288">
        <f>H218-Y218</f>
        <v>0</v>
      </c>
    </row>
    <row r="219" spans="3:26" s="63" customFormat="1" ht="12" outlineLevel="1" x14ac:dyDescent="0.2">
      <c r="C219" s="64"/>
      <c r="D219" s="293"/>
      <c r="E219" s="300"/>
      <c r="F219" s="280"/>
      <c r="G219" s="557"/>
      <c r="H219" s="549"/>
      <c r="J219" s="619"/>
      <c r="K219" s="671"/>
      <c r="L219" s="671"/>
      <c r="M219" s="671"/>
      <c r="N219" s="671"/>
      <c r="O219" s="671"/>
      <c r="P219" s="671"/>
      <c r="Q219" s="671"/>
      <c r="R219" s="671"/>
      <c r="S219" s="671"/>
      <c r="T219" s="671"/>
      <c r="U219" s="671"/>
      <c r="V219" s="671"/>
      <c r="W219" s="549"/>
      <c r="Y219" s="288"/>
      <c r="Z219" s="288"/>
    </row>
    <row r="220" spans="3:26" s="63" customFormat="1" ht="12" outlineLevel="1" x14ac:dyDescent="0.2">
      <c r="C220" s="207">
        <v>6622</v>
      </c>
      <c r="D220" s="293"/>
      <c r="E220" s="300" t="s">
        <v>36</v>
      </c>
      <c r="F220" s="280"/>
      <c r="G220" s="557"/>
      <c r="H220" s="549"/>
      <c r="J220" s="619"/>
      <c r="K220" s="671"/>
      <c r="L220" s="671"/>
      <c r="M220" s="671"/>
      <c r="N220" s="671"/>
      <c r="O220" s="671"/>
      <c r="P220" s="671"/>
      <c r="Q220" s="671"/>
      <c r="R220" s="671"/>
      <c r="S220" s="671"/>
      <c r="T220" s="671"/>
      <c r="U220" s="671"/>
      <c r="V220" s="671"/>
      <c r="W220" s="549"/>
      <c r="Y220" s="288"/>
      <c r="Z220" s="288"/>
    </row>
    <row r="221" spans="3:26" s="63" customFormat="1" ht="12" outlineLevel="1" x14ac:dyDescent="0.2">
      <c r="C221" s="64"/>
      <c r="D221" s="572" t="s">
        <v>274</v>
      </c>
      <c r="E221" s="573" t="s">
        <v>522</v>
      </c>
      <c r="F221" s="575">
        <v>12</v>
      </c>
      <c r="G221" s="613">
        <v>100</v>
      </c>
      <c r="H221" s="616">
        <f t="shared" ref="H221" si="243">IF(J221="NO", F221*G221,SUM(J221:V221))</f>
        <v>1200</v>
      </c>
      <c r="J221" s="627" t="s">
        <v>539</v>
      </c>
      <c r="K221" s="611">
        <f t="shared" ref="K221:S221" si="244">$F221*$G221/12</f>
        <v>100</v>
      </c>
      <c r="L221" s="611">
        <f t="shared" si="244"/>
        <v>100</v>
      </c>
      <c r="M221" s="611">
        <f t="shared" si="244"/>
        <v>100</v>
      </c>
      <c r="N221" s="611">
        <f t="shared" si="244"/>
        <v>100</v>
      </c>
      <c r="O221" s="611">
        <f t="shared" si="244"/>
        <v>100</v>
      </c>
      <c r="P221" s="611">
        <f t="shared" si="244"/>
        <v>100</v>
      </c>
      <c r="Q221" s="611">
        <f t="shared" si="244"/>
        <v>100</v>
      </c>
      <c r="R221" s="611">
        <f t="shared" si="244"/>
        <v>100</v>
      </c>
      <c r="S221" s="611">
        <f t="shared" si="244"/>
        <v>100</v>
      </c>
      <c r="T221" s="611">
        <f t="shared" ref="T221:V221" si="245">$F221*$G221/12</f>
        <v>100</v>
      </c>
      <c r="U221" s="611">
        <f t="shared" si="245"/>
        <v>100</v>
      </c>
      <c r="V221" s="611">
        <f t="shared" si="245"/>
        <v>100</v>
      </c>
      <c r="W221" s="616">
        <f t="shared" ref="W221:W222" si="246">SUM(K221:V221)</f>
        <v>1200</v>
      </c>
      <c r="Y221" s="288"/>
      <c r="Z221" s="288"/>
    </row>
    <row r="222" spans="3:26" s="63" customFormat="1" ht="12" outlineLevel="1" x14ac:dyDescent="0.2">
      <c r="C222" s="64"/>
      <c r="D222" s="594" t="s">
        <v>259</v>
      </c>
      <c r="E222" s="595"/>
      <c r="F222" s="596">
        <v>0</v>
      </c>
      <c r="G222" s="612">
        <v>0</v>
      </c>
      <c r="H222" s="616">
        <f t="shared" ref="H222" si="247">IF(J222="NO", F222*G222,SUM(J222:V222))</f>
        <v>0</v>
      </c>
      <c r="J222" s="628" t="s">
        <v>538</v>
      </c>
      <c r="K222" s="612">
        <f t="shared" ref="K222:V222" si="248">$F222*$G222/12</f>
        <v>0</v>
      </c>
      <c r="L222" s="612">
        <f t="shared" si="248"/>
        <v>0</v>
      </c>
      <c r="M222" s="612">
        <f t="shared" si="248"/>
        <v>0</v>
      </c>
      <c r="N222" s="612">
        <f t="shared" si="248"/>
        <v>0</v>
      </c>
      <c r="O222" s="612">
        <f t="shared" si="248"/>
        <v>0</v>
      </c>
      <c r="P222" s="612">
        <f t="shared" si="248"/>
        <v>0</v>
      </c>
      <c r="Q222" s="612">
        <f t="shared" si="248"/>
        <v>0</v>
      </c>
      <c r="R222" s="612">
        <f t="shared" si="248"/>
        <v>0</v>
      </c>
      <c r="S222" s="612">
        <f t="shared" si="248"/>
        <v>0</v>
      </c>
      <c r="T222" s="612">
        <f t="shared" si="248"/>
        <v>0</v>
      </c>
      <c r="U222" s="612">
        <f t="shared" si="248"/>
        <v>0</v>
      </c>
      <c r="V222" s="612">
        <f t="shared" si="248"/>
        <v>0</v>
      </c>
      <c r="W222" s="635">
        <f t="shared" si="246"/>
        <v>0</v>
      </c>
      <c r="Y222" s="288"/>
      <c r="Z222" s="288"/>
    </row>
    <row r="223" spans="3:26" s="63" customFormat="1" ht="3.6" customHeight="1" outlineLevel="1" thickBot="1" x14ac:dyDescent="0.25">
      <c r="C223" s="64"/>
      <c r="D223" s="295"/>
      <c r="E223" s="301"/>
      <c r="F223" s="282"/>
      <c r="G223" s="559"/>
      <c r="H223" s="552"/>
      <c r="J223" s="624"/>
      <c r="K223" s="617"/>
      <c r="L223" s="617"/>
      <c r="M223" s="617"/>
      <c r="N223" s="617"/>
      <c r="O223" s="617"/>
      <c r="P223" s="617"/>
      <c r="Q223" s="617"/>
      <c r="R223" s="617"/>
      <c r="S223" s="617"/>
      <c r="T223" s="617"/>
      <c r="U223" s="617"/>
      <c r="V223" s="617"/>
      <c r="W223" s="552"/>
      <c r="Y223" s="288"/>
      <c r="Z223" s="288"/>
    </row>
    <row r="224" spans="3:26" s="63" customFormat="1" ht="12.75" thickBot="1" x14ac:dyDescent="0.25">
      <c r="C224" s="64"/>
      <c r="D224" s="293"/>
      <c r="E224" s="300"/>
      <c r="F224" s="283" t="str">
        <f>E220</f>
        <v>Electricity</v>
      </c>
      <c r="G224" s="560">
        <f>C220</f>
        <v>6622</v>
      </c>
      <c r="H224" s="553">
        <f>SUBTOTAL(9,H221:H223)</f>
        <v>1200</v>
      </c>
      <c r="J224" s="626"/>
      <c r="K224" s="620">
        <f>SUBTOTAL(9,K221:K223)</f>
        <v>100</v>
      </c>
      <c r="L224" s="620">
        <f t="shared" ref="L224:V224" si="249">SUBTOTAL(9,L221:L223)</f>
        <v>100</v>
      </c>
      <c r="M224" s="620">
        <f t="shared" si="249"/>
        <v>100</v>
      </c>
      <c r="N224" s="620">
        <f t="shared" si="249"/>
        <v>100</v>
      </c>
      <c r="O224" s="620">
        <f t="shared" si="249"/>
        <v>100</v>
      </c>
      <c r="P224" s="620">
        <f t="shared" si="249"/>
        <v>100</v>
      </c>
      <c r="Q224" s="620">
        <f t="shared" si="249"/>
        <v>100</v>
      </c>
      <c r="R224" s="620">
        <f t="shared" si="249"/>
        <v>100</v>
      </c>
      <c r="S224" s="620">
        <f t="shared" si="249"/>
        <v>100</v>
      </c>
      <c r="T224" s="620">
        <f t="shared" si="249"/>
        <v>100</v>
      </c>
      <c r="U224" s="620">
        <f t="shared" si="249"/>
        <v>100</v>
      </c>
      <c r="V224" s="620">
        <f t="shared" si="249"/>
        <v>100</v>
      </c>
      <c r="W224" s="553">
        <f>SUBTOTAL(9,W221:W223)</f>
        <v>1200</v>
      </c>
      <c r="X224" s="63" t="str">
        <f>IF(H224=W224,"OK","Error")</f>
        <v>OK</v>
      </c>
      <c r="Y224" s="288">
        <v>0</v>
      </c>
      <c r="Z224" s="288">
        <f>H224-Y224</f>
        <v>1200</v>
      </c>
    </row>
    <row r="225" spans="3:26" s="63" customFormat="1" ht="12" outlineLevel="1" x14ac:dyDescent="0.2">
      <c r="C225" s="64"/>
      <c r="D225" s="293"/>
      <c r="E225" s="300"/>
      <c r="F225" s="280"/>
      <c r="G225" s="557"/>
      <c r="H225" s="549"/>
      <c r="J225" s="619"/>
      <c r="K225" s="671"/>
      <c r="L225" s="671"/>
      <c r="M225" s="671"/>
      <c r="N225" s="671"/>
      <c r="O225" s="671"/>
      <c r="P225" s="671"/>
      <c r="Q225" s="671"/>
      <c r="R225" s="671"/>
      <c r="S225" s="671"/>
      <c r="T225" s="671"/>
      <c r="U225" s="671"/>
      <c r="V225" s="671"/>
      <c r="W225" s="549"/>
      <c r="Y225" s="288"/>
      <c r="Z225" s="288"/>
    </row>
    <row r="226" spans="3:26" s="63" customFormat="1" ht="12" outlineLevel="1" x14ac:dyDescent="0.2">
      <c r="C226" s="207">
        <v>6641</v>
      </c>
      <c r="D226" s="293"/>
      <c r="E226" s="300" t="s">
        <v>37</v>
      </c>
      <c r="F226" s="280"/>
      <c r="G226" s="557"/>
      <c r="H226" s="549"/>
      <c r="J226" s="619"/>
      <c r="K226" s="671"/>
      <c r="L226" s="671"/>
      <c r="M226" s="671"/>
      <c r="N226" s="671"/>
      <c r="O226" s="671"/>
      <c r="P226" s="671"/>
      <c r="Q226" s="671"/>
      <c r="R226" s="671"/>
      <c r="S226" s="671"/>
      <c r="T226" s="671"/>
      <c r="U226" s="671"/>
      <c r="V226" s="671"/>
      <c r="W226" s="549"/>
      <c r="Y226" s="288"/>
      <c r="Z226" s="288"/>
    </row>
    <row r="227" spans="3:26" s="63" customFormat="1" ht="12" outlineLevel="1" x14ac:dyDescent="0.2">
      <c r="C227" s="64"/>
      <c r="D227" s="565" t="s">
        <v>260</v>
      </c>
      <c r="E227" s="566" t="s">
        <v>599</v>
      </c>
      <c r="F227" s="567">
        <f>AVERAGE('Rev &amp; Enroll'!Q24:V24)-F231</f>
        <v>71</v>
      </c>
      <c r="G227" s="614">
        <v>50</v>
      </c>
      <c r="H227" s="616">
        <f>IF(J227="NO", F227*G227,SUM(J227:V227))</f>
        <v>3550</v>
      </c>
      <c r="J227" s="627" t="s">
        <v>539</v>
      </c>
      <c r="K227" s="609">
        <v>0</v>
      </c>
      <c r="L227" s="609">
        <v>0</v>
      </c>
      <c r="M227" s="609">
        <v>0</v>
      </c>
      <c r="N227" s="609">
        <f>F227*G227/2</f>
        <v>1775</v>
      </c>
      <c r="O227" s="609">
        <f>F227*G227/2</f>
        <v>1775</v>
      </c>
      <c r="P227" s="609">
        <v>0</v>
      </c>
      <c r="Q227" s="609">
        <v>0</v>
      </c>
      <c r="R227" s="609">
        <v>0</v>
      </c>
      <c r="S227" s="609">
        <v>0</v>
      </c>
      <c r="T227" s="609">
        <v>0</v>
      </c>
      <c r="U227" s="609">
        <v>0</v>
      </c>
      <c r="V227" s="609">
        <v>0</v>
      </c>
      <c r="W227" s="616">
        <f>SUM(K227:V227)</f>
        <v>3550</v>
      </c>
      <c r="Y227" s="288"/>
      <c r="Z227" s="288"/>
    </row>
    <row r="228" spans="3:26" s="63" customFormat="1" ht="12" outlineLevel="1" x14ac:dyDescent="0.2">
      <c r="C228" s="64"/>
      <c r="D228" s="565" t="s">
        <v>260</v>
      </c>
      <c r="E228" s="566" t="s">
        <v>600</v>
      </c>
      <c r="F228" s="567">
        <f>AVERAGE('Rev &amp; Enroll'!W24:AB24)-F232</f>
        <v>71</v>
      </c>
      <c r="G228" s="614">
        <v>65</v>
      </c>
      <c r="H228" s="616">
        <f t="shared" ref="H228:H234" si="250">IF(J228="NO", F228*G228,SUM(J228:V228))</f>
        <v>4615</v>
      </c>
      <c r="J228" s="627" t="s">
        <v>539</v>
      </c>
      <c r="K228" s="609">
        <v>0</v>
      </c>
      <c r="L228" s="609">
        <v>0</v>
      </c>
      <c r="M228" s="609">
        <v>0</v>
      </c>
      <c r="N228" s="609">
        <v>0</v>
      </c>
      <c r="O228" s="609">
        <v>0</v>
      </c>
      <c r="P228" s="609">
        <v>0</v>
      </c>
      <c r="Q228" s="609">
        <v>0</v>
      </c>
      <c r="R228" s="609">
        <v>0</v>
      </c>
      <c r="S228" s="609">
        <v>0</v>
      </c>
      <c r="T228" s="609">
        <f>F228*G228/2</f>
        <v>2307.5</v>
      </c>
      <c r="U228" s="609">
        <f>F228*G228/2</f>
        <v>2307.5</v>
      </c>
      <c r="V228" s="609">
        <v>0</v>
      </c>
      <c r="W228" s="616">
        <f t="shared" ref="W228:W235" si="251">SUM(K228:V228)</f>
        <v>4615</v>
      </c>
      <c r="Y228" s="288"/>
      <c r="Z228" s="288"/>
    </row>
    <row r="229" spans="3:26" s="63" customFormat="1" ht="12" outlineLevel="1" x14ac:dyDescent="0.2">
      <c r="C229" s="64"/>
      <c r="D229" s="565" t="s">
        <v>260</v>
      </c>
      <c r="E229" s="566" t="s">
        <v>601</v>
      </c>
      <c r="F229" s="567">
        <f>MAX('Rev &amp; Enroll'!Q24:AB24)-F233</f>
        <v>71</v>
      </c>
      <c r="G229" s="614">
        <v>50</v>
      </c>
      <c r="H229" s="616">
        <f t="shared" si="250"/>
        <v>3550</v>
      </c>
      <c r="J229" s="627" t="s">
        <v>538</v>
      </c>
      <c r="K229" s="609">
        <v>0</v>
      </c>
      <c r="L229" s="609">
        <v>0</v>
      </c>
      <c r="M229" s="609">
        <v>0</v>
      </c>
      <c r="N229" s="609">
        <f>F229*G229</f>
        <v>3550</v>
      </c>
      <c r="O229" s="609">
        <v>0</v>
      </c>
      <c r="P229" s="609">
        <v>0</v>
      </c>
      <c r="Q229" s="609">
        <v>0</v>
      </c>
      <c r="R229" s="609">
        <v>0</v>
      </c>
      <c r="S229" s="609">
        <v>0</v>
      </c>
      <c r="T229" s="609">
        <v>0</v>
      </c>
      <c r="U229" s="609">
        <v>0</v>
      </c>
      <c r="V229" s="609">
        <v>0</v>
      </c>
      <c r="W229" s="616">
        <f t="shared" si="251"/>
        <v>3550</v>
      </c>
      <c r="Y229" s="288"/>
      <c r="Z229" s="288"/>
    </row>
    <row r="230" spans="3:26" s="63" customFormat="1" ht="12" outlineLevel="1" x14ac:dyDescent="0.2">
      <c r="C230" s="64"/>
      <c r="D230" s="565" t="s">
        <v>260</v>
      </c>
      <c r="E230" s="566" t="s">
        <v>602</v>
      </c>
      <c r="F230" s="567">
        <f>'Rev &amp; Enroll'!F26</f>
        <v>35</v>
      </c>
      <c r="G230" s="614">
        <v>50</v>
      </c>
      <c r="H230" s="616">
        <f t="shared" si="250"/>
        <v>1750</v>
      </c>
      <c r="J230" s="627" t="s">
        <v>538</v>
      </c>
      <c r="K230" s="609">
        <v>0</v>
      </c>
      <c r="L230" s="609">
        <v>0</v>
      </c>
      <c r="M230" s="609">
        <v>0</v>
      </c>
      <c r="N230" s="609">
        <f>F230*G230</f>
        <v>1750</v>
      </c>
      <c r="O230" s="609">
        <v>0</v>
      </c>
      <c r="P230" s="609">
        <v>0</v>
      </c>
      <c r="Q230" s="609">
        <v>0</v>
      </c>
      <c r="R230" s="609">
        <v>0</v>
      </c>
      <c r="S230" s="609">
        <v>0</v>
      </c>
      <c r="T230" s="609">
        <v>0</v>
      </c>
      <c r="U230" s="609">
        <v>0</v>
      </c>
      <c r="V230" s="609">
        <v>0</v>
      </c>
      <c r="W230" s="616">
        <f t="shared" si="251"/>
        <v>1750</v>
      </c>
      <c r="Y230" s="288"/>
      <c r="Z230" s="288"/>
    </row>
    <row r="231" spans="3:26" s="63" customFormat="1" ht="12" outlineLevel="1" x14ac:dyDescent="0.2">
      <c r="C231" s="64"/>
      <c r="D231" s="597" t="s">
        <v>281</v>
      </c>
      <c r="E231" s="566" t="s">
        <v>603</v>
      </c>
      <c r="F231" s="567">
        <f>'Rev &amp; Enroll'!F30</f>
        <v>17</v>
      </c>
      <c r="G231" s="614">
        <v>50</v>
      </c>
      <c r="H231" s="616">
        <f t="shared" si="250"/>
        <v>850</v>
      </c>
      <c r="J231" s="627" t="s">
        <v>538</v>
      </c>
      <c r="K231" s="609">
        <v>0</v>
      </c>
      <c r="L231" s="609">
        <v>0</v>
      </c>
      <c r="M231" s="609">
        <v>0</v>
      </c>
      <c r="N231" s="609">
        <v>0</v>
      </c>
      <c r="O231" s="673">
        <f>F231*G231</f>
        <v>850</v>
      </c>
      <c r="P231" s="609">
        <v>0</v>
      </c>
      <c r="Q231" s="609">
        <v>0</v>
      </c>
      <c r="R231" s="609">
        <v>0</v>
      </c>
      <c r="S231" s="609">
        <v>0</v>
      </c>
      <c r="T231" s="609">
        <v>0</v>
      </c>
      <c r="U231" s="609">
        <v>0</v>
      </c>
      <c r="V231" s="609">
        <v>0</v>
      </c>
      <c r="W231" s="616">
        <f t="shared" si="251"/>
        <v>850</v>
      </c>
      <c r="Y231" s="288"/>
      <c r="Z231" s="288"/>
    </row>
    <row r="232" spans="3:26" s="63" customFormat="1" ht="12" outlineLevel="1" x14ac:dyDescent="0.2">
      <c r="C232" s="64"/>
      <c r="D232" s="597" t="s">
        <v>281</v>
      </c>
      <c r="E232" s="566" t="s">
        <v>604</v>
      </c>
      <c r="F232" s="567">
        <f>'Rev &amp; Enroll'!F30</f>
        <v>17</v>
      </c>
      <c r="G232" s="614">
        <v>65</v>
      </c>
      <c r="H232" s="616">
        <f t="shared" si="250"/>
        <v>1105</v>
      </c>
      <c r="J232" s="627" t="s">
        <v>538</v>
      </c>
      <c r="K232" s="609">
        <v>0</v>
      </c>
      <c r="L232" s="609">
        <v>0</v>
      </c>
      <c r="M232" s="609">
        <v>0</v>
      </c>
      <c r="N232" s="609">
        <v>0</v>
      </c>
      <c r="O232" s="609">
        <v>0</v>
      </c>
      <c r="P232" s="609">
        <v>0</v>
      </c>
      <c r="Q232" s="609">
        <v>0</v>
      </c>
      <c r="R232" s="609">
        <v>0</v>
      </c>
      <c r="S232" s="609">
        <v>0</v>
      </c>
      <c r="T232" s="673">
        <f>F232*G232</f>
        <v>1105</v>
      </c>
      <c r="U232" s="609">
        <v>0</v>
      </c>
      <c r="V232" s="609">
        <v>0</v>
      </c>
      <c r="W232" s="616">
        <f t="shared" si="251"/>
        <v>1105</v>
      </c>
      <c r="Y232" s="288"/>
      <c r="Z232" s="288"/>
    </row>
    <row r="233" spans="3:26" s="63" customFormat="1" ht="12" outlineLevel="1" x14ac:dyDescent="0.2">
      <c r="C233" s="64"/>
      <c r="D233" s="597" t="s">
        <v>281</v>
      </c>
      <c r="E233" s="566" t="s">
        <v>605</v>
      </c>
      <c r="F233" s="567">
        <f>'Rev &amp; Enroll'!F30</f>
        <v>17</v>
      </c>
      <c r="G233" s="614">
        <v>50</v>
      </c>
      <c r="H233" s="616">
        <f t="shared" si="250"/>
        <v>850</v>
      </c>
      <c r="J233" s="627" t="s">
        <v>538</v>
      </c>
      <c r="K233" s="609">
        <v>0</v>
      </c>
      <c r="L233" s="609">
        <v>0</v>
      </c>
      <c r="M233" s="609">
        <v>0</v>
      </c>
      <c r="N233" s="609">
        <v>0</v>
      </c>
      <c r="O233" s="673">
        <f>F233*G233</f>
        <v>850</v>
      </c>
      <c r="P233" s="609">
        <v>0</v>
      </c>
      <c r="Q233" s="609">
        <v>0</v>
      </c>
      <c r="R233" s="609">
        <v>0</v>
      </c>
      <c r="S233" s="609">
        <v>0</v>
      </c>
      <c r="T233" s="609">
        <v>0</v>
      </c>
      <c r="U233" s="609">
        <v>0</v>
      </c>
      <c r="V233" s="609">
        <v>0</v>
      </c>
      <c r="W233" s="616">
        <f t="shared" si="251"/>
        <v>850</v>
      </c>
      <c r="Y233" s="288"/>
      <c r="Z233" s="288"/>
    </row>
    <row r="234" spans="3:26" s="63" customFormat="1" ht="12" outlineLevel="1" x14ac:dyDescent="0.2">
      <c r="C234" s="64"/>
      <c r="D234" s="597" t="s">
        <v>281</v>
      </c>
      <c r="E234" s="566" t="s">
        <v>605</v>
      </c>
      <c r="F234" s="567">
        <f>'Rev &amp; Enroll'!F30</f>
        <v>17</v>
      </c>
      <c r="G234" s="614">
        <v>50</v>
      </c>
      <c r="H234" s="616">
        <f t="shared" si="250"/>
        <v>850</v>
      </c>
      <c r="J234" s="627" t="s">
        <v>538</v>
      </c>
      <c r="K234" s="609">
        <v>0</v>
      </c>
      <c r="L234" s="609">
        <v>0</v>
      </c>
      <c r="M234" s="609">
        <v>0</v>
      </c>
      <c r="N234" s="609">
        <v>0</v>
      </c>
      <c r="O234" s="609">
        <v>0</v>
      </c>
      <c r="P234" s="609">
        <v>0</v>
      </c>
      <c r="Q234" s="609">
        <v>0</v>
      </c>
      <c r="R234" s="609">
        <v>0</v>
      </c>
      <c r="S234" s="609">
        <v>0</v>
      </c>
      <c r="T234" s="673">
        <f>F234*G234</f>
        <v>850</v>
      </c>
      <c r="U234" s="609">
        <v>0</v>
      </c>
      <c r="V234" s="609">
        <v>0</v>
      </c>
      <c r="W234" s="616">
        <f t="shared" si="251"/>
        <v>850</v>
      </c>
      <c r="Y234" s="288"/>
      <c r="Z234" s="288"/>
    </row>
    <row r="235" spans="3:26" s="63" customFormat="1" ht="12" outlineLevel="1" x14ac:dyDescent="0.2">
      <c r="C235" s="64"/>
      <c r="D235" s="594" t="s">
        <v>259</v>
      </c>
      <c r="E235" s="595"/>
      <c r="F235" s="596">
        <v>0</v>
      </c>
      <c r="G235" s="612">
        <v>0</v>
      </c>
      <c r="H235" s="616">
        <f t="shared" ref="H235" si="252">IF(J235="NO", F235*G235,SUM(J235:V235))</f>
        <v>0</v>
      </c>
      <c r="J235" s="628" t="s">
        <v>538</v>
      </c>
      <c r="K235" s="612">
        <f t="shared" ref="K235:V235" si="253">$F235*$G235/12</f>
        <v>0</v>
      </c>
      <c r="L235" s="612">
        <f t="shared" si="253"/>
        <v>0</v>
      </c>
      <c r="M235" s="612">
        <f t="shared" si="253"/>
        <v>0</v>
      </c>
      <c r="N235" s="612">
        <f t="shared" si="253"/>
        <v>0</v>
      </c>
      <c r="O235" s="612">
        <f t="shared" si="253"/>
        <v>0</v>
      </c>
      <c r="P235" s="612">
        <f t="shared" si="253"/>
        <v>0</v>
      </c>
      <c r="Q235" s="612">
        <f t="shared" si="253"/>
        <v>0</v>
      </c>
      <c r="R235" s="612">
        <f t="shared" si="253"/>
        <v>0</v>
      </c>
      <c r="S235" s="612">
        <f t="shared" si="253"/>
        <v>0</v>
      </c>
      <c r="T235" s="612">
        <f t="shared" si="253"/>
        <v>0</v>
      </c>
      <c r="U235" s="612">
        <f t="shared" si="253"/>
        <v>0</v>
      </c>
      <c r="V235" s="612">
        <f t="shared" si="253"/>
        <v>0</v>
      </c>
      <c r="W235" s="616">
        <f t="shared" si="251"/>
        <v>0</v>
      </c>
      <c r="Y235" s="288"/>
      <c r="Z235" s="288"/>
    </row>
    <row r="236" spans="3:26" s="63" customFormat="1" ht="3.6" customHeight="1" outlineLevel="1" thickBot="1" x14ac:dyDescent="0.25">
      <c r="C236" s="64"/>
      <c r="D236" s="295"/>
      <c r="E236" s="301"/>
      <c r="F236" s="282"/>
      <c r="G236" s="559"/>
      <c r="H236" s="552"/>
      <c r="J236" s="624"/>
      <c r="K236" s="617"/>
      <c r="L236" s="617"/>
      <c r="M236" s="617"/>
      <c r="N236" s="617"/>
      <c r="O236" s="617"/>
      <c r="P236" s="617"/>
      <c r="Q236" s="617"/>
      <c r="R236" s="617"/>
      <c r="S236" s="617"/>
      <c r="T236" s="617"/>
      <c r="U236" s="617"/>
      <c r="V236" s="617"/>
      <c r="W236" s="552"/>
      <c r="Y236" s="288"/>
      <c r="Z236" s="288"/>
    </row>
    <row r="237" spans="3:26" s="63" customFormat="1" ht="12.75" thickBot="1" x14ac:dyDescent="0.25">
      <c r="C237" s="64"/>
      <c r="D237" s="293"/>
      <c r="E237" s="300"/>
      <c r="F237" s="283" t="str">
        <f>E226</f>
        <v xml:space="preserve">Textbooks </v>
      </c>
      <c r="G237" s="560">
        <f>C226</f>
        <v>6641</v>
      </c>
      <c r="H237" s="553">
        <f>SUBTOTAL(9,H227:H236)</f>
        <v>17120</v>
      </c>
      <c r="J237" s="626"/>
      <c r="K237" s="615">
        <f t="shared" ref="K237:W237" si="254">SUBTOTAL(9,K227:K236)</f>
        <v>0</v>
      </c>
      <c r="L237" s="615">
        <f t="shared" si="254"/>
        <v>0</v>
      </c>
      <c r="M237" s="615">
        <f t="shared" si="254"/>
        <v>0</v>
      </c>
      <c r="N237" s="615">
        <f t="shared" si="254"/>
        <v>7075</v>
      </c>
      <c r="O237" s="615">
        <f t="shared" si="254"/>
        <v>3475</v>
      </c>
      <c r="P237" s="615">
        <f t="shared" si="254"/>
        <v>0</v>
      </c>
      <c r="Q237" s="615">
        <f t="shared" si="254"/>
        <v>0</v>
      </c>
      <c r="R237" s="615">
        <f t="shared" si="254"/>
        <v>0</v>
      </c>
      <c r="S237" s="615">
        <f t="shared" si="254"/>
        <v>0</v>
      </c>
      <c r="T237" s="615">
        <f t="shared" si="254"/>
        <v>4262.5</v>
      </c>
      <c r="U237" s="615">
        <f t="shared" si="254"/>
        <v>2307.5</v>
      </c>
      <c r="V237" s="615">
        <f t="shared" si="254"/>
        <v>0</v>
      </c>
      <c r="W237" s="553">
        <f t="shared" si="254"/>
        <v>17120</v>
      </c>
      <c r="X237" s="63" t="str">
        <f>IF(H237=W237,"OK","Error")</f>
        <v>OK</v>
      </c>
      <c r="Y237" s="288">
        <v>0</v>
      </c>
      <c r="Z237" s="288">
        <f>H237-Y237</f>
        <v>17120</v>
      </c>
    </row>
    <row r="238" spans="3:26" s="63" customFormat="1" ht="12" outlineLevel="1" x14ac:dyDescent="0.2">
      <c r="C238" s="64"/>
      <c r="D238" s="293"/>
      <c r="E238" s="300"/>
      <c r="F238" s="280"/>
      <c r="G238" s="557"/>
      <c r="H238" s="549"/>
      <c r="J238" s="619"/>
      <c r="K238" s="671"/>
      <c r="L238" s="671"/>
      <c r="M238" s="671"/>
      <c r="N238" s="671"/>
      <c r="O238" s="671"/>
      <c r="P238" s="671"/>
      <c r="Q238" s="671"/>
      <c r="R238" s="671"/>
      <c r="S238" s="671"/>
      <c r="T238" s="671"/>
      <c r="U238" s="671"/>
      <c r="V238" s="671"/>
      <c r="W238" s="549"/>
      <c r="Y238" s="288"/>
      <c r="Z238" s="288"/>
    </row>
    <row r="239" spans="3:26" s="63" customFormat="1" ht="12" outlineLevel="1" x14ac:dyDescent="0.2">
      <c r="C239" s="207">
        <v>6642</v>
      </c>
      <c r="D239" s="293"/>
      <c r="E239" s="300" t="s">
        <v>38</v>
      </c>
      <c r="F239" s="280"/>
      <c r="G239" s="557"/>
      <c r="H239" s="549"/>
      <c r="J239" s="619"/>
      <c r="K239" s="671"/>
      <c r="L239" s="671"/>
      <c r="M239" s="671"/>
      <c r="N239" s="671"/>
      <c r="O239" s="671"/>
      <c r="P239" s="671"/>
      <c r="Q239" s="671"/>
      <c r="R239" s="671"/>
      <c r="S239" s="671"/>
      <c r="T239" s="671"/>
      <c r="U239" s="671"/>
      <c r="V239" s="671"/>
      <c r="W239" s="549"/>
      <c r="Y239" s="288"/>
      <c r="Z239" s="288"/>
    </row>
    <row r="240" spans="3:26" s="63" customFormat="1" ht="12" outlineLevel="1" x14ac:dyDescent="0.2">
      <c r="C240" s="64"/>
      <c r="D240" s="572" t="s">
        <v>260</v>
      </c>
      <c r="E240" s="573" t="s">
        <v>606</v>
      </c>
      <c r="F240" s="567">
        <f>AVERAGE('Rev &amp; Enroll'!Q24:V24)-F242</f>
        <v>71</v>
      </c>
      <c r="G240" s="614">
        <v>100</v>
      </c>
      <c r="H240" s="616">
        <f>IF(J240="NO", F240*G240,SUM(J240:V240))</f>
        <v>7100</v>
      </c>
      <c r="J240" s="627" t="s">
        <v>538</v>
      </c>
      <c r="K240" s="609">
        <v>0</v>
      </c>
      <c r="L240" s="609">
        <v>0</v>
      </c>
      <c r="M240" s="609">
        <v>0</v>
      </c>
      <c r="N240" s="609">
        <f>F240*G240/2</f>
        <v>3550</v>
      </c>
      <c r="O240" s="609">
        <f>F240*G240/2</f>
        <v>3550</v>
      </c>
      <c r="P240" s="609">
        <v>0</v>
      </c>
      <c r="Q240" s="609">
        <v>0</v>
      </c>
      <c r="R240" s="609">
        <v>0</v>
      </c>
      <c r="S240" s="609">
        <v>0</v>
      </c>
      <c r="T240" s="609">
        <v>0</v>
      </c>
      <c r="U240" s="609">
        <v>0</v>
      </c>
      <c r="V240" s="609">
        <v>0</v>
      </c>
      <c r="W240" s="616">
        <f t="shared" ref="W240:W244" si="255">SUM(K240:V240)</f>
        <v>7100</v>
      </c>
      <c r="Y240" s="288"/>
      <c r="Z240" s="288"/>
    </row>
    <row r="241" spans="3:26" s="63" customFormat="1" ht="12" outlineLevel="1" x14ac:dyDescent="0.2">
      <c r="C241" s="64"/>
      <c r="D241" s="572" t="s">
        <v>260</v>
      </c>
      <c r="E241" s="573" t="s">
        <v>607</v>
      </c>
      <c r="F241" s="567">
        <f>AVERAGE('Rev &amp; Enroll'!W24:AB24)-F243</f>
        <v>71</v>
      </c>
      <c r="G241" s="614">
        <v>135</v>
      </c>
      <c r="H241" s="616">
        <f t="shared" ref="H241:H243" si="256">IF(J241="NO", F241*G241,SUM(J241:V241))</f>
        <v>9585</v>
      </c>
      <c r="J241" s="627" t="s">
        <v>538</v>
      </c>
      <c r="K241" s="609">
        <v>0</v>
      </c>
      <c r="L241" s="609">
        <v>0</v>
      </c>
      <c r="M241" s="609">
        <v>0</v>
      </c>
      <c r="N241" s="609">
        <v>0</v>
      </c>
      <c r="O241" s="609">
        <v>0</v>
      </c>
      <c r="P241" s="609">
        <v>0</v>
      </c>
      <c r="Q241" s="609">
        <v>0</v>
      </c>
      <c r="R241" s="609">
        <v>0</v>
      </c>
      <c r="S241" s="609">
        <v>0</v>
      </c>
      <c r="T241" s="609">
        <f>F241*G241/2</f>
        <v>4792.5</v>
      </c>
      <c r="U241" s="609">
        <f>F241*G241/2</f>
        <v>4792.5</v>
      </c>
      <c r="V241" s="609">
        <v>0</v>
      </c>
      <c r="W241" s="616">
        <f t="shared" si="255"/>
        <v>9585</v>
      </c>
      <c r="Y241" s="288"/>
      <c r="Z241" s="288"/>
    </row>
    <row r="242" spans="3:26" s="63" customFormat="1" ht="12" outlineLevel="1" x14ac:dyDescent="0.2">
      <c r="C242" s="64"/>
      <c r="D242" s="597" t="s">
        <v>281</v>
      </c>
      <c r="E242" s="566" t="s">
        <v>608</v>
      </c>
      <c r="F242" s="567">
        <f>'Rev &amp; Enroll'!F30</f>
        <v>17</v>
      </c>
      <c r="G242" s="614">
        <v>100</v>
      </c>
      <c r="H242" s="616">
        <f t="shared" si="256"/>
        <v>1700</v>
      </c>
      <c r="J242" s="627" t="s">
        <v>538</v>
      </c>
      <c r="K242" s="609">
        <v>0</v>
      </c>
      <c r="L242" s="609">
        <v>0</v>
      </c>
      <c r="M242" s="609">
        <v>0</v>
      </c>
      <c r="N242" s="609">
        <v>0</v>
      </c>
      <c r="O242" s="673">
        <f>F242*G242</f>
        <v>1700</v>
      </c>
      <c r="P242" s="609">
        <v>0</v>
      </c>
      <c r="Q242" s="609">
        <v>0</v>
      </c>
      <c r="R242" s="609">
        <v>0</v>
      </c>
      <c r="S242" s="609">
        <v>0</v>
      </c>
      <c r="T242" s="609">
        <v>0</v>
      </c>
      <c r="U242" s="609">
        <v>0</v>
      </c>
      <c r="V242" s="609">
        <v>0</v>
      </c>
      <c r="W242" s="616">
        <f t="shared" si="255"/>
        <v>1700</v>
      </c>
      <c r="Y242" s="288"/>
      <c r="Z242" s="288"/>
    </row>
    <row r="243" spans="3:26" s="63" customFormat="1" ht="12" outlineLevel="1" x14ac:dyDescent="0.2">
      <c r="C243" s="64"/>
      <c r="D243" s="597" t="s">
        <v>281</v>
      </c>
      <c r="E243" s="566" t="s">
        <v>609</v>
      </c>
      <c r="F243" s="567">
        <f>'Rev &amp; Enroll'!F30</f>
        <v>17</v>
      </c>
      <c r="G243" s="614">
        <v>135</v>
      </c>
      <c r="H243" s="616">
        <f t="shared" si="256"/>
        <v>2295</v>
      </c>
      <c r="J243" s="627" t="s">
        <v>538</v>
      </c>
      <c r="K243" s="609">
        <v>0</v>
      </c>
      <c r="L243" s="609">
        <v>0</v>
      </c>
      <c r="M243" s="609">
        <v>0</v>
      </c>
      <c r="N243" s="609">
        <v>0</v>
      </c>
      <c r="O243" s="609">
        <v>0</v>
      </c>
      <c r="P243" s="609">
        <v>0</v>
      </c>
      <c r="Q243" s="609">
        <v>0</v>
      </c>
      <c r="R243" s="609">
        <v>0</v>
      </c>
      <c r="S243" s="609">
        <v>0</v>
      </c>
      <c r="T243" s="673">
        <f>F243*G243</f>
        <v>2295</v>
      </c>
      <c r="U243" s="609">
        <v>0</v>
      </c>
      <c r="V243" s="609">
        <v>0</v>
      </c>
      <c r="W243" s="616">
        <f t="shared" si="255"/>
        <v>2295</v>
      </c>
      <c r="Y243" s="288"/>
      <c r="Z243" s="288"/>
    </row>
    <row r="244" spans="3:26" s="63" customFormat="1" ht="12" outlineLevel="1" x14ac:dyDescent="0.2">
      <c r="C244" s="64"/>
      <c r="D244" s="598" t="s">
        <v>259</v>
      </c>
      <c r="E244" s="599"/>
      <c r="F244" s="596">
        <v>0</v>
      </c>
      <c r="G244" s="612">
        <v>0</v>
      </c>
      <c r="H244" s="616">
        <f t="shared" ref="H244" si="257">IF(J244="NO", F244*G244,SUM(J244:V244))</f>
        <v>0</v>
      </c>
      <c r="J244" s="628" t="s">
        <v>538</v>
      </c>
      <c r="K244" s="612">
        <f t="shared" ref="K244:V244" si="258">$F244*$G244/12</f>
        <v>0</v>
      </c>
      <c r="L244" s="612">
        <f t="shared" si="258"/>
        <v>0</v>
      </c>
      <c r="M244" s="612">
        <f t="shared" si="258"/>
        <v>0</v>
      </c>
      <c r="N244" s="612">
        <f t="shared" si="258"/>
        <v>0</v>
      </c>
      <c r="O244" s="612">
        <f t="shared" si="258"/>
        <v>0</v>
      </c>
      <c r="P244" s="612">
        <f t="shared" si="258"/>
        <v>0</v>
      </c>
      <c r="Q244" s="612">
        <f t="shared" si="258"/>
        <v>0</v>
      </c>
      <c r="R244" s="612">
        <f t="shared" si="258"/>
        <v>0</v>
      </c>
      <c r="S244" s="612">
        <f t="shared" si="258"/>
        <v>0</v>
      </c>
      <c r="T244" s="612">
        <f t="shared" si="258"/>
        <v>0</v>
      </c>
      <c r="U244" s="612">
        <f t="shared" si="258"/>
        <v>0</v>
      </c>
      <c r="V244" s="612">
        <f t="shared" si="258"/>
        <v>0</v>
      </c>
      <c r="W244" s="616">
        <f t="shared" si="255"/>
        <v>0</v>
      </c>
      <c r="Y244" s="288"/>
      <c r="Z244" s="288"/>
    </row>
    <row r="245" spans="3:26" s="63" customFormat="1" ht="3.6" customHeight="1" outlineLevel="1" thickBot="1" x14ac:dyDescent="0.25">
      <c r="C245" s="64"/>
      <c r="D245" s="295"/>
      <c r="E245" s="301"/>
      <c r="F245" s="282"/>
      <c r="G245" s="559"/>
      <c r="H245" s="552"/>
      <c r="J245" s="624"/>
      <c r="K245" s="617"/>
      <c r="L245" s="617"/>
      <c r="M245" s="617"/>
      <c r="N245" s="617"/>
      <c r="O245" s="617"/>
      <c r="P245" s="617"/>
      <c r="Q245" s="617"/>
      <c r="R245" s="617"/>
      <c r="S245" s="617"/>
      <c r="T245" s="617"/>
      <c r="U245" s="617"/>
      <c r="V245" s="617"/>
      <c r="W245" s="552"/>
      <c r="Y245" s="288"/>
      <c r="Z245" s="288"/>
    </row>
    <row r="246" spans="3:26" s="63" customFormat="1" ht="12.75" thickBot="1" x14ac:dyDescent="0.25">
      <c r="C246" s="64"/>
      <c r="D246" s="293"/>
      <c r="E246" s="300"/>
      <c r="F246" s="283" t="str">
        <f>E239</f>
        <v>Classroom Technology Fees</v>
      </c>
      <c r="G246" s="560">
        <f>C239</f>
        <v>6642</v>
      </c>
      <c r="H246" s="553">
        <f>SUBTOTAL(9,H240:H245)</f>
        <v>20680</v>
      </c>
      <c r="J246" s="626"/>
      <c r="K246" s="620">
        <f>SUBTOTAL(9,K240:K245)</f>
        <v>0</v>
      </c>
      <c r="L246" s="620">
        <f t="shared" ref="L246:V246" si="259">SUBTOTAL(9,L240:L245)</f>
        <v>0</v>
      </c>
      <c r="M246" s="620">
        <f t="shared" si="259"/>
        <v>0</v>
      </c>
      <c r="N246" s="620">
        <f t="shared" si="259"/>
        <v>3550</v>
      </c>
      <c r="O246" s="620">
        <f t="shared" si="259"/>
        <v>5250</v>
      </c>
      <c r="P246" s="620">
        <f t="shared" si="259"/>
        <v>0</v>
      </c>
      <c r="Q246" s="620">
        <f t="shared" si="259"/>
        <v>0</v>
      </c>
      <c r="R246" s="620">
        <f t="shared" si="259"/>
        <v>0</v>
      </c>
      <c r="S246" s="620">
        <f t="shared" si="259"/>
        <v>0</v>
      </c>
      <c r="T246" s="620">
        <f t="shared" si="259"/>
        <v>7087.5</v>
      </c>
      <c r="U246" s="620">
        <f t="shared" si="259"/>
        <v>4792.5</v>
      </c>
      <c r="V246" s="620">
        <f t="shared" si="259"/>
        <v>0</v>
      </c>
      <c r="W246" s="553">
        <f>SUBTOTAL(9,W240:W245)</f>
        <v>20680</v>
      </c>
      <c r="X246" s="63" t="str">
        <f>IF(H246=W246,"OK","Error")</f>
        <v>OK</v>
      </c>
      <c r="Y246" s="288">
        <v>0</v>
      </c>
      <c r="Z246" s="288">
        <f>H246-Y246</f>
        <v>20680</v>
      </c>
    </row>
    <row r="247" spans="3:26" s="63" customFormat="1" ht="12" outlineLevel="1" x14ac:dyDescent="0.2">
      <c r="C247" s="64"/>
      <c r="D247" s="293"/>
      <c r="E247" s="300"/>
      <c r="F247" s="280"/>
      <c r="G247" s="557"/>
      <c r="H247" s="549"/>
      <c r="J247" s="619"/>
      <c r="K247" s="671"/>
      <c r="L247" s="671"/>
      <c r="M247" s="671"/>
      <c r="N247" s="671"/>
      <c r="O247" s="671"/>
      <c r="P247" s="671"/>
      <c r="Q247" s="671"/>
      <c r="R247" s="671"/>
      <c r="S247" s="671"/>
      <c r="T247" s="671"/>
      <c r="U247" s="671"/>
      <c r="V247" s="671"/>
      <c r="W247" s="549"/>
      <c r="Y247" s="288"/>
      <c r="Z247" s="288"/>
    </row>
    <row r="248" spans="3:26" s="63" customFormat="1" ht="12" outlineLevel="1" x14ac:dyDescent="0.2">
      <c r="C248" s="207">
        <v>6651</v>
      </c>
      <c r="D248" s="293"/>
      <c r="E248" s="300" t="s">
        <v>39</v>
      </c>
      <c r="F248" s="280"/>
      <c r="G248" s="557"/>
      <c r="H248" s="549"/>
      <c r="J248" s="619"/>
      <c r="K248" s="671"/>
      <c r="L248" s="671"/>
      <c r="M248" s="671"/>
      <c r="N248" s="671"/>
      <c r="O248" s="671"/>
      <c r="P248" s="671"/>
      <c r="Q248" s="671"/>
      <c r="R248" s="671"/>
      <c r="S248" s="671"/>
      <c r="T248" s="671"/>
      <c r="U248" s="671"/>
      <c r="V248" s="671"/>
      <c r="W248" s="549"/>
      <c r="Y248" s="288"/>
      <c r="Z248" s="288"/>
    </row>
    <row r="249" spans="3:26" s="63" customFormat="1" ht="12" outlineLevel="1" x14ac:dyDescent="0.2">
      <c r="C249" s="64"/>
      <c r="D249" s="594" t="s">
        <v>259</v>
      </c>
      <c r="E249" s="595"/>
      <c r="F249" s="596">
        <v>0</v>
      </c>
      <c r="G249" s="612">
        <v>0</v>
      </c>
      <c r="H249" s="616">
        <f t="shared" ref="H249" si="260">IF(J249="NO", F249*G249,SUM(J249:V249))</f>
        <v>0</v>
      </c>
      <c r="J249" s="628" t="s">
        <v>538</v>
      </c>
      <c r="K249" s="612">
        <f t="shared" ref="K249:V253" si="261">$F249*$G249/12</f>
        <v>0</v>
      </c>
      <c r="L249" s="612">
        <f t="shared" si="261"/>
        <v>0</v>
      </c>
      <c r="M249" s="612">
        <f t="shared" si="261"/>
        <v>0</v>
      </c>
      <c r="N249" s="612">
        <f t="shared" si="261"/>
        <v>0</v>
      </c>
      <c r="O249" s="612">
        <f t="shared" si="261"/>
        <v>0</v>
      </c>
      <c r="P249" s="612">
        <f t="shared" si="261"/>
        <v>0</v>
      </c>
      <c r="Q249" s="612">
        <f t="shared" si="261"/>
        <v>0</v>
      </c>
      <c r="R249" s="612">
        <f t="shared" si="261"/>
        <v>0</v>
      </c>
      <c r="S249" s="612">
        <f t="shared" si="261"/>
        <v>0</v>
      </c>
      <c r="T249" s="612">
        <f t="shared" si="261"/>
        <v>0</v>
      </c>
      <c r="U249" s="612">
        <f t="shared" si="261"/>
        <v>0</v>
      </c>
      <c r="V249" s="612">
        <f t="shared" si="261"/>
        <v>0</v>
      </c>
      <c r="W249" s="616">
        <f t="shared" ref="W249" si="262">SUM(K249:V249)</f>
        <v>0</v>
      </c>
      <c r="Y249" s="288"/>
      <c r="Z249" s="288"/>
    </row>
    <row r="250" spans="3:26" s="63" customFormat="1" ht="12" outlineLevel="1" x14ac:dyDescent="0.2">
      <c r="C250" s="64"/>
      <c r="D250" s="594" t="s">
        <v>259</v>
      </c>
      <c r="E250" s="595"/>
      <c r="F250" s="596">
        <v>0</v>
      </c>
      <c r="G250" s="612">
        <v>0</v>
      </c>
      <c r="H250" s="616">
        <f t="shared" ref="H250:H253" si="263">IF(J250="NO", F250*G250,SUM(J250:V250))</f>
        <v>0</v>
      </c>
      <c r="J250" s="628" t="s">
        <v>538</v>
      </c>
      <c r="K250" s="612">
        <f t="shared" si="261"/>
        <v>0</v>
      </c>
      <c r="L250" s="612">
        <f t="shared" si="261"/>
        <v>0</v>
      </c>
      <c r="M250" s="612">
        <f t="shared" si="261"/>
        <v>0</v>
      </c>
      <c r="N250" s="612">
        <f t="shared" si="261"/>
        <v>0</v>
      </c>
      <c r="O250" s="612">
        <f t="shared" si="261"/>
        <v>0</v>
      </c>
      <c r="P250" s="612">
        <f t="shared" si="261"/>
        <v>0</v>
      </c>
      <c r="Q250" s="612">
        <f t="shared" si="261"/>
        <v>0</v>
      </c>
      <c r="R250" s="612">
        <f t="shared" si="261"/>
        <v>0</v>
      </c>
      <c r="S250" s="612">
        <f t="shared" si="261"/>
        <v>0</v>
      </c>
      <c r="T250" s="612">
        <f t="shared" si="261"/>
        <v>0</v>
      </c>
      <c r="U250" s="612">
        <f t="shared" si="261"/>
        <v>0</v>
      </c>
      <c r="V250" s="612">
        <f t="shared" si="261"/>
        <v>0</v>
      </c>
      <c r="W250" s="616">
        <f t="shared" ref="W250:W253" si="264">SUM(K250:V250)</f>
        <v>0</v>
      </c>
      <c r="Y250" s="288"/>
      <c r="Z250" s="288"/>
    </row>
    <row r="251" spans="3:26" s="63" customFormat="1" ht="12" outlineLevel="1" x14ac:dyDescent="0.2">
      <c r="C251" s="64"/>
      <c r="D251" s="594" t="s">
        <v>259</v>
      </c>
      <c r="E251" s="595"/>
      <c r="F251" s="596">
        <v>0</v>
      </c>
      <c r="G251" s="612">
        <v>0</v>
      </c>
      <c r="H251" s="616">
        <f t="shared" si="263"/>
        <v>0</v>
      </c>
      <c r="J251" s="628" t="s">
        <v>538</v>
      </c>
      <c r="K251" s="612">
        <f t="shared" si="261"/>
        <v>0</v>
      </c>
      <c r="L251" s="612">
        <f t="shared" si="261"/>
        <v>0</v>
      </c>
      <c r="M251" s="612">
        <f t="shared" si="261"/>
        <v>0</v>
      </c>
      <c r="N251" s="612">
        <f t="shared" si="261"/>
        <v>0</v>
      </c>
      <c r="O251" s="612">
        <f t="shared" si="261"/>
        <v>0</v>
      </c>
      <c r="P251" s="612">
        <f t="shared" si="261"/>
        <v>0</v>
      </c>
      <c r="Q251" s="612">
        <f t="shared" si="261"/>
        <v>0</v>
      </c>
      <c r="R251" s="612">
        <f t="shared" si="261"/>
        <v>0</v>
      </c>
      <c r="S251" s="612">
        <f t="shared" si="261"/>
        <v>0</v>
      </c>
      <c r="T251" s="612">
        <f t="shared" si="261"/>
        <v>0</v>
      </c>
      <c r="U251" s="612">
        <f t="shared" si="261"/>
        <v>0</v>
      </c>
      <c r="V251" s="612">
        <f t="shared" si="261"/>
        <v>0</v>
      </c>
      <c r="W251" s="616">
        <f t="shared" si="264"/>
        <v>0</v>
      </c>
      <c r="Y251" s="288"/>
      <c r="Z251" s="288"/>
    </row>
    <row r="252" spans="3:26" s="63" customFormat="1" ht="12" outlineLevel="1" x14ac:dyDescent="0.2">
      <c r="C252" s="64"/>
      <c r="D252" s="594" t="s">
        <v>259</v>
      </c>
      <c r="E252" s="595"/>
      <c r="F252" s="596">
        <v>0</v>
      </c>
      <c r="G252" s="612">
        <v>0</v>
      </c>
      <c r="H252" s="616">
        <f t="shared" si="263"/>
        <v>0</v>
      </c>
      <c r="J252" s="628" t="s">
        <v>538</v>
      </c>
      <c r="K252" s="612">
        <f t="shared" si="261"/>
        <v>0</v>
      </c>
      <c r="L252" s="612">
        <f t="shared" si="261"/>
        <v>0</v>
      </c>
      <c r="M252" s="612">
        <f t="shared" si="261"/>
        <v>0</v>
      </c>
      <c r="N252" s="612">
        <f t="shared" si="261"/>
        <v>0</v>
      </c>
      <c r="O252" s="612">
        <f t="shared" si="261"/>
        <v>0</v>
      </c>
      <c r="P252" s="612">
        <f t="shared" si="261"/>
        <v>0</v>
      </c>
      <c r="Q252" s="612">
        <f t="shared" si="261"/>
        <v>0</v>
      </c>
      <c r="R252" s="612">
        <f t="shared" si="261"/>
        <v>0</v>
      </c>
      <c r="S252" s="612">
        <f t="shared" si="261"/>
        <v>0</v>
      </c>
      <c r="T252" s="612">
        <f t="shared" si="261"/>
        <v>0</v>
      </c>
      <c r="U252" s="612">
        <f t="shared" si="261"/>
        <v>0</v>
      </c>
      <c r="V252" s="612">
        <f t="shared" si="261"/>
        <v>0</v>
      </c>
      <c r="W252" s="616">
        <f t="shared" si="264"/>
        <v>0</v>
      </c>
      <c r="Y252" s="288"/>
      <c r="Z252" s="288"/>
    </row>
    <row r="253" spans="3:26" s="63" customFormat="1" ht="12" outlineLevel="1" x14ac:dyDescent="0.2">
      <c r="C253" s="64"/>
      <c r="D253" s="594" t="s">
        <v>259</v>
      </c>
      <c r="E253" s="595"/>
      <c r="F253" s="596">
        <v>0</v>
      </c>
      <c r="G253" s="612">
        <v>0</v>
      </c>
      <c r="H253" s="616">
        <f t="shared" si="263"/>
        <v>0</v>
      </c>
      <c r="J253" s="628" t="s">
        <v>538</v>
      </c>
      <c r="K253" s="612">
        <f t="shared" si="261"/>
        <v>0</v>
      </c>
      <c r="L253" s="612">
        <f t="shared" si="261"/>
        <v>0</v>
      </c>
      <c r="M253" s="612">
        <f t="shared" si="261"/>
        <v>0</v>
      </c>
      <c r="N253" s="612">
        <f t="shared" si="261"/>
        <v>0</v>
      </c>
      <c r="O253" s="612">
        <f t="shared" si="261"/>
        <v>0</v>
      </c>
      <c r="P253" s="612">
        <f t="shared" si="261"/>
        <v>0</v>
      </c>
      <c r="Q253" s="612">
        <f t="shared" si="261"/>
        <v>0</v>
      </c>
      <c r="R253" s="612">
        <f t="shared" si="261"/>
        <v>0</v>
      </c>
      <c r="S253" s="612">
        <f t="shared" si="261"/>
        <v>0</v>
      </c>
      <c r="T253" s="612">
        <f t="shared" si="261"/>
        <v>0</v>
      </c>
      <c r="U253" s="612">
        <f t="shared" si="261"/>
        <v>0</v>
      </c>
      <c r="V253" s="612">
        <f t="shared" si="261"/>
        <v>0</v>
      </c>
      <c r="W253" s="616">
        <f t="shared" si="264"/>
        <v>0</v>
      </c>
      <c r="Y253" s="288"/>
      <c r="Z253" s="288"/>
    </row>
    <row r="254" spans="3:26" s="63" customFormat="1" ht="3.6" customHeight="1" outlineLevel="1" thickBot="1" x14ac:dyDescent="0.25">
      <c r="C254" s="64"/>
      <c r="D254" s="295"/>
      <c r="E254" s="301"/>
      <c r="F254" s="282"/>
      <c r="G254" s="559"/>
      <c r="H254" s="552"/>
      <c r="J254" s="624"/>
      <c r="K254" s="617"/>
      <c r="L254" s="617"/>
      <c r="M254" s="617"/>
      <c r="N254" s="617"/>
      <c r="O254" s="617"/>
      <c r="P254" s="617"/>
      <c r="Q254" s="617"/>
      <c r="R254" s="617"/>
      <c r="S254" s="617"/>
      <c r="T254" s="617"/>
      <c r="U254" s="617"/>
      <c r="V254" s="617"/>
      <c r="W254" s="552"/>
      <c r="Y254" s="288"/>
      <c r="Z254" s="288"/>
    </row>
    <row r="255" spans="3:26" s="63" customFormat="1" ht="12.75" thickBot="1" x14ac:dyDescent="0.25">
      <c r="C255" s="64"/>
      <c r="D255" s="293"/>
      <c r="E255" s="300"/>
      <c r="F255" s="283" t="str">
        <f>E248</f>
        <v>Supplies -Tech -Software</v>
      </c>
      <c r="G255" s="560">
        <f>C248</f>
        <v>6651</v>
      </c>
      <c r="H255" s="553">
        <f>SUBTOTAL(9,H249:H254)</f>
        <v>0</v>
      </c>
      <c r="J255" s="626"/>
      <c r="K255" s="620">
        <f>SUBTOTAL(9,K249:K254)</f>
        <v>0</v>
      </c>
      <c r="L255" s="620">
        <f t="shared" ref="L255" si="265">SUBTOTAL(9,L249:L254)</f>
        <v>0</v>
      </c>
      <c r="M255" s="620">
        <f t="shared" ref="M255" si="266">SUBTOTAL(9,M249:M254)</f>
        <v>0</v>
      </c>
      <c r="N255" s="620">
        <f t="shared" ref="N255" si="267">SUBTOTAL(9,N249:N254)</f>
        <v>0</v>
      </c>
      <c r="O255" s="620">
        <f t="shared" ref="O255" si="268">SUBTOTAL(9,O249:O254)</f>
        <v>0</v>
      </c>
      <c r="P255" s="620">
        <f t="shared" ref="P255" si="269">SUBTOTAL(9,P249:P254)</f>
        <v>0</v>
      </c>
      <c r="Q255" s="620">
        <f t="shared" ref="Q255" si="270">SUBTOTAL(9,Q249:Q254)</f>
        <v>0</v>
      </c>
      <c r="R255" s="620">
        <f t="shared" ref="R255" si="271">SUBTOTAL(9,R249:R254)</f>
        <v>0</v>
      </c>
      <c r="S255" s="620">
        <f t="shared" ref="S255" si="272">SUBTOTAL(9,S249:S254)</f>
        <v>0</v>
      </c>
      <c r="T255" s="620">
        <f t="shared" ref="T255" si="273">SUBTOTAL(9,T249:T254)</f>
        <v>0</v>
      </c>
      <c r="U255" s="620">
        <f t="shared" ref="U255" si="274">SUBTOTAL(9,U249:U254)</f>
        <v>0</v>
      </c>
      <c r="V255" s="620">
        <f>SUBTOTAL(9,V249:V254)</f>
        <v>0</v>
      </c>
      <c r="W255" s="553">
        <f>SUBTOTAL(9,W249:W254)</f>
        <v>0</v>
      </c>
      <c r="X255" s="63" t="str">
        <f>IF(H255=W255,"OK","Error")</f>
        <v>OK</v>
      </c>
      <c r="Y255" s="288">
        <v>0</v>
      </c>
      <c r="Z255" s="288">
        <f>H255-Y255</f>
        <v>0</v>
      </c>
    </row>
    <row r="256" spans="3:26" s="63" customFormat="1" ht="12" outlineLevel="1" x14ac:dyDescent="0.2">
      <c r="C256" s="64"/>
      <c r="D256" s="293"/>
      <c r="E256" s="300"/>
      <c r="F256" s="280"/>
      <c r="G256" s="557"/>
      <c r="H256" s="549"/>
      <c r="J256" s="619"/>
      <c r="K256" s="671"/>
      <c r="L256" s="671"/>
      <c r="M256" s="671"/>
      <c r="N256" s="671"/>
      <c r="O256" s="671"/>
      <c r="P256" s="671"/>
      <c r="Q256" s="671"/>
      <c r="R256" s="671"/>
      <c r="S256" s="671"/>
      <c r="T256" s="671"/>
      <c r="U256" s="671"/>
      <c r="V256" s="671"/>
      <c r="W256" s="549"/>
      <c r="Y256" s="288"/>
      <c r="Z256" s="288"/>
    </row>
    <row r="257" spans="3:26" s="63" customFormat="1" ht="12" outlineLevel="1" x14ac:dyDescent="0.2">
      <c r="C257" s="207">
        <v>6652</v>
      </c>
      <c r="D257" s="293"/>
      <c r="E257" s="300" t="s">
        <v>40</v>
      </c>
      <c r="F257" s="280"/>
      <c r="G257" s="557"/>
      <c r="H257" s="549"/>
      <c r="J257" s="619"/>
      <c r="K257" s="671"/>
      <c r="L257" s="671"/>
      <c r="M257" s="671"/>
      <c r="N257" s="671"/>
      <c r="O257" s="671"/>
      <c r="P257" s="671"/>
      <c r="Q257" s="671"/>
      <c r="R257" s="671"/>
      <c r="S257" s="671"/>
      <c r="T257" s="671"/>
      <c r="U257" s="671"/>
      <c r="V257" s="671"/>
      <c r="W257" s="549"/>
      <c r="Y257" s="288"/>
      <c r="Z257" s="288"/>
    </row>
    <row r="258" spans="3:26" s="63" customFormat="1" ht="12" outlineLevel="1" x14ac:dyDescent="0.2">
      <c r="C258" s="64"/>
      <c r="D258" s="594" t="s">
        <v>259</v>
      </c>
      <c r="E258" s="595"/>
      <c r="F258" s="596">
        <v>0</v>
      </c>
      <c r="G258" s="612">
        <v>0</v>
      </c>
      <c r="H258" s="616">
        <f t="shared" ref="H258:H259" si="275">IF(J258="NO", F258*G258,SUM(J258:V258))</f>
        <v>0</v>
      </c>
      <c r="J258" s="628" t="s">
        <v>538</v>
      </c>
      <c r="K258" s="612">
        <f t="shared" ref="K258:V262" si="276">$F258*$G258/12</f>
        <v>0</v>
      </c>
      <c r="L258" s="612">
        <f t="shared" si="276"/>
        <v>0</v>
      </c>
      <c r="M258" s="612">
        <f t="shared" si="276"/>
        <v>0</v>
      </c>
      <c r="N258" s="612">
        <f t="shared" si="276"/>
        <v>0</v>
      </c>
      <c r="O258" s="612">
        <f t="shared" si="276"/>
        <v>0</v>
      </c>
      <c r="P258" s="612">
        <f t="shared" si="276"/>
        <v>0</v>
      </c>
      <c r="Q258" s="612">
        <f t="shared" si="276"/>
        <v>0</v>
      </c>
      <c r="R258" s="612">
        <f t="shared" si="276"/>
        <v>0</v>
      </c>
      <c r="S258" s="612">
        <f t="shared" si="276"/>
        <v>0</v>
      </c>
      <c r="T258" s="612">
        <f t="shared" si="276"/>
        <v>0</v>
      </c>
      <c r="U258" s="612">
        <f t="shared" si="276"/>
        <v>0</v>
      </c>
      <c r="V258" s="612">
        <f t="shared" si="276"/>
        <v>0</v>
      </c>
      <c r="W258" s="616">
        <f t="shared" ref="W258:W259" si="277">SUM(K258:V258)</f>
        <v>0</v>
      </c>
      <c r="Y258" s="288"/>
      <c r="Z258" s="288"/>
    </row>
    <row r="259" spans="3:26" s="63" customFormat="1" ht="12" outlineLevel="1" x14ac:dyDescent="0.2">
      <c r="C259" s="64"/>
      <c r="D259" s="594" t="s">
        <v>259</v>
      </c>
      <c r="E259" s="595"/>
      <c r="F259" s="596">
        <v>0</v>
      </c>
      <c r="G259" s="612">
        <v>0</v>
      </c>
      <c r="H259" s="616">
        <f t="shared" si="275"/>
        <v>0</v>
      </c>
      <c r="J259" s="628" t="s">
        <v>538</v>
      </c>
      <c r="K259" s="612">
        <f t="shared" si="276"/>
        <v>0</v>
      </c>
      <c r="L259" s="612">
        <f t="shared" si="276"/>
        <v>0</v>
      </c>
      <c r="M259" s="612">
        <f t="shared" si="276"/>
        <v>0</v>
      </c>
      <c r="N259" s="612">
        <f t="shared" si="276"/>
        <v>0</v>
      </c>
      <c r="O259" s="612">
        <f t="shared" si="276"/>
        <v>0</v>
      </c>
      <c r="P259" s="612">
        <f t="shared" si="276"/>
        <v>0</v>
      </c>
      <c r="Q259" s="612">
        <f t="shared" si="276"/>
        <v>0</v>
      </c>
      <c r="R259" s="612">
        <f t="shared" si="276"/>
        <v>0</v>
      </c>
      <c r="S259" s="612">
        <f t="shared" si="276"/>
        <v>0</v>
      </c>
      <c r="T259" s="612">
        <f t="shared" si="276"/>
        <v>0</v>
      </c>
      <c r="U259" s="612">
        <f t="shared" si="276"/>
        <v>0</v>
      </c>
      <c r="V259" s="612">
        <f t="shared" si="276"/>
        <v>0</v>
      </c>
      <c r="W259" s="616">
        <f t="shared" si="277"/>
        <v>0</v>
      </c>
      <c r="Y259" s="288"/>
      <c r="Z259" s="288"/>
    </row>
    <row r="260" spans="3:26" s="63" customFormat="1" ht="12" outlineLevel="1" x14ac:dyDescent="0.2">
      <c r="C260" s="64"/>
      <c r="D260" s="594" t="s">
        <v>259</v>
      </c>
      <c r="E260" s="595"/>
      <c r="F260" s="596">
        <v>0</v>
      </c>
      <c r="G260" s="612">
        <v>0</v>
      </c>
      <c r="H260" s="616">
        <f t="shared" ref="H260:H262" si="278">IF(J260="NO", F260*G260,SUM(J260:V260))</f>
        <v>0</v>
      </c>
      <c r="J260" s="628" t="s">
        <v>538</v>
      </c>
      <c r="K260" s="612">
        <f t="shared" si="276"/>
        <v>0</v>
      </c>
      <c r="L260" s="612">
        <f t="shared" si="276"/>
        <v>0</v>
      </c>
      <c r="M260" s="612">
        <f t="shared" si="276"/>
        <v>0</v>
      </c>
      <c r="N260" s="612">
        <f t="shared" si="276"/>
        <v>0</v>
      </c>
      <c r="O260" s="612">
        <f t="shared" si="276"/>
        <v>0</v>
      </c>
      <c r="P260" s="612">
        <f t="shared" si="276"/>
        <v>0</v>
      </c>
      <c r="Q260" s="612">
        <f t="shared" si="276"/>
        <v>0</v>
      </c>
      <c r="R260" s="612">
        <f t="shared" si="276"/>
        <v>0</v>
      </c>
      <c r="S260" s="612">
        <f t="shared" si="276"/>
        <v>0</v>
      </c>
      <c r="T260" s="612">
        <f t="shared" si="276"/>
        <v>0</v>
      </c>
      <c r="U260" s="612">
        <f t="shared" si="276"/>
        <v>0</v>
      </c>
      <c r="V260" s="612">
        <f t="shared" si="276"/>
        <v>0</v>
      </c>
      <c r="W260" s="616">
        <f t="shared" ref="W260:W262" si="279">SUM(K260:V260)</f>
        <v>0</v>
      </c>
      <c r="Y260" s="288"/>
      <c r="Z260" s="288"/>
    </row>
    <row r="261" spans="3:26" s="63" customFormat="1" ht="12" outlineLevel="1" x14ac:dyDescent="0.2">
      <c r="C261" s="64"/>
      <c r="D261" s="594" t="s">
        <v>259</v>
      </c>
      <c r="E261" s="595"/>
      <c r="F261" s="596">
        <v>0</v>
      </c>
      <c r="G261" s="612">
        <v>0</v>
      </c>
      <c r="H261" s="616">
        <f t="shared" si="278"/>
        <v>0</v>
      </c>
      <c r="J261" s="628" t="s">
        <v>538</v>
      </c>
      <c r="K261" s="612">
        <f t="shared" si="276"/>
        <v>0</v>
      </c>
      <c r="L261" s="612">
        <f t="shared" si="276"/>
        <v>0</v>
      </c>
      <c r="M261" s="612">
        <f t="shared" si="276"/>
        <v>0</v>
      </c>
      <c r="N261" s="612">
        <f t="shared" si="276"/>
        <v>0</v>
      </c>
      <c r="O261" s="612">
        <f t="shared" si="276"/>
        <v>0</v>
      </c>
      <c r="P261" s="612">
        <f t="shared" si="276"/>
        <v>0</v>
      </c>
      <c r="Q261" s="612">
        <f t="shared" si="276"/>
        <v>0</v>
      </c>
      <c r="R261" s="612">
        <f t="shared" si="276"/>
        <v>0</v>
      </c>
      <c r="S261" s="612">
        <f t="shared" si="276"/>
        <v>0</v>
      </c>
      <c r="T261" s="612">
        <f t="shared" si="276"/>
        <v>0</v>
      </c>
      <c r="U261" s="612">
        <f t="shared" si="276"/>
        <v>0</v>
      </c>
      <c r="V261" s="612">
        <f t="shared" si="276"/>
        <v>0</v>
      </c>
      <c r="W261" s="616">
        <f t="shared" si="279"/>
        <v>0</v>
      </c>
      <c r="Y261" s="288"/>
      <c r="Z261" s="288"/>
    </row>
    <row r="262" spans="3:26" s="63" customFormat="1" ht="12" outlineLevel="1" x14ac:dyDescent="0.2">
      <c r="C262" s="64"/>
      <c r="D262" s="594" t="s">
        <v>259</v>
      </c>
      <c r="E262" s="595"/>
      <c r="F262" s="596">
        <v>0</v>
      </c>
      <c r="G262" s="612">
        <v>0</v>
      </c>
      <c r="H262" s="616">
        <f t="shared" si="278"/>
        <v>0</v>
      </c>
      <c r="J262" s="628" t="s">
        <v>538</v>
      </c>
      <c r="K262" s="612">
        <f t="shared" si="276"/>
        <v>0</v>
      </c>
      <c r="L262" s="612">
        <f t="shared" si="276"/>
        <v>0</v>
      </c>
      <c r="M262" s="612">
        <f t="shared" si="276"/>
        <v>0</v>
      </c>
      <c r="N262" s="612">
        <f t="shared" si="276"/>
        <v>0</v>
      </c>
      <c r="O262" s="612">
        <f t="shared" si="276"/>
        <v>0</v>
      </c>
      <c r="P262" s="612">
        <f t="shared" si="276"/>
        <v>0</v>
      </c>
      <c r="Q262" s="612">
        <f t="shared" si="276"/>
        <v>0</v>
      </c>
      <c r="R262" s="612">
        <f t="shared" si="276"/>
        <v>0</v>
      </c>
      <c r="S262" s="612">
        <f t="shared" si="276"/>
        <v>0</v>
      </c>
      <c r="T262" s="612">
        <f t="shared" si="276"/>
        <v>0</v>
      </c>
      <c r="U262" s="612">
        <f t="shared" si="276"/>
        <v>0</v>
      </c>
      <c r="V262" s="612">
        <f t="shared" si="276"/>
        <v>0</v>
      </c>
      <c r="W262" s="616">
        <f t="shared" si="279"/>
        <v>0</v>
      </c>
      <c r="Y262" s="288"/>
      <c r="Z262" s="288"/>
    </row>
    <row r="263" spans="3:26" s="63" customFormat="1" ht="3.6" customHeight="1" outlineLevel="1" thickBot="1" x14ac:dyDescent="0.25">
      <c r="C263" s="64"/>
      <c r="D263" s="295"/>
      <c r="E263" s="301"/>
      <c r="F263" s="282"/>
      <c r="G263" s="559"/>
      <c r="H263" s="552"/>
      <c r="J263" s="624"/>
      <c r="K263" s="617"/>
      <c r="L263" s="617"/>
      <c r="M263" s="617"/>
      <c r="N263" s="617"/>
      <c r="O263" s="617"/>
      <c r="P263" s="617"/>
      <c r="Q263" s="617"/>
      <c r="R263" s="617"/>
      <c r="S263" s="617"/>
      <c r="T263" s="617"/>
      <c r="U263" s="617"/>
      <c r="V263" s="617"/>
      <c r="W263" s="552"/>
      <c r="Y263" s="288"/>
      <c r="Z263" s="288"/>
    </row>
    <row r="264" spans="3:26" s="63" customFormat="1" ht="12.75" thickBot="1" x14ac:dyDescent="0.25">
      <c r="C264" s="64"/>
      <c r="D264" s="293"/>
      <c r="E264" s="300"/>
      <c r="F264" s="283" t="str">
        <f>E257</f>
        <v>Supplies-Equipment</v>
      </c>
      <c r="G264" s="560">
        <f>C257</f>
        <v>6652</v>
      </c>
      <c r="H264" s="553">
        <f>SUBTOTAL(9,H258:H263)</f>
        <v>0</v>
      </c>
      <c r="J264" s="626"/>
      <c r="K264" s="620">
        <f>SUBTOTAL(9,K258:K263)</f>
        <v>0</v>
      </c>
      <c r="L264" s="620">
        <f t="shared" ref="L264" si="280">SUBTOTAL(9,L258:L263)</f>
        <v>0</v>
      </c>
      <c r="M264" s="620">
        <f t="shared" ref="M264" si="281">SUBTOTAL(9,M258:M263)</f>
        <v>0</v>
      </c>
      <c r="N264" s="620">
        <f t="shared" ref="N264" si="282">SUBTOTAL(9,N258:N263)</f>
        <v>0</v>
      </c>
      <c r="O264" s="620">
        <f t="shared" ref="O264" si="283">SUBTOTAL(9,O258:O263)</f>
        <v>0</v>
      </c>
      <c r="P264" s="620">
        <f t="shared" ref="P264" si="284">SUBTOTAL(9,P258:P263)</f>
        <v>0</v>
      </c>
      <c r="Q264" s="620">
        <f t="shared" ref="Q264" si="285">SUBTOTAL(9,Q258:Q263)</f>
        <v>0</v>
      </c>
      <c r="R264" s="620">
        <f t="shared" ref="R264" si="286">SUBTOTAL(9,R258:R263)</f>
        <v>0</v>
      </c>
      <c r="S264" s="620">
        <f t="shared" ref="S264" si="287">SUBTOTAL(9,S258:S263)</f>
        <v>0</v>
      </c>
      <c r="T264" s="620">
        <f t="shared" ref="T264" si="288">SUBTOTAL(9,T258:T263)</f>
        <v>0</v>
      </c>
      <c r="U264" s="620">
        <f t="shared" ref="U264" si="289">SUBTOTAL(9,U258:U263)</f>
        <v>0</v>
      </c>
      <c r="V264" s="620">
        <f>SUBTOTAL(9,V258:V263)</f>
        <v>0</v>
      </c>
      <c r="W264" s="553">
        <f>SUBTOTAL(9,W258:W263)</f>
        <v>0</v>
      </c>
      <c r="X264" s="63" t="str">
        <f>IF(H264=W264,"OK","Error")</f>
        <v>OK</v>
      </c>
      <c r="Y264" s="288">
        <v>0</v>
      </c>
      <c r="Z264" s="288">
        <f>H264-Y264</f>
        <v>0</v>
      </c>
    </row>
    <row r="265" spans="3:26" s="63" customFormat="1" ht="12" x14ac:dyDescent="0.2">
      <c r="C265" s="64"/>
      <c r="D265" s="293"/>
      <c r="E265" s="300"/>
      <c r="F265" s="280"/>
      <c r="G265" s="557"/>
      <c r="H265" s="549"/>
      <c r="J265" s="619"/>
      <c r="K265" s="671"/>
      <c r="L265" s="671"/>
      <c r="M265" s="671"/>
      <c r="N265" s="671"/>
      <c r="O265" s="671"/>
      <c r="P265" s="671"/>
      <c r="Q265" s="671"/>
      <c r="R265" s="671"/>
      <c r="S265" s="671"/>
      <c r="T265" s="671"/>
      <c r="U265" s="671"/>
      <c r="V265" s="671"/>
      <c r="W265" s="549"/>
      <c r="Y265" s="288"/>
      <c r="Z265" s="288"/>
    </row>
    <row r="266" spans="3:26" s="63" customFormat="1" ht="12" x14ac:dyDescent="0.2">
      <c r="C266" s="66" t="s">
        <v>103</v>
      </c>
      <c r="D266" s="293"/>
      <c r="E266" s="300"/>
      <c r="F266" s="280"/>
      <c r="G266" s="557"/>
      <c r="H266" s="549"/>
      <c r="J266" s="619"/>
      <c r="K266" s="671"/>
      <c r="L266" s="671"/>
      <c r="M266" s="671"/>
      <c r="N266" s="671"/>
      <c r="O266" s="671"/>
      <c r="P266" s="671"/>
      <c r="Q266" s="671"/>
      <c r="R266" s="671"/>
      <c r="S266" s="671"/>
      <c r="T266" s="671"/>
      <c r="U266" s="671"/>
      <c r="V266" s="671"/>
      <c r="W266" s="549"/>
      <c r="Y266" s="288"/>
      <c r="Z266" s="288"/>
    </row>
    <row r="267" spans="3:26" s="63" customFormat="1" ht="12" outlineLevel="1" x14ac:dyDescent="0.2">
      <c r="C267" s="207">
        <v>6734</v>
      </c>
      <c r="D267" s="293"/>
      <c r="E267" s="300" t="s">
        <v>41</v>
      </c>
      <c r="F267" s="280"/>
      <c r="G267" s="557"/>
      <c r="H267" s="549"/>
      <c r="J267" s="619"/>
      <c r="K267" s="671"/>
      <c r="L267" s="671"/>
      <c r="M267" s="671"/>
      <c r="N267" s="671"/>
      <c r="O267" s="671"/>
      <c r="P267" s="671"/>
      <c r="Q267" s="671"/>
      <c r="R267" s="671"/>
      <c r="S267" s="671"/>
      <c r="T267" s="671"/>
      <c r="U267" s="671"/>
      <c r="V267" s="671"/>
      <c r="W267" s="549"/>
      <c r="Y267" s="288"/>
      <c r="Z267" s="288"/>
    </row>
    <row r="268" spans="3:26" s="63" customFormat="1" ht="12" outlineLevel="1" x14ac:dyDescent="0.2">
      <c r="C268" s="64"/>
      <c r="D268" s="594" t="s">
        <v>260</v>
      </c>
      <c r="E268" s="595"/>
      <c r="F268" s="596">
        <v>0</v>
      </c>
      <c r="G268" s="612">
        <v>0</v>
      </c>
      <c r="H268" s="616">
        <f>IF(J268="NO", F268*G268,SUM(J268:V268))</f>
        <v>0</v>
      </c>
      <c r="J268" s="628" t="s">
        <v>538</v>
      </c>
      <c r="K268" s="612">
        <f t="shared" ref="K268:V272" si="290">$F268*$G268/12</f>
        <v>0</v>
      </c>
      <c r="L268" s="612">
        <f t="shared" si="290"/>
        <v>0</v>
      </c>
      <c r="M268" s="612">
        <f t="shared" si="290"/>
        <v>0</v>
      </c>
      <c r="N268" s="612">
        <f t="shared" si="290"/>
        <v>0</v>
      </c>
      <c r="O268" s="612">
        <f t="shared" si="290"/>
        <v>0</v>
      </c>
      <c r="P268" s="612">
        <f t="shared" si="290"/>
        <v>0</v>
      </c>
      <c r="Q268" s="612">
        <f t="shared" si="290"/>
        <v>0</v>
      </c>
      <c r="R268" s="612">
        <f t="shared" si="290"/>
        <v>0</v>
      </c>
      <c r="S268" s="612">
        <f t="shared" si="290"/>
        <v>0</v>
      </c>
      <c r="T268" s="612">
        <f t="shared" si="290"/>
        <v>0</v>
      </c>
      <c r="U268" s="612">
        <f t="shared" si="290"/>
        <v>0</v>
      </c>
      <c r="V268" s="612">
        <f t="shared" si="290"/>
        <v>0</v>
      </c>
      <c r="W268" s="616">
        <f t="shared" ref="W268:W272" si="291">SUM(K268:V268)</f>
        <v>0</v>
      </c>
      <c r="Y268" s="288"/>
      <c r="Z268" s="288"/>
    </row>
    <row r="269" spans="3:26" s="63" customFormat="1" ht="12" outlineLevel="1" x14ac:dyDescent="0.2">
      <c r="C269" s="64"/>
      <c r="D269" s="594" t="s">
        <v>259</v>
      </c>
      <c r="E269" s="595"/>
      <c r="F269" s="596">
        <v>0</v>
      </c>
      <c r="G269" s="612">
        <v>0</v>
      </c>
      <c r="H269" s="616">
        <f t="shared" ref="H269:H272" si="292">IF(J269="NO", F269*G269,SUM(J269:V269))</f>
        <v>0</v>
      </c>
      <c r="J269" s="628" t="s">
        <v>538</v>
      </c>
      <c r="K269" s="612">
        <f t="shared" si="290"/>
        <v>0</v>
      </c>
      <c r="L269" s="612">
        <f t="shared" si="290"/>
        <v>0</v>
      </c>
      <c r="M269" s="612">
        <f t="shared" si="290"/>
        <v>0</v>
      </c>
      <c r="N269" s="612">
        <f t="shared" si="290"/>
        <v>0</v>
      </c>
      <c r="O269" s="612">
        <f t="shared" si="290"/>
        <v>0</v>
      </c>
      <c r="P269" s="612">
        <f t="shared" si="290"/>
        <v>0</v>
      </c>
      <c r="Q269" s="612">
        <f t="shared" si="290"/>
        <v>0</v>
      </c>
      <c r="R269" s="612">
        <f t="shared" si="290"/>
        <v>0</v>
      </c>
      <c r="S269" s="612">
        <f t="shared" si="290"/>
        <v>0</v>
      </c>
      <c r="T269" s="612">
        <f t="shared" si="290"/>
        <v>0</v>
      </c>
      <c r="U269" s="612">
        <f t="shared" si="290"/>
        <v>0</v>
      </c>
      <c r="V269" s="612">
        <f t="shared" si="290"/>
        <v>0</v>
      </c>
      <c r="W269" s="616">
        <f t="shared" si="291"/>
        <v>0</v>
      </c>
      <c r="Y269" s="288"/>
      <c r="Z269" s="288"/>
    </row>
    <row r="270" spans="3:26" s="63" customFormat="1" ht="12" outlineLevel="1" x14ac:dyDescent="0.2">
      <c r="C270" s="64"/>
      <c r="D270" s="594" t="s">
        <v>259</v>
      </c>
      <c r="E270" s="595"/>
      <c r="F270" s="596">
        <v>0</v>
      </c>
      <c r="G270" s="612">
        <v>0</v>
      </c>
      <c r="H270" s="616">
        <f t="shared" si="292"/>
        <v>0</v>
      </c>
      <c r="J270" s="628" t="s">
        <v>538</v>
      </c>
      <c r="K270" s="612">
        <f t="shared" si="290"/>
        <v>0</v>
      </c>
      <c r="L270" s="612">
        <f t="shared" si="290"/>
        <v>0</v>
      </c>
      <c r="M270" s="612">
        <f t="shared" si="290"/>
        <v>0</v>
      </c>
      <c r="N270" s="612">
        <f t="shared" si="290"/>
        <v>0</v>
      </c>
      <c r="O270" s="612">
        <f t="shared" si="290"/>
        <v>0</v>
      </c>
      <c r="P270" s="612">
        <f t="shared" si="290"/>
        <v>0</v>
      </c>
      <c r="Q270" s="612">
        <f t="shared" si="290"/>
        <v>0</v>
      </c>
      <c r="R270" s="612">
        <f t="shared" si="290"/>
        <v>0</v>
      </c>
      <c r="S270" s="612">
        <f t="shared" si="290"/>
        <v>0</v>
      </c>
      <c r="T270" s="612">
        <f t="shared" si="290"/>
        <v>0</v>
      </c>
      <c r="U270" s="612">
        <f t="shared" si="290"/>
        <v>0</v>
      </c>
      <c r="V270" s="612">
        <f t="shared" si="290"/>
        <v>0</v>
      </c>
      <c r="W270" s="616">
        <f t="shared" si="291"/>
        <v>0</v>
      </c>
      <c r="Y270" s="288"/>
      <c r="Z270" s="288"/>
    </row>
    <row r="271" spans="3:26" s="63" customFormat="1" ht="12" outlineLevel="1" x14ac:dyDescent="0.2">
      <c r="C271" s="64"/>
      <c r="D271" s="594" t="s">
        <v>259</v>
      </c>
      <c r="E271" s="595"/>
      <c r="F271" s="596">
        <v>0</v>
      </c>
      <c r="G271" s="612">
        <v>0</v>
      </c>
      <c r="H271" s="616">
        <f t="shared" si="292"/>
        <v>0</v>
      </c>
      <c r="J271" s="628" t="s">
        <v>538</v>
      </c>
      <c r="K271" s="612">
        <f t="shared" si="290"/>
        <v>0</v>
      </c>
      <c r="L271" s="612">
        <f t="shared" si="290"/>
        <v>0</v>
      </c>
      <c r="M271" s="612">
        <f t="shared" si="290"/>
        <v>0</v>
      </c>
      <c r="N271" s="612">
        <f t="shared" si="290"/>
        <v>0</v>
      </c>
      <c r="O271" s="612">
        <f t="shared" si="290"/>
        <v>0</v>
      </c>
      <c r="P271" s="612">
        <f t="shared" si="290"/>
        <v>0</v>
      </c>
      <c r="Q271" s="612">
        <f t="shared" si="290"/>
        <v>0</v>
      </c>
      <c r="R271" s="612">
        <f t="shared" si="290"/>
        <v>0</v>
      </c>
      <c r="S271" s="612">
        <f t="shared" si="290"/>
        <v>0</v>
      </c>
      <c r="T271" s="612">
        <f t="shared" si="290"/>
        <v>0</v>
      </c>
      <c r="U271" s="612">
        <f t="shared" si="290"/>
        <v>0</v>
      </c>
      <c r="V271" s="612">
        <f t="shared" si="290"/>
        <v>0</v>
      </c>
      <c r="W271" s="616">
        <f t="shared" si="291"/>
        <v>0</v>
      </c>
      <c r="Y271" s="288"/>
      <c r="Z271" s="288"/>
    </row>
    <row r="272" spans="3:26" s="63" customFormat="1" ht="12" outlineLevel="1" x14ac:dyDescent="0.2">
      <c r="C272" s="64"/>
      <c r="D272" s="594" t="s">
        <v>259</v>
      </c>
      <c r="E272" s="595"/>
      <c r="F272" s="596">
        <v>0</v>
      </c>
      <c r="G272" s="612">
        <v>0</v>
      </c>
      <c r="H272" s="616">
        <f t="shared" si="292"/>
        <v>0</v>
      </c>
      <c r="J272" s="628" t="s">
        <v>538</v>
      </c>
      <c r="K272" s="612">
        <f t="shared" si="290"/>
        <v>0</v>
      </c>
      <c r="L272" s="612">
        <f t="shared" si="290"/>
        <v>0</v>
      </c>
      <c r="M272" s="612">
        <f t="shared" si="290"/>
        <v>0</v>
      </c>
      <c r="N272" s="612">
        <f t="shared" si="290"/>
        <v>0</v>
      </c>
      <c r="O272" s="612">
        <f t="shared" si="290"/>
        <v>0</v>
      </c>
      <c r="P272" s="612">
        <f t="shared" si="290"/>
        <v>0</v>
      </c>
      <c r="Q272" s="612">
        <f t="shared" si="290"/>
        <v>0</v>
      </c>
      <c r="R272" s="612">
        <f t="shared" si="290"/>
        <v>0</v>
      </c>
      <c r="S272" s="612">
        <f t="shared" si="290"/>
        <v>0</v>
      </c>
      <c r="T272" s="612">
        <f t="shared" si="290"/>
        <v>0</v>
      </c>
      <c r="U272" s="612">
        <f t="shared" si="290"/>
        <v>0</v>
      </c>
      <c r="V272" s="612">
        <f t="shared" si="290"/>
        <v>0</v>
      </c>
      <c r="W272" s="616">
        <f t="shared" si="291"/>
        <v>0</v>
      </c>
      <c r="Y272" s="288"/>
      <c r="Z272" s="288"/>
    </row>
    <row r="273" spans="3:26" s="63" customFormat="1" ht="3.6" customHeight="1" outlineLevel="1" thickBot="1" x14ac:dyDescent="0.25">
      <c r="C273" s="64"/>
      <c r="D273" s="295"/>
      <c r="E273" s="301"/>
      <c r="F273" s="282"/>
      <c r="G273" s="559"/>
      <c r="H273" s="552"/>
      <c r="J273" s="624"/>
      <c r="K273" s="617"/>
      <c r="L273" s="617"/>
      <c r="M273" s="617"/>
      <c r="N273" s="617"/>
      <c r="O273" s="617"/>
      <c r="P273" s="617"/>
      <c r="Q273" s="617"/>
      <c r="R273" s="617"/>
      <c r="S273" s="617"/>
      <c r="T273" s="617"/>
      <c r="U273" s="617"/>
      <c r="V273" s="617"/>
      <c r="W273" s="552"/>
      <c r="Y273" s="288"/>
      <c r="Z273" s="288"/>
    </row>
    <row r="274" spans="3:26" s="63" customFormat="1" ht="12.75" thickBot="1" x14ac:dyDescent="0.25">
      <c r="C274" s="64"/>
      <c r="D274" s="293"/>
      <c r="E274" s="300"/>
      <c r="F274" s="283" t="str">
        <f>E267</f>
        <v>Technology-Related Hardware</v>
      </c>
      <c r="G274" s="560">
        <f>C267</f>
        <v>6734</v>
      </c>
      <c r="H274" s="553">
        <f>SUBTOTAL(9,H268:H273)</f>
        <v>0</v>
      </c>
      <c r="J274" s="626"/>
      <c r="K274" s="620">
        <f>SUBTOTAL(9,K268:K273)</f>
        <v>0</v>
      </c>
      <c r="L274" s="620">
        <f t="shared" ref="L274" si="293">SUBTOTAL(9,L268:L273)</f>
        <v>0</v>
      </c>
      <c r="M274" s="620">
        <f t="shared" ref="M274" si="294">SUBTOTAL(9,M268:M273)</f>
        <v>0</v>
      </c>
      <c r="N274" s="620">
        <f t="shared" ref="N274" si="295">SUBTOTAL(9,N268:N273)</f>
        <v>0</v>
      </c>
      <c r="O274" s="620">
        <f t="shared" ref="O274" si="296">SUBTOTAL(9,O268:O273)</f>
        <v>0</v>
      </c>
      <c r="P274" s="620">
        <f t="shared" ref="P274" si="297">SUBTOTAL(9,P268:P273)</f>
        <v>0</v>
      </c>
      <c r="Q274" s="620">
        <f t="shared" ref="Q274" si="298">SUBTOTAL(9,Q268:Q273)</f>
        <v>0</v>
      </c>
      <c r="R274" s="620">
        <f t="shared" ref="R274" si="299">SUBTOTAL(9,R268:R273)</f>
        <v>0</v>
      </c>
      <c r="S274" s="620">
        <f t="shared" ref="S274" si="300">SUBTOTAL(9,S268:S273)</f>
        <v>0</v>
      </c>
      <c r="T274" s="620">
        <f t="shared" ref="T274" si="301">SUBTOTAL(9,T268:T273)</f>
        <v>0</v>
      </c>
      <c r="U274" s="620">
        <f t="shared" ref="U274" si="302">SUBTOTAL(9,U268:U273)</f>
        <v>0</v>
      </c>
      <c r="V274" s="620">
        <f>SUBTOTAL(9,V268:V273)</f>
        <v>0</v>
      </c>
      <c r="W274" s="553">
        <f>SUBTOTAL(9,W268:W273)</f>
        <v>0</v>
      </c>
      <c r="X274" s="63" t="str">
        <f>IF(H274=W274,"OK","Error")</f>
        <v>OK</v>
      </c>
      <c r="Y274" s="288">
        <v>0</v>
      </c>
      <c r="Z274" s="288">
        <f>H274-Y274</f>
        <v>0</v>
      </c>
    </row>
    <row r="275" spans="3:26" s="63" customFormat="1" ht="12" x14ac:dyDescent="0.2">
      <c r="C275" s="64"/>
      <c r="D275" s="293"/>
      <c r="E275" s="300"/>
      <c r="F275" s="280"/>
      <c r="G275" s="557"/>
      <c r="H275" s="549"/>
      <c r="J275" s="619"/>
      <c r="K275" s="671"/>
      <c r="L275" s="671"/>
      <c r="M275" s="671"/>
      <c r="N275" s="671"/>
      <c r="O275" s="671"/>
      <c r="P275" s="671"/>
      <c r="Q275" s="671"/>
      <c r="R275" s="671"/>
      <c r="S275" s="671"/>
      <c r="T275" s="671"/>
      <c r="U275" s="671"/>
      <c r="V275" s="671"/>
      <c r="W275" s="549"/>
      <c r="Y275" s="288"/>
      <c r="Z275" s="288"/>
    </row>
    <row r="276" spans="3:26" s="63" customFormat="1" ht="12" x14ac:dyDescent="0.2">
      <c r="C276" s="66" t="s">
        <v>104</v>
      </c>
      <c r="D276" s="293"/>
      <c r="E276" s="300"/>
      <c r="F276" s="280"/>
      <c r="G276" s="557"/>
      <c r="H276" s="549"/>
      <c r="J276" s="619"/>
      <c r="K276" s="671"/>
      <c r="L276" s="671"/>
      <c r="M276" s="671"/>
      <c r="N276" s="671"/>
      <c r="O276" s="671"/>
      <c r="P276" s="671"/>
      <c r="Q276" s="671"/>
      <c r="R276" s="671"/>
      <c r="S276" s="671"/>
      <c r="T276" s="671"/>
      <c r="U276" s="671"/>
      <c r="V276" s="671"/>
      <c r="W276" s="549"/>
      <c r="Y276" s="288"/>
      <c r="Z276" s="288"/>
    </row>
    <row r="277" spans="3:26" s="63" customFormat="1" ht="12" outlineLevel="1" x14ac:dyDescent="0.2">
      <c r="C277" s="207">
        <v>6810</v>
      </c>
      <c r="D277" s="293"/>
      <c r="E277" s="300" t="s">
        <v>42</v>
      </c>
      <c r="F277" s="280"/>
      <c r="G277" s="557"/>
      <c r="H277" s="549"/>
      <c r="J277" s="619"/>
      <c r="K277" s="671"/>
      <c r="L277" s="671"/>
      <c r="M277" s="671"/>
      <c r="N277" s="671"/>
      <c r="O277" s="671"/>
      <c r="P277" s="671"/>
      <c r="Q277" s="671"/>
      <c r="R277" s="671"/>
      <c r="S277" s="671"/>
      <c r="T277" s="671"/>
      <c r="U277" s="671"/>
      <c r="V277" s="671"/>
      <c r="W277" s="549"/>
      <c r="Y277" s="288"/>
      <c r="Z277" s="288"/>
    </row>
    <row r="278" spans="3:26" s="63" customFormat="1" ht="12" outlineLevel="1" x14ac:dyDescent="0.2">
      <c r="C278" s="64"/>
      <c r="D278" s="565" t="s">
        <v>277</v>
      </c>
      <c r="E278" s="566" t="s">
        <v>610</v>
      </c>
      <c r="F278" s="574">
        <v>1</v>
      </c>
      <c r="G278" s="611">
        <v>120</v>
      </c>
      <c r="H278" s="616">
        <f t="shared" ref="H278:H280" si="303">IF(J278="NO", F278*G278,SUM(J278:V278))</f>
        <v>120</v>
      </c>
      <c r="J278" s="622" t="s">
        <v>539</v>
      </c>
      <c r="K278" s="609">
        <v>120</v>
      </c>
      <c r="L278" s="609">
        <v>0</v>
      </c>
      <c r="M278" s="609">
        <v>0</v>
      </c>
      <c r="N278" s="609">
        <v>0</v>
      </c>
      <c r="O278" s="609">
        <v>0</v>
      </c>
      <c r="P278" s="609">
        <v>0</v>
      </c>
      <c r="Q278" s="609">
        <v>0</v>
      </c>
      <c r="R278" s="609">
        <v>0</v>
      </c>
      <c r="S278" s="609">
        <v>0</v>
      </c>
      <c r="T278" s="609">
        <v>0</v>
      </c>
      <c r="U278" s="609">
        <v>0</v>
      </c>
      <c r="V278" s="609">
        <v>0</v>
      </c>
      <c r="W278" s="616">
        <f t="shared" ref="W278:W279" si="304">SUM(K278:V278)</f>
        <v>120</v>
      </c>
      <c r="Y278" s="288"/>
      <c r="Z278" s="288"/>
    </row>
    <row r="279" spans="3:26" s="63" customFormat="1" ht="12" outlineLevel="1" x14ac:dyDescent="0.2">
      <c r="C279" s="64"/>
      <c r="D279" s="565" t="s">
        <v>324</v>
      </c>
      <c r="E279" s="566" t="s">
        <v>611</v>
      </c>
      <c r="F279" s="574">
        <f>MAX('Rev &amp; Enroll'!Q24:AB24)+24</f>
        <v>112</v>
      </c>
      <c r="G279" s="611">
        <v>5</v>
      </c>
      <c r="H279" s="616">
        <f t="shared" si="303"/>
        <v>560</v>
      </c>
      <c r="J279" s="622" t="s">
        <v>539</v>
      </c>
      <c r="K279" s="611">
        <v>10</v>
      </c>
      <c r="L279" s="611">
        <v>10</v>
      </c>
      <c r="M279" s="611">
        <v>360</v>
      </c>
      <c r="N279" s="611">
        <v>10</v>
      </c>
      <c r="O279" s="611">
        <v>10</v>
      </c>
      <c r="P279" s="611">
        <v>10</v>
      </c>
      <c r="Q279" s="611">
        <v>10</v>
      </c>
      <c r="R279" s="611">
        <v>100</v>
      </c>
      <c r="S279" s="611">
        <v>10</v>
      </c>
      <c r="T279" s="611">
        <v>10</v>
      </c>
      <c r="U279" s="611">
        <v>10</v>
      </c>
      <c r="V279" s="611">
        <v>10</v>
      </c>
      <c r="W279" s="616">
        <f t="shared" si="304"/>
        <v>560</v>
      </c>
      <c r="Y279" s="288"/>
      <c r="Z279" s="288"/>
    </row>
    <row r="280" spans="3:26" s="63" customFormat="1" ht="12" outlineLevel="1" x14ac:dyDescent="0.2">
      <c r="C280" s="64"/>
      <c r="D280" s="562" t="s">
        <v>324</v>
      </c>
      <c r="E280" s="563" t="s">
        <v>556</v>
      </c>
      <c r="F280" s="564">
        <v>2</v>
      </c>
      <c r="G280" s="610">
        <v>60</v>
      </c>
      <c r="H280" s="616">
        <f t="shared" si="303"/>
        <v>120</v>
      </c>
      <c r="J280" s="623" t="s">
        <v>539</v>
      </c>
      <c r="K280" s="610">
        <v>0</v>
      </c>
      <c r="L280" s="610">
        <v>60</v>
      </c>
      <c r="M280" s="610">
        <v>0</v>
      </c>
      <c r="N280" s="610">
        <v>0</v>
      </c>
      <c r="O280" s="610">
        <v>0</v>
      </c>
      <c r="P280" s="610">
        <v>60</v>
      </c>
      <c r="Q280" s="610">
        <v>0</v>
      </c>
      <c r="R280" s="610">
        <v>0</v>
      </c>
      <c r="S280" s="610">
        <v>0</v>
      </c>
      <c r="T280" s="610">
        <v>0</v>
      </c>
      <c r="U280" s="610">
        <v>0</v>
      </c>
      <c r="V280" s="610">
        <v>0</v>
      </c>
      <c r="W280" s="616">
        <f>SUM(K280:V280)</f>
        <v>120</v>
      </c>
      <c r="Y280" s="288"/>
      <c r="Z280" s="288"/>
    </row>
    <row r="281" spans="3:26" s="63" customFormat="1" ht="12" outlineLevel="1" x14ac:dyDescent="0.2">
      <c r="C281" s="64"/>
      <c r="D281" s="562" t="s">
        <v>324</v>
      </c>
      <c r="E281" s="563" t="s">
        <v>612</v>
      </c>
      <c r="F281" s="564">
        <v>0</v>
      </c>
      <c r="G281" s="610">
        <v>12000</v>
      </c>
      <c r="H281" s="616">
        <f t="shared" ref="H281" si="305">IF(J281="NO", F281*G281,SUM(J281:V281))</f>
        <v>0</v>
      </c>
      <c r="J281" s="623" t="s">
        <v>539</v>
      </c>
      <c r="K281" s="610">
        <v>0</v>
      </c>
      <c r="L281" s="610">
        <v>0</v>
      </c>
      <c r="M281" s="610">
        <v>0</v>
      </c>
      <c r="N281" s="610">
        <v>0</v>
      </c>
      <c r="O281" s="610">
        <v>0</v>
      </c>
      <c r="P281" s="610">
        <v>0</v>
      </c>
      <c r="Q281" s="610">
        <v>0</v>
      </c>
      <c r="R281" s="610">
        <v>0</v>
      </c>
      <c r="S281" s="610">
        <v>0</v>
      </c>
      <c r="T281" s="610">
        <v>0</v>
      </c>
      <c r="U281" s="610">
        <v>0</v>
      </c>
      <c r="V281" s="610">
        <v>0</v>
      </c>
      <c r="W281" s="616">
        <f>SUM(K281:V281)</f>
        <v>0</v>
      </c>
      <c r="Y281" s="288"/>
      <c r="Z281" s="288"/>
    </row>
    <row r="282" spans="3:26" s="63" customFormat="1" ht="12" outlineLevel="1" x14ac:dyDescent="0.2">
      <c r="C282" s="64"/>
      <c r="D282" s="562" t="s">
        <v>259</v>
      </c>
      <c r="E282" s="563"/>
      <c r="F282" s="564">
        <v>0</v>
      </c>
      <c r="G282" s="610">
        <v>0</v>
      </c>
      <c r="H282" s="616">
        <f t="shared" ref="H282" si="306">IF(J282="NO", F282*G282,SUM(J282:V282))</f>
        <v>0</v>
      </c>
      <c r="J282" s="623" t="s">
        <v>538</v>
      </c>
      <c r="K282" s="610">
        <f t="shared" ref="K282:V282" si="307">$F282*$G282/12</f>
        <v>0</v>
      </c>
      <c r="L282" s="610">
        <f t="shared" si="307"/>
        <v>0</v>
      </c>
      <c r="M282" s="610">
        <f t="shared" si="307"/>
        <v>0</v>
      </c>
      <c r="N282" s="610">
        <f t="shared" si="307"/>
        <v>0</v>
      </c>
      <c r="O282" s="610">
        <f t="shared" si="307"/>
        <v>0</v>
      </c>
      <c r="P282" s="610">
        <f t="shared" si="307"/>
        <v>0</v>
      </c>
      <c r="Q282" s="610">
        <f t="shared" si="307"/>
        <v>0</v>
      </c>
      <c r="R282" s="610">
        <f t="shared" si="307"/>
        <v>0</v>
      </c>
      <c r="S282" s="610">
        <f t="shared" si="307"/>
        <v>0</v>
      </c>
      <c r="T282" s="610">
        <f t="shared" si="307"/>
        <v>0</v>
      </c>
      <c r="U282" s="610">
        <f t="shared" si="307"/>
        <v>0</v>
      </c>
      <c r="V282" s="610">
        <f t="shared" si="307"/>
        <v>0</v>
      </c>
      <c r="W282" s="616">
        <f t="shared" ref="W282" si="308">SUM(K282:V282)</f>
        <v>0</v>
      </c>
      <c r="Y282" s="288"/>
      <c r="Z282" s="288"/>
    </row>
    <row r="283" spans="3:26" s="63" customFormat="1" ht="3.6" customHeight="1" outlineLevel="1" thickBot="1" x14ac:dyDescent="0.25">
      <c r="C283" s="64"/>
      <c r="D283" s="295"/>
      <c r="E283" s="301"/>
      <c r="F283" s="282"/>
      <c r="G283" s="559"/>
      <c r="H283" s="552"/>
      <c r="J283" s="624"/>
      <c r="K283" s="617"/>
      <c r="L283" s="617"/>
      <c r="M283" s="617"/>
      <c r="N283" s="617"/>
      <c r="O283" s="617"/>
      <c r="P283" s="617"/>
      <c r="Q283" s="617"/>
      <c r="R283" s="617"/>
      <c r="S283" s="617"/>
      <c r="T283" s="617"/>
      <c r="U283" s="617"/>
      <c r="V283" s="617"/>
      <c r="W283" s="552"/>
      <c r="Y283" s="288"/>
      <c r="Z283" s="288"/>
    </row>
    <row r="284" spans="3:26" s="63" customFormat="1" ht="12.75" thickBot="1" x14ac:dyDescent="0.25">
      <c r="C284" s="64"/>
      <c r="D284" s="293"/>
      <c r="E284" s="300"/>
      <c r="F284" s="283" t="str">
        <f>E277</f>
        <v>Dues and Fees</v>
      </c>
      <c r="G284" s="560">
        <f>C277</f>
        <v>6810</v>
      </c>
      <c r="H284" s="553">
        <f>SUBTOTAL(9,H279:H283)</f>
        <v>680</v>
      </c>
      <c r="J284" s="626"/>
      <c r="K284" s="620">
        <f t="shared" ref="K284:W284" si="309">SUBTOTAL(9,K279:K283)</f>
        <v>10</v>
      </c>
      <c r="L284" s="620">
        <f t="shared" si="309"/>
        <v>70</v>
      </c>
      <c r="M284" s="620">
        <f t="shared" si="309"/>
        <v>360</v>
      </c>
      <c r="N284" s="620">
        <f t="shared" si="309"/>
        <v>10</v>
      </c>
      <c r="O284" s="620">
        <f t="shared" si="309"/>
        <v>10</v>
      </c>
      <c r="P284" s="620">
        <f t="shared" si="309"/>
        <v>70</v>
      </c>
      <c r="Q284" s="620">
        <f t="shared" si="309"/>
        <v>10</v>
      </c>
      <c r="R284" s="620">
        <f t="shared" si="309"/>
        <v>100</v>
      </c>
      <c r="S284" s="620">
        <f t="shared" si="309"/>
        <v>10</v>
      </c>
      <c r="T284" s="620">
        <f t="shared" si="309"/>
        <v>10</v>
      </c>
      <c r="U284" s="620">
        <f t="shared" si="309"/>
        <v>10</v>
      </c>
      <c r="V284" s="620">
        <f t="shared" si="309"/>
        <v>10</v>
      </c>
      <c r="W284" s="553">
        <f t="shared" si="309"/>
        <v>680</v>
      </c>
      <c r="X284" s="63" t="str">
        <f>IF(H284=W284,"OK","Error")</f>
        <v>OK</v>
      </c>
      <c r="Y284" s="288">
        <v>0</v>
      </c>
      <c r="Z284" s="288">
        <f>H284-Y284</f>
        <v>680</v>
      </c>
    </row>
    <row r="285" spans="3:26" s="63" customFormat="1" ht="12" x14ac:dyDescent="0.2">
      <c r="C285" s="64"/>
      <c r="D285" s="293"/>
      <c r="E285" s="300"/>
      <c r="F285" s="280"/>
      <c r="G285" s="557"/>
      <c r="H285" s="549"/>
      <c r="J285" s="619"/>
      <c r="K285" s="671"/>
      <c r="L285" s="671"/>
      <c r="M285" s="671"/>
      <c r="N285" s="671"/>
      <c r="O285" s="671"/>
      <c r="P285" s="671"/>
      <c r="Q285" s="671"/>
      <c r="R285" s="671"/>
      <c r="S285" s="671"/>
      <c r="T285" s="671"/>
      <c r="U285" s="671"/>
      <c r="V285" s="671"/>
      <c r="W285" s="549"/>
      <c r="Y285" s="288"/>
      <c r="Z285" s="288"/>
    </row>
    <row r="286" spans="3:26" s="63" customFormat="1" ht="12" x14ac:dyDescent="0.2">
      <c r="C286" s="66" t="s">
        <v>43</v>
      </c>
      <c r="D286" s="293"/>
      <c r="E286" s="300"/>
      <c r="F286" s="280"/>
      <c r="G286" s="557"/>
      <c r="H286" s="549"/>
      <c r="J286" s="619"/>
      <c r="K286" s="671"/>
      <c r="L286" s="671"/>
      <c r="M286" s="671"/>
      <c r="N286" s="671"/>
      <c r="O286" s="671"/>
      <c r="P286" s="671"/>
      <c r="Q286" s="671"/>
      <c r="R286" s="671"/>
      <c r="S286" s="671"/>
      <c r="T286" s="671"/>
      <c r="U286" s="671"/>
      <c r="V286" s="671"/>
      <c r="W286" s="549"/>
      <c r="Y286" s="288"/>
      <c r="Z286" s="288"/>
    </row>
    <row r="287" spans="3:26" s="63" customFormat="1" ht="12" outlineLevel="1" x14ac:dyDescent="0.2">
      <c r="C287" s="207">
        <v>7306</v>
      </c>
      <c r="D287" s="293"/>
      <c r="E287" s="300" t="s">
        <v>43</v>
      </c>
      <c r="F287" s="280"/>
      <c r="G287" s="557"/>
      <c r="H287" s="549"/>
      <c r="J287" s="619"/>
      <c r="K287" s="671"/>
      <c r="L287" s="671"/>
      <c r="M287" s="671"/>
      <c r="N287" s="671"/>
      <c r="O287" s="671"/>
      <c r="P287" s="671"/>
      <c r="Q287" s="671"/>
      <c r="R287" s="671"/>
      <c r="S287" s="671"/>
      <c r="T287" s="671"/>
      <c r="U287" s="671"/>
      <c r="V287" s="671"/>
      <c r="W287" s="549"/>
      <c r="Y287" s="288"/>
      <c r="Z287" s="288"/>
    </row>
    <row r="288" spans="3:26" s="63" customFormat="1" ht="12" outlineLevel="1" x14ac:dyDescent="0.2">
      <c r="C288" s="64"/>
      <c r="D288" s="594" t="s">
        <v>259</v>
      </c>
      <c r="E288" s="595"/>
      <c r="F288" s="596">
        <v>0</v>
      </c>
      <c r="G288" s="612">
        <v>0</v>
      </c>
      <c r="H288" s="616">
        <f>IF(J288="NO", F288*G288,SUM(J288:V288))</f>
        <v>0</v>
      </c>
      <c r="J288" s="628" t="s">
        <v>538</v>
      </c>
      <c r="K288" s="612">
        <f t="shared" ref="K288:V292" si="310">$F288*$G288/12</f>
        <v>0</v>
      </c>
      <c r="L288" s="612">
        <f t="shared" si="310"/>
        <v>0</v>
      </c>
      <c r="M288" s="612">
        <f t="shared" si="310"/>
        <v>0</v>
      </c>
      <c r="N288" s="612">
        <f t="shared" si="310"/>
        <v>0</v>
      </c>
      <c r="O288" s="612">
        <f t="shared" si="310"/>
        <v>0</v>
      </c>
      <c r="P288" s="612">
        <f t="shared" si="310"/>
        <v>0</v>
      </c>
      <c r="Q288" s="612">
        <f t="shared" si="310"/>
        <v>0</v>
      </c>
      <c r="R288" s="612">
        <f t="shared" si="310"/>
        <v>0</v>
      </c>
      <c r="S288" s="612">
        <f t="shared" si="310"/>
        <v>0</v>
      </c>
      <c r="T288" s="612">
        <f t="shared" si="310"/>
        <v>0</v>
      </c>
      <c r="U288" s="612">
        <f t="shared" si="310"/>
        <v>0</v>
      </c>
      <c r="V288" s="612">
        <f t="shared" si="310"/>
        <v>0</v>
      </c>
      <c r="W288" s="635">
        <f t="shared" ref="W288:W292" si="311">SUM(K288:V288)</f>
        <v>0</v>
      </c>
      <c r="Y288" s="288"/>
      <c r="Z288" s="288"/>
    </row>
    <row r="289" spans="3:26" s="63" customFormat="1" ht="12" outlineLevel="1" x14ac:dyDescent="0.2">
      <c r="C289" s="64"/>
      <c r="D289" s="594" t="s">
        <v>259</v>
      </c>
      <c r="E289" s="595"/>
      <c r="F289" s="596">
        <v>0</v>
      </c>
      <c r="G289" s="612">
        <v>0</v>
      </c>
      <c r="H289" s="616">
        <f t="shared" ref="H289:H292" si="312">IF(J289="NO", F289*G289,SUM(J289:V289))</f>
        <v>0</v>
      </c>
      <c r="J289" s="628" t="s">
        <v>538</v>
      </c>
      <c r="K289" s="612">
        <f t="shared" si="310"/>
        <v>0</v>
      </c>
      <c r="L289" s="612">
        <f t="shared" si="310"/>
        <v>0</v>
      </c>
      <c r="M289" s="612">
        <f t="shared" si="310"/>
        <v>0</v>
      </c>
      <c r="N289" s="612">
        <f t="shared" si="310"/>
        <v>0</v>
      </c>
      <c r="O289" s="612">
        <f t="shared" si="310"/>
        <v>0</v>
      </c>
      <c r="P289" s="612">
        <f t="shared" si="310"/>
        <v>0</v>
      </c>
      <c r="Q289" s="612">
        <f t="shared" si="310"/>
        <v>0</v>
      </c>
      <c r="R289" s="612">
        <f t="shared" si="310"/>
        <v>0</v>
      </c>
      <c r="S289" s="612">
        <f t="shared" si="310"/>
        <v>0</v>
      </c>
      <c r="T289" s="612">
        <f t="shared" si="310"/>
        <v>0</v>
      </c>
      <c r="U289" s="612">
        <f t="shared" si="310"/>
        <v>0</v>
      </c>
      <c r="V289" s="612">
        <f t="shared" si="310"/>
        <v>0</v>
      </c>
      <c r="W289" s="635">
        <f t="shared" si="311"/>
        <v>0</v>
      </c>
      <c r="Y289" s="288"/>
      <c r="Z289" s="288"/>
    </row>
    <row r="290" spans="3:26" s="63" customFormat="1" ht="12" outlineLevel="1" x14ac:dyDescent="0.2">
      <c r="C290" s="64"/>
      <c r="D290" s="594" t="s">
        <v>259</v>
      </c>
      <c r="E290" s="595"/>
      <c r="F290" s="596">
        <v>0</v>
      </c>
      <c r="G290" s="612">
        <v>0</v>
      </c>
      <c r="H290" s="616">
        <f t="shared" si="312"/>
        <v>0</v>
      </c>
      <c r="J290" s="628" t="s">
        <v>538</v>
      </c>
      <c r="K290" s="612">
        <f t="shared" si="310"/>
        <v>0</v>
      </c>
      <c r="L290" s="612">
        <f t="shared" si="310"/>
        <v>0</v>
      </c>
      <c r="M290" s="612">
        <f t="shared" si="310"/>
        <v>0</v>
      </c>
      <c r="N290" s="612">
        <f t="shared" si="310"/>
        <v>0</v>
      </c>
      <c r="O290" s="612">
        <f t="shared" si="310"/>
        <v>0</v>
      </c>
      <c r="P290" s="612">
        <f t="shared" si="310"/>
        <v>0</v>
      </c>
      <c r="Q290" s="612">
        <f t="shared" si="310"/>
        <v>0</v>
      </c>
      <c r="R290" s="612">
        <f t="shared" si="310"/>
        <v>0</v>
      </c>
      <c r="S290" s="612">
        <f t="shared" si="310"/>
        <v>0</v>
      </c>
      <c r="T290" s="612">
        <f t="shared" si="310"/>
        <v>0</v>
      </c>
      <c r="U290" s="612">
        <f t="shared" si="310"/>
        <v>0</v>
      </c>
      <c r="V290" s="612">
        <f t="shared" si="310"/>
        <v>0</v>
      </c>
      <c r="W290" s="635">
        <f t="shared" si="311"/>
        <v>0</v>
      </c>
      <c r="Y290" s="288"/>
      <c r="Z290" s="288"/>
    </row>
    <row r="291" spans="3:26" s="63" customFormat="1" ht="12" outlineLevel="1" x14ac:dyDescent="0.2">
      <c r="C291" s="64"/>
      <c r="D291" s="594" t="s">
        <v>259</v>
      </c>
      <c r="E291" s="595"/>
      <c r="F291" s="596">
        <v>0</v>
      </c>
      <c r="G291" s="612">
        <v>0</v>
      </c>
      <c r="H291" s="616">
        <f t="shared" si="312"/>
        <v>0</v>
      </c>
      <c r="J291" s="628" t="s">
        <v>538</v>
      </c>
      <c r="K291" s="612">
        <f t="shared" si="310"/>
        <v>0</v>
      </c>
      <c r="L291" s="612">
        <f t="shared" si="310"/>
        <v>0</v>
      </c>
      <c r="M291" s="612">
        <f t="shared" si="310"/>
        <v>0</v>
      </c>
      <c r="N291" s="612">
        <f t="shared" si="310"/>
        <v>0</v>
      </c>
      <c r="O291" s="612">
        <f t="shared" si="310"/>
        <v>0</v>
      </c>
      <c r="P291" s="612">
        <f t="shared" si="310"/>
        <v>0</v>
      </c>
      <c r="Q291" s="612">
        <f t="shared" si="310"/>
        <v>0</v>
      </c>
      <c r="R291" s="612">
        <f t="shared" si="310"/>
        <v>0</v>
      </c>
      <c r="S291" s="612">
        <f t="shared" si="310"/>
        <v>0</v>
      </c>
      <c r="T291" s="612">
        <f t="shared" si="310"/>
        <v>0</v>
      </c>
      <c r="U291" s="612">
        <f t="shared" si="310"/>
        <v>0</v>
      </c>
      <c r="V291" s="612">
        <f t="shared" si="310"/>
        <v>0</v>
      </c>
      <c r="W291" s="635">
        <f t="shared" si="311"/>
        <v>0</v>
      </c>
      <c r="Y291" s="288"/>
      <c r="Z291" s="288"/>
    </row>
    <row r="292" spans="3:26" s="63" customFormat="1" ht="12" outlineLevel="1" x14ac:dyDescent="0.2">
      <c r="C292" s="64"/>
      <c r="D292" s="594" t="s">
        <v>259</v>
      </c>
      <c r="E292" s="595"/>
      <c r="F292" s="596">
        <v>0</v>
      </c>
      <c r="G292" s="612">
        <v>0</v>
      </c>
      <c r="H292" s="616">
        <f t="shared" si="312"/>
        <v>0</v>
      </c>
      <c r="J292" s="628" t="s">
        <v>538</v>
      </c>
      <c r="K292" s="612">
        <f t="shared" si="310"/>
        <v>0</v>
      </c>
      <c r="L292" s="612">
        <f t="shared" si="310"/>
        <v>0</v>
      </c>
      <c r="M292" s="612">
        <f t="shared" si="310"/>
        <v>0</v>
      </c>
      <c r="N292" s="612">
        <f t="shared" si="310"/>
        <v>0</v>
      </c>
      <c r="O292" s="612">
        <f t="shared" si="310"/>
        <v>0</v>
      </c>
      <c r="P292" s="612">
        <f t="shared" si="310"/>
        <v>0</v>
      </c>
      <c r="Q292" s="612">
        <f t="shared" si="310"/>
        <v>0</v>
      </c>
      <c r="R292" s="612">
        <f t="shared" si="310"/>
        <v>0</v>
      </c>
      <c r="S292" s="612">
        <f t="shared" si="310"/>
        <v>0</v>
      </c>
      <c r="T292" s="612">
        <f t="shared" si="310"/>
        <v>0</v>
      </c>
      <c r="U292" s="612">
        <f t="shared" si="310"/>
        <v>0</v>
      </c>
      <c r="V292" s="612">
        <f t="shared" si="310"/>
        <v>0</v>
      </c>
      <c r="W292" s="635">
        <f t="shared" si="311"/>
        <v>0</v>
      </c>
      <c r="Y292" s="288"/>
      <c r="Z292" s="288"/>
    </row>
    <row r="293" spans="3:26" s="63" customFormat="1" ht="3.6" customHeight="1" outlineLevel="1" thickBot="1" x14ac:dyDescent="0.25">
      <c r="C293" s="64"/>
      <c r="D293" s="295"/>
      <c r="E293" s="301"/>
      <c r="F293" s="282"/>
      <c r="G293" s="559"/>
      <c r="H293" s="552"/>
      <c r="J293" s="624"/>
      <c r="K293" s="617"/>
      <c r="L293" s="617"/>
      <c r="M293" s="617"/>
      <c r="N293" s="617"/>
      <c r="O293" s="617"/>
      <c r="P293" s="617"/>
      <c r="Q293" s="617"/>
      <c r="R293" s="617"/>
      <c r="S293" s="617"/>
      <c r="T293" s="617"/>
      <c r="U293" s="617"/>
      <c r="V293" s="617"/>
      <c r="W293" s="552"/>
      <c r="Y293" s="288"/>
      <c r="Z293" s="288"/>
    </row>
    <row r="294" spans="3:26" s="63" customFormat="1" ht="12.75" thickBot="1" x14ac:dyDescent="0.25">
      <c r="C294" s="64"/>
      <c r="D294" s="293"/>
      <c r="E294" s="300"/>
      <c r="F294" s="283" t="str">
        <f>E287</f>
        <v>General</v>
      </c>
      <c r="G294" s="560">
        <f>C287</f>
        <v>7306</v>
      </c>
      <c r="H294" s="553">
        <f>SUBTOTAL(9,H288:H293)</f>
        <v>0</v>
      </c>
      <c r="J294" s="626"/>
      <c r="K294" s="620">
        <f>SUBTOTAL(9,K288:K293)</f>
        <v>0</v>
      </c>
      <c r="L294" s="620">
        <f t="shared" ref="L294" si="313">SUBTOTAL(9,L288:L293)</f>
        <v>0</v>
      </c>
      <c r="M294" s="620">
        <f t="shared" ref="M294" si="314">SUBTOTAL(9,M288:M293)</f>
        <v>0</v>
      </c>
      <c r="N294" s="620">
        <f t="shared" ref="N294" si="315">SUBTOTAL(9,N288:N293)</f>
        <v>0</v>
      </c>
      <c r="O294" s="620">
        <f t="shared" ref="O294" si="316">SUBTOTAL(9,O288:O293)</f>
        <v>0</v>
      </c>
      <c r="P294" s="620">
        <f t="shared" ref="P294" si="317">SUBTOTAL(9,P288:P293)</f>
        <v>0</v>
      </c>
      <c r="Q294" s="620">
        <f t="shared" ref="Q294" si="318">SUBTOTAL(9,Q288:Q293)</f>
        <v>0</v>
      </c>
      <c r="R294" s="620">
        <f t="shared" ref="R294" si="319">SUBTOTAL(9,R288:R293)</f>
        <v>0</v>
      </c>
      <c r="S294" s="620">
        <f t="shared" ref="S294" si="320">SUBTOTAL(9,S288:S293)</f>
        <v>0</v>
      </c>
      <c r="T294" s="620">
        <f t="shared" ref="T294" si="321">SUBTOTAL(9,T288:T293)</f>
        <v>0</v>
      </c>
      <c r="U294" s="620">
        <f t="shared" ref="U294" si="322">SUBTOTAL(9,U288:U293)</f>
        <v>0</v>
      </c>
      <c r="V294" s="620">
        <f>SUBTOTAL(9,V288:V293)</f>
        <v>0</v>
      </c>
      <c r="W294" s="553">
        <f>SUBTOTAL(9,W288:W293)</f>
        <v>0</v>
      </c>
      <c r="X294" s="63" t="str">
        <f>IF(H294=W294,"OK","Error")</f>
        <v>OK</v>
      </c>
      <c r="Y294" s="288">
        <v>0</v>
      </c>
      <c r="Z294" s="288">
        <f>H294-Y294</f>
        <v>0</v>
      </c>
    </row>
    <row r="295" spans="3:26" s="63" customFormat="1" ht="12" outlineLevel="1" x14ac:dyDescent="0.2">
      <c r="C295" s="64"/>
      <c r="D295" s="293"/>
      <c r="E295" s="300"/>
      <c r="F295" s="280"/>
      <c r="G295" s="557"/>
      <c r="H295" s="549"/>
      <c r="J295" s="619"/>
      <c r="K295" s="671"/>
      <c r="L295" s="671"/>
      <c r="M295" s="671"/>
      <c r="N295" s="671"/>
      <c r="O295" s="671"/>
      <c r="P295" s="671"/>
      <c r="Q295" s="671"/>
      <c r="R295" s="671"/>
      <c r="S295" s="671"/>
      <c r="T295" s="671"/>
      <c r="U295" s="671"/>
      <c r="V295" s="671"/>
      <c r="W295" s="549"/>
      <c r="Y295" s="288"/>
      <c r="Z295" s="288"/>
    </row>
    <row r="296" spans="3:26" s="63" customFormat="1" ht="12" outlineLevel="1" x14ac:dyDescent="0.2">
      <c r="C296" s="64">
        <v>7901</v>
      </c>
      <c r="D296" s="293"/>
      <c r="E296" s="300" t="s">
        <v>178</v>
      </c>
      <c r="F296" s="280"/>
      <c r="G296" s="557"/>
      <c r="H296" s="549"/>
      <c r="J296" s="619"/>
      <c r="K296" s="671"/>
      <c r="L296" s="671"/>
      <c r="M296" s="671"/>
      <c r="N296" s="671"/>
      <c r="O296" s="671"/>
      <c r="P296" s="671"/>
      <c r="Q296" s="671"/>
      <c r="R296" s="671"/>
      <c r="S296" s="671"/>
      <c r="T296" s="671"/>
      <c r="U296" s="671"/>
      <c r="V296" s="671"/>
      <c r="W296" s="549"/>
      <c r="Y296" s="288"/>
      <c r="Z296" s="288"/>
    </row>
    <row r="297" spans="3:26" s="63" customFormat="1" ht="12" outlineLevel="1" x14ac:dyDescent="0.2">
      <c r="C297" s="64"/>
      <c r="D297" s="594" t="s">
        <v>259</v>
      </c>
      <c r="E297" s="595"/>
      <c r="F297" s="596">
        <v>0</v>
      </c>
      <c r="G297" s="612">
        <v>0</v>
      </c>
      <c r="H297" s="616">
        <f>IF(J297="NO", F297*G297,SUM(J297:V297))</f>
        <v>0</v>
      </c>
      <c r="J297" s="628" t="s">
        <v>538</v>
      </c>
      <c r="K297" s="612">
        <f t="shared" ref="K297:V301" si="323">$F297*$G297/12</f>
        <v>0</v>
      </c>
      <c r="L297" s="612">
        <f t="shared" si="323"/>
        <v>0</v>
      </c>
      <c r="M297" s="612">
        <f t="shared" si="323"/>
        <v>0</v>
      </c>
      <c r="N297" s="612">
        <f t="shared" si="323"/>
        <v>0</v>
      </c>
      <c r="O297" s="612">
        <f t="shared" si="323"/>
        <v>0</v>
      </c>
      <c r="P297" s="612">
        <f t="shared" si="323"/>
        <v>0</v>
      </c>
      <c r="Q297" s="612">
        <f t="shared" si="323"/>
        <v>0</v>
      </c>
      <c r="R297" s="612">
        <f t="shared" si="323"/>
        <v>0</v>
      </c>
      <c r="S297" s="612">
        <f t="shared" si="323"/>
        <v>0</v>
      </c>
      <c r="T297" s="612">
        <f t="shared" si="323"/>
        <v>0</v>
      </c>
      <c r="U297" s="612">
        <f t="shared" si="323"/>
        <v>0</v>
      </c>
      <c r="V297" s="612">
        <f t="shared" si="323"/>
        <v>0</v>
      </c>
      <c r="W297" s="635">
        <f t="shared" ref="W297:W301" si="324">SUM(K297:V297)</f>
        <v>0</v>
      </c>
      <c r="Y297" s="288"/>
      <c r="Z297" s="288"/>
    </row>
    <row r="298" spans="3:26" s="63" customFormat="1" ht="12" outlineLevel="1" x14ac:dyDescent="0.2">
      <c r="C298" s="64"/>
      <c r="D298" s="594" t="s">
        <v>259</v>
      </c>
      <c r="E298" s="595"/>
      <c r="F298" s="596">
        <v>0</v>
      </c>
      <c r="G298" s="612">
        <v>0</v>
      </c>
      <c r="H298" s="616">
        <f t="shared" ref="H298:H301" si="325">IF(J298="NO", F298*G298,SUM(J298:V298))</f>
        <v>0</v>
      </c>
      <c r="J298" s="628" t="s">
        <v>538</v>
      </c>
      <c r="K298" s="612">
        <f t="shared" si="323"/>
        <v>0</v>
      </c>
      <c r="L298" s="612">
        <f t="shared" si="323"/>
        <v>0</v>
      </c>
      <c r="M298" s="612">
        <f t="shared" si="323"/>
        <v>0</v>
      </c>
      <c r="N298" s="612">
        <f t="shared" si="323"/>
        <v>0</v>
      </c>
      <c r="O298" s="612">
        <f t="shared" si="323"/>
        <v>0</v>
      </c>
      <c r="P298" s="612">
        <f t="shared" si="323"/>
        <v>0</v>
      </c>
      <c r="Q298" s="612">
        <f t="shared" si="323"/>
        <v>0</v>
      </c>
      <c r="R298" s="612">
        <f t="shared" si="323"/>
        <v>0</v>
      </c>
      <c r="S298" s="612">
        <f t="shared" si="323"/>
        <v>0</v>
      </c>
      <c r="T298" s="612">
        <f t="shared" si="323"/>
        <v>0</v>
      </c>
      <c r="U298" s="612">
        <f t="shared" si="323"/>
        <v>0</v>
      </c>
      <c r="V298" s="612">
        <f t="shared" si="323"/>
        <v>0</v>
      </c>
      <c r="W298" s="635">
        <f t="shared" si="324"/>
        <v>0</v>
      </c>
      <c r="Y298" s="288"/>
      <c r="Z298" s="288"/>
    </row>
    <row r="299" spans="3:26" s="63" customFormat="1" ht="12" outlineLevel="1" x14ac:dyDescent="0.2">
      <c r="C299" s="64"/>
      <c r="D299" s="594" t="s">
        <v>259</v>
      </c>
      <c r="E299" s="595"/>
      <c r="F299" s="596">
        <v>0</v>
      </c>
      <c r="G299" s="612">
        <v>0</v>
      </c>
      <c r="H299" s="616">
        <f t="shared" si="325"/>
        <v>0</v>
      </c>
      <c r="J299" s="628" t="s">
        <v>538</v>
      </c>
      <c r="K299" s="612">
        <f t="shared" si="323"/>
        <v>0</v>
      </c>
      <c r="L299" s="612">
        <f t="shared" si="323"/>
        <v>0</v>
      </c>
      <c r="M299" s="612">
        <f t="shared" si="323"/>
        <v>0</v>
      </c>
      <c r="N299" s="612">
        <f t="shared" si="323"/>
        <v>0</v>
      </c>
      <c r="O299" s="612">
        <f t="shared" si="323"/>
        <v>0</v>
      </c>
      <c r="P299" s="612">
        <f t="shared" si="323"/>
        <v>0</v>
      </c>
      <c r="Q299" s="612">
        <f t="shared" si="323"/>
        <v>0</v>
      </c>
      <c r="R299" s="612">
        <f t="shared" si="323"/>
        <v>0</v>
      </c>
      <c r="S299" s="612">
        <f t="shared" si="323"/>
        <v>0</v>
      </c>
      <c r="T299" s="612">
        <f t="shared" si="323"/>
        <v>0</v>
      </c>
      <c r="U299" s="612">
        <f t="shared" si="323"/>
        <v>0</v>
      </c>
      <c r="V299" s="612">
        <f t="shared" si="323"/>
        <v>0</v>
      </c>
      <c r="W299" s="635">
        <f t="shared" si="324"/>
        <v>0</v>
      </c>
      <c r="Y299" s="288"/>
      <c r="Z299" s="288"/>
    </row>
    <row r="300" spans="3:26" s="63" customFormat="1" ht="12" outlineLevel="1" x14ac:dyDescent="0.2">
      <c r="C300" s="64"/>
      <c r="D300" s="594" t="s">
        <v>259</v>
      </c>
      <c r="E300" s="595"/>
      <c r="F300" s="596">
        <v>0</v>
      </c>
      <c r="G300" s="612">
        <v>0</v>
      </c>
      <c r="H300" s="616">
        <f t="shared" si="325"/>
        <v>0</v>
      </c>
      <c r="J300" s="628" t="s">
        <v>538</v>
      </c>
      <c r="K300" s="612">
        <f t="shared" si="323"/>
        <v>0</v>
      </c>
      <c r="L300" s="612">
        <f t="shared" si="323"/>
        <v>0</v>
      </c>
      <c r="M300" s="612">
        <f t="shared" si="323"/>
        <v>0</v>
      </c>
      <c r="N300" s="612">
        <f t="shared" si="323"/>
        <v>0</v>
      </c>
      <c r="O300" s="612">
        <f t="shared" si="323"/>
        <v>0</v>
      </c>
      <c r="P300" s="612">
        <f t="shared" si="323"/>
        <v>0</v>
      </c>
      <c r="Q300" s="612">
        <f t="shared" si="323"/>
        <v>0</v>
      </c>
      <c r="R300" s="612">
        <f t="shared" si="323"/>
        <v>0</v>
      </c>
      <c r="S300" s="612">
        <f t="shared" si="323"/>
        <v>0</v>
      </c>
      <c r="T300" s="612">
        <f t="shared" si="323"/>
        <v>0</v>
      </c>
      <c r="U300" s="612">
        <f t="shared" si="323"/>
        <v>0</v>
      </c>
      <c r="V300" s="612">
        <f t="shared" si="323"/>
        <v>0</v>
      </c>
      <c r="W300" s="635">
        <f t="shared" si="324"/>
        <v>0</v>
      </c>
      <c r="Y300" s="288"/>
      <c r="Z300" s="288"/>
    </row>
    <row r="301" spans="3:26" s="63" customFormat="1" ht="12" outlineLevel="1" x14ac:dyDescent="0.2">
      <c r="C301" s="64"/>
      <c r="D301" s="594" t="s">
        <v>259</v>
      </c>
      <c r="E301" s="595"/>
      <c r="F301" s="596">
        <v>0</v>
      </c>
      <c r="G301" s="612">
        <v>0</v>
      </c>
      <c r="H301" s="616">
        <f t="shared" si="325"/>
        <v>0</v>
      </c>
      <c r="J301" s="628" t="s">
        <v>538</v>
      </c>
      <c r="K301" s="612">
        <f t="shared" si="323"/>
        <v>0</v>
      </c>
      <c r="L301" s="612">
        <f t="shared" si="323"/>
        <v>0</v>
      </c>
      <c r="M301" s="612">
        <f t="shared" si="323"/>
        <v>0</v>
      </c>
      <c r="N301" s="612">
        <f t="shared" si="323"/>
        <v>0</v>
      </c>
      <c r="O301" s="612">
        <f t="shared" si="323"/>
        <v>0</v>
      </c>
      <c r="P301" s="612">
        <f t="shared" si="323"/>
        <v>0</v>
      </c>
      <c r="Q301" s="612">
        <f t="shared" si="323"/>
        <v>0</v>
      </c>
      <c r="R301" s="612">
        <f t="shared" si="323"/>
        <v>0</v>
      </c>
      <c r="S301" s="612">
        <f t="shared" si="323"/>
        <v>0</v>
      </c>
      <c r="T301" s="612">
        <f t="shared" si="323"/>
        <v>0</v>
      </c>
      <c r="U301" s="612">
        <f t="shared" si="323"/>
        <v>0</v>
      </c>
      <c r="V301" s="612">
        <f t="shared" si="323"/>
        <v>0</v>
      </c>
      <c r="W301" s="635">
        <f t="shared" si="324"/>
        <v>0</v>
      </c>
      <c r="Y301" s="288"/>
      <c r="Z301" s="288"/>
    </row>
    <row r="302" spans="3:26" s="63" customFormat="1" ht="3.6" customHeight="1" outlineLevel="1" thickBot="1" x14ac:dyDescent="0.25">
      <c r="C302" s="64"/>
      <c r="D302" s="295"/>
      <c r="E302" s="301"/>
      <c r="F302" s="282"/>
      <c r="G302" s="559"/>
      <c r="H302" s="552"/>
      <c r="J302" s="624"/>
      <c r="K302" s="617"/>
      <c r="L302" s="617"/>
      <c r="M302" s="617"/>
      <c r="N302" s="617"/>
      <c r="O302" s="617"/>
      <c r="P302" s="617"/>
      <c r="Q302" s="617"/>
      <c r="R302" s="617"/>
      <c r="S302" s="617"/>
      <c r="T302" s="617"/>
      <c r="U302" s="617"/>
      <c r="V302" s="617"/>
      <c r="W302" s="552"/>
      <c r="Y302" s="288"/>
      <c r="Z302" s="288"/>
    </row>
    <row r="303" spans="3:26" s="63" customFormat="1" ht="12.75" thickBot="1" x14ac:dyDescent="0.25">
      <c r="C303" s="64"/>
      <c r="D303" s="293"/>
      <c r="E303" s="300"/>
      <c r="F303" s="283" t="str">
        <f>E296</f>
        <v>Depreciation</v>
      </c>
      <c r="G303" s="560">
        <f>C296</f>
        <v>7901</v>
      </c>
      <c r="H303" s="553">
        <f>SUBTOTAL(9,H297:H302)</f>
        <v>0</v>
      </c>
      <c r="J303" s="626"/>
      <c r="K303" s="620">
        <f>SUBTOTAL(9,K297:K302)</f>
        <v>0</v>
      </c>
      <c r="L303" s="620">
        <f t="shared" ref="L303" si="326">SUBTOTAL(9,L297:L302)</f>
        <v>0</v>
      </c>
      <c r="M303" s="620">
        <f t="shared" ref="M303" si="327">SUBTOTAL(9,M297:M302)</f>
        <v>0</v>
      </c>
      <c r="N303" s="620">
        <f t="shared" ref="N303" si="328">SUBTOTAL(9,N297:N302)</f>
        <v>0</v>
      </c>
      <c r="O303" s="620">
        <f t="shared" ref="O303" si="329">SUBTOTAL(9,O297:O302)</f>
        <v>0</v>
      </c>
      <c r="P303" s="620">
        <f t="shared" ref="P303" si="330">SUBTOTAL(9,P297:P302)</f>
        <v>0</v>
      </c>
      <c r="Q303" s="620">
        <f t="shared" ref="Q303" si="331">SUBTOTAL(9,Q297:Q302)</f>
        <v>0</v>
      </c>
      <c r="R303" s="620">
        <f t="shared" ref="R303" si="332">SUBTOTAL(9,R297:R302)</f>
        <v>0</v>
      </c>
      <c r="S303" s="620">
        <f t="shared" ref="S303" si="333">SUBTOTAL(9,S297:S302)</f>
        <v>0</v>
      </c>
      <c r="T303" s="620">
        <f t="shared" ref="T303" si="334">SUBTOTAL(9,T297:T302)</f>
        <v>0</v>
      </c>
      <c r="U303" s="620">
        <f t="shared" ref="U303" si="335">SUBTOTAL(9,U297:U302)</f>
        <v>0</v>
      </c>
      <c r="V303" s="620">
        <f>SUBTOTAL(9,V297:V302)</f>
        <v>0</v>
      </c>
      <c r="W303" s="553">
        <f>SUBTOTAL(9,W297:W302)</f>
        <v>0</v>
      </c>
      <c r="X303" s="63" t="str">
        <f>IF(H303=W303,"OK","Error")</f>
        <v>OK</v>
      </c>
      <c r="Y303" s="288">
        <v>0</v>
      </c>
      <c r="Z303" s="288">
        <f>H303-Y303</f>
        <v>0</v>
      </c>
    </row>
    <row r="304" spans="3:26" s="63" customFormat="1" ht="12" x14ac:dyDescent="0.2">
      <c r="C304" s="64"/>
      <c r="D304" s="293"/>
      <c r="E304" s="300"/>
      <c r="F304" s="280"/>
      <c r="G304" s="557"/>
      <c r="H304" s="549"/>
      <c r="J304" s="619"/>
      <c r="K304" s="671"/>
      <c r="L304" s="671"/>
      <c r="M304" s="671"/>
      <c r="N304" s="671"/>
      <c r="O304" s="671"/>
      <c r="P304" s="671"/>
      <c r="Q304" s="671"/>
      <c r="R304" s="671"/>
      <c r="S304" s="671"/>
      <c r="T304" s="671"/>
      <c r="U304" s="671"/>
      <c r="V304" s="671"/>
      <c r="W304" s="549"/>
      <c r="Y304" s="288"/>
      <c r="Z304" s="288"/>
    </row>
    <row r="305" spans="3:26" s="63" customFormat="1" ht="12" x14ac:dyDescent="0.2">
      <c r="C305" s="64"/>
      <c r="D305" s="293"/>
      <c r="E305" s="300"/>
      <c r="F305" s="280"/>
      <c r="G305" s="557"/>
      <c r="H305" s="549"/>
      <c r="J305" s="619"/>
      <c r="K305" s="671"/>
      <c r="L305" s="671"/>
      <c r="M305" s="671"/>
      <c r="N305" s="671"/>
      <c r="O305" s="671"/>
      <c r="P305" s="671"/>
      <c r="Q305" s="671"/>
      <c r="R305" s="671"/>
      <c r="S305" s="671"/>
      <c r="T305" s="671"/>
      <c r="U305" s="671"/>
      <c r="V305" s="671"/>
      <c r="W305" s="549"/>
      <c r="Y305" s="288"/>
      <c r="Z305" s="288"/>
    </row>
    <row r="306" spans="3:26" s="63" customFormat="1" ht="12" x14ac:dyDescent="0.2">
      <c r="C306" s="64"/>
      <c r="D306" s="293"/>
      <c r="E306" s="300"/>
      <c r="F306" s="280"/>
      <c r="G306" s="557"/>
      <c r="H306" s="549"/>
      <c r="J306" s="619"/>
      <c r="K306" s="671"/>
      <c r="L306" s="671"/>
      <c r="M306" s="671"/>
      <c r="N306" s="671"/>
      <c r="O306" s="671"/>
      <c r="P306" s="671"/>
      <c r="Q306" s="671"/>
      <c r="R306" s="671"/>
      <c r="S306" s="671"/>
      <c r="T306" s="671"/>
      <c r="U306" s="671"/>
      <c r="V306" s="671"/>
      <c r="W306" s="549"/>
      <c r="Y306" s="288"/>
      <c r="Z306" s="288"/>
    </row>
    <row r="307" spans="3:26" s="63" customFormat="1" ht="12" x14ac:dyDescent="0.2">
      <c r="C307" s="64"/>
      <c r="D307" s="293"/>
      <c r="E307" s="300"/>
      <c r="F307" s="280"/>
      <c r="G307" s="557"/>
      <c r="H307" s="549"/>
      <c r="J307" s="619"/>
      <c r="K307" s="671"/>
      <c r="L307" s="671"/>
      <c r="M307" s="671"/>
      <c r="N307" s="671"/>
      <c r="O307" s="671"/>
      <c r="P307" s="671"/>
      <c r="Q307" s="671"/>
      <c r="R307" s="671"/>
      <c r="S307" s="671"/>
      <c r="T307" s="671"/>
      <c r="U307" s="671"/>
      <c r="V307" s="671"/>
      <c r="W307" s="549"/>
      <c r="Y307" s="288"/>
      <c r="Z307" s="288"/>
    </row>
    <row r="308" spans="3:26" s="63" customFormat="1" ht="12" x14ac:dyDescent="0.2">
      <c r="C308" s="64"/>
      <c r="D308" s="293"/>
      <c r="E308" s="300"/>
      <c r="F308" s="280"/>
      <c r="G308" s="557"/>
      <c r="H308" s="549"/>
      <c r="J308" s="619"/>
      <c r="K308" s="671"/>
      <c r="L308" s="671"/>
      <c r="M308" s="671"/>
      <c r="N308" s="671"/>
      <c r="O308" s="671"/>
      <c r="P308" s="671"/>
      <c r="Q308" s="671"/>
      <c r="R308" s="671"/>
      <c r="S308" s="671"/>
      <c r="T308" s="671"/>
      <c r="U308" s="671"/>
      <c r="V308" s="671"/>
      <c r="W308" s="549"/>
      <c r="Y308" s="288"/>
      <c r="Z308" s="288"/>
    </row>
    <row r="309" spans="3:26" s="63" customFormat="1" ht="12" x14ac:dyDescent="0.2">
      <c r="C309" s="64"/>
      <c r="D309" s="293"/>
      <c r="E309" s="300"/>
      <c r="F309" s="280"/>
      <c r="G309" s="557"/>
      <c r="H309" s="549"/>
      <c r="J309" s="619"/>
      <c r="K309" s="671"/>
      <c r="L309" s="671"/>
      <c r="M309" s="671"/>
      <c r="N309" s="671"/>
      <c r="O309" s="671"/>
      <c r="P309" s="671"/>
      <c r="Q309" s="671"/>
      <c r="R309" s="671"/>
      <c r="S309" s="671"/>
      <c r="T309" s="671"/>
      <c r="U309" s="671"/>
      <c r="V309" s="671"/>
      <c r="W309" s="549"/>
      <c r="Y309" s="288"/>
      <c r="Z309" s="288"/>
    </row>
    <row r="310" spans="3:26" s="63" customFormat="1" ht="12" x14ac:dyDescent="0.2">
      <c r="C310" s="64"/>
      <c r="D310" s="293"/>
      <c r="E310" s="300"/>
      <c r="F310" s="280"/>
      <c r="G310" s="557"/>
      <c r="H310" s="549"/>
      <c r="J310" s="619"/>
      <c r="K310" s="671"/>
      <c r="L310" s="671"/>
      <c r="M310" s="671"/>
      <c r="N310" s="671"/>
      <c r="O310" s="671"/>
      <c r="P310" s="671"/>
      <c r="Q310" s="671"/>
      <c r="R310" s="671"/>
      <c r="S310" s="671"/>
      <c r="T310" s="671"/>
      <c r="U310" s="671"/>
      <c r="V310" s="671"/>
      <c r="W310" s="549"/>
      <c r="Y310" s="288"/>
      <c r="Z310" s="288"/>
    </row>
    <row r="311" spans="3:26" s="63" customFormat="1" ht="12" x14ac:dyDescent="0.2">
      <c r="C311" s="64"/>
      <c r="D311" s="293"/>
      <c r="E311" s="300"/>
      <c r="F311" s="280"/>
      <c r="G311" s="557"/>
      <c r="H311" s="549"/>
      <c r="J311" s="619"/>
      <c r="K311" s="671"/>
      <c r="L311" s="671"/>
      <c r="M311" s="671"/>
      <c r="N311" s="671"/>
      <c r="O311" s="671"/>
      <c r="P311" s="671"/>
      <c r="Q311" s="671"/>
      <c r="R311" s="671"/>
      <c r="S311" s="671"/>
      <c r="T311" s="671"/>
      <c r="U311" s="671"/>
      <c r="V311" s="671"/>
      <c r="W311" s="549"/>
      <c r="Y311" s="288"/>
      <c r="Z311" s="288"/>
    </row>
    <row r="312" spans="3:26" s="63" customFormat="1" ht="12" x14ac:dyDescent="0.2">
      <c r="C312" s="64"/>
      <c r="D312" s="293"/>
      <c r="E312" s="300"/>
      <c r="F312" s="280"/>
      <c r="G312" s="557"/>
      <c r="H312" s="549"/>
      <c r="J312" s="619"/>
      <c r="K312" s="671"/>
      <c r="L312" s="671"/>
      <c r="M312" s="671"/>
      <c r="N312" s="671"/>
      <c r="O312" s="671"/>
      <c r="P312" s="671"/>
      <c r="Q312" s="671"/>
      <c r="R312" s="671"/>
      <c r="S312" s="671"/>
      <c r="T312" s="671"/>
      <c r="U312" s="671"/>
      <c r="V312" s="671"/>
      <c r="W312" s="549"/>
      <c r="Y312" s="288"/>
      <c r="Z312" s="288"/>
    </row>
    <row r="313" spans="3:26" s="63" customFormat="1" ht="12" x14ac:dyDescent="0.2">
      <c r="C313" s="64"/>
      <c r="D313" s="293"/>
      <c r="E313" s="300"/>
      <c r="F313" s="280"/>
      <c r="G313" s="557"/>
      <c r="H313" s="549"/>
      <c r="J313" s="619"/>
      <c r="K313" s="671"/>
      <c r="L313" s="671"/>
      <c r="M313" s="671"/>
      <c r="N313" s="671"/>
      <c r="O313" s="671"/>
      <c r="P313" s="671"/>
      <c r="Q313" s="671"/>
      <c r="R313" s="671"/>
      <c r="S313" s="671"/>
      <c r="T313" s="671"/>
      <c r="U313" s="671"/>
      <c r="V313" s="671"/>
      <c r="W313" s="549"/>
      <c r="Y313" s="288"/>
      <c r="Z313" s="288"/>
    </row>
    <row r="314" spans="3:26" s="63" customFormat="1" ht="12" x14ac:dyDescent="0.2">
      <c r="C314" s="64"/>
      <c r="D314" s="293"/>
      <c r="E314" s="300"/>
      <c r="F314" s="280"/>
      <c r="G314" s="557"/>
      <c r="H314" s="549"/>
      <c r="J314" s="619"/>
      <c r="K314" s="671"/>
      <c r="L314" s="671"/>
      <c r="M314" s="671"/>
      <c r="N314" s="671"/>
      <c r="O314" s="671"/>
      <c r="P314" s="671"/>
      <c r="Q314" s="671"/>
      <c r="R314" s="671"/>
      <c r="S314" s="671"/>
      <c r="T314" s="671"/>
      <c r="U314" s="671"/>
      <c r="V314" s="671"/>
      <c r="W314" s="549"/>
      <c r="Y314" s="288"/>
      <c r="Z314" s="288"/>
    </row>
    <row r="315" spans="3:26" s="63" customFormat="1" ht="12" x14ac:dyDescent="0.2">
      <c r="C315" s="64"/>
      <c r="D315" s="293"/>
      <c r="E315" s="300"/>
      <c r="F315" s="280"/>
      <c r="G315" s="557"/>
      <c r="H315" s="549"/>
      <c r="J315" s="619"/>
      <c r="K315" s="671"/>
      <c r="L315" s="671"/>
      <c r="M315" s="671"/>
      <c r="N315" s="671"/>
      <c r="O315" s="671"/>
      <c r="P315" s="671"/>
      <c r="Q315" s="671"/>
      <c r="R315" s="671"/>
      <c r="S315" s="671"/>
      <c r="T315" s="671"/>
      <c r="U315" s="671"/>
      <c r="V315" s="671"/>
      <c r="W315" s="549"/>
      <c r="Y315" s="288"/>
      <c r="Z315" s="288"/>
    </row>
    <row r="316" spans="3:26" s="63" customFormat="1" ht="12" x14ac:dyDescent="0.2">
      <c r="C316" s="64"/>
      <c r="D316" s="293"/>
      <c r="E316" s="300"/>
      <c r="F316" s="280"/>
      <c r="G316" s="557"/>
      <c r="H316" s="549"/>
      <c r="J316" s="619"/>
      <c r="K316" s="671"/>
      <c r="L316" s="671"/>
      <c r="M316" s="671"/>
      <c r="N316" s="671"/>
      <c r="O316" s="671"/>
      <c r="P316" s="671"/>
      <c r="Q316" s="671"/>
      <c r="R316" s="671"/>
      <c r="S316" s="671"/>
      <c r="T316" s="671"/>
      <c r="U316" s="671"/>
      <c r="V316" s="671"/>
      <c r="W316" s="549"/>
      <c r="Y316" s="288"/>
      <c r="Z316" s="288"/>
    </row>
    <row r="317" spans="3:26" s="63" customFormat="1" ht="12" x14ac:dyDescent="0.2">
      <c r="C317" s="64"/>
      <c r="D317" s="293"/>
      <c r="E317" s="300"/>
      <c r="F317" s="280"/>
      <c r="G317" s="557"/>
      <c r="H317" s="549"/>
      <c r="J317" s="619"/>
      <c r="K317" s="671"/>
      <c r="L317" s="671"/>
      <c r="M317" s="671"/>
      <c r="N317" s="671"/>
      <c r="O317" s="671"/>
      <c r="P317" s="671"/>
      <c r="Q317" s="671"/>
      <c r="R317" s="671"/>
      <c r="S317" s="671"/>
      <c r="T317" s="671"/>
      <c r="U317" s="671"/>
      <c r="V317" s="671"/>
      <c r="W317" s="549"/>
      <c r="Y317" s="288"/>
      <c r="Z317" s="288"/>
    </row>
    <row r="318" spans="3:26" s="63" customFormat="1" ht="12" x14ac:dyDescent="0.2">
      <c r="C318" s="64"/>
      <c r="D318" s="293"/>
      <c r="E318" s="300"/>
      <c r="F318" s="280"/>
      <c r="G318" s="557"/>
      <c r="H318" s="549"/>
      <c r="J318" s="619"/>
      <c r="K318" s="671"/>
      <c r="L318" s="671"/>
      <c r="M318" s="671"/>
      <c r="N318" s="671"/>
      <c r="O318" s="671"/>
      <c r="P318" s="671"/>
      <c r="Q318" s="671"/>
      <c r="R318" s="671"/>
      <c r="S318" s="671"/>
      <c r="T318" s="671"/>
      <c r="U318" s="671"/>
      <c r="V318" s="671"/>
      <c r="W318" s="549"/>
      <c r="Y318" s="288"/>
      <c r="Z318" s="288"/>
    </row>
    <row r="319" spans="3:26" s="63" customFormat="1" ht="12" x14ac:dyDescent="0.2">
      <c r="C319" s="64"/>
      <c r="D319" s="293"/>
      <c r="E319" s="300"/>
      <c r="F319" s="280"/>
      <c r="G319" s="557"/>
      <c r="H319" s="549"/>
      <c r="J319" s="619"/>
      <c r="K319" s="671"/>
      <c r="L319" s="671"/>
      <c r="M319" s="671"/>
      <c r="N319" s="671"/>
      <c r="O319" s="671"/>
      <c r="P319" s="671"/>
      <c r="Q319" s="671"/>
      <c r="R319" s="671"/>
      <c r="S319" s="671"/>
      <c r="T319" s="671"/>
      <c r="U319" s="671"/>
      <c r="V319" s="671"/>
      <c r="W319" s="549"/>
      <c r="Y319" s="288"/>
      <c r="Z319" s="288"/>
    </row>
    <row r="320" spans="3:26" s="63" customFormat="1" ht="12" x14ac:dyDescent="0.2">
      <c r="C320" s="64"/>
      <c r="D320" s="293"/>
      <c r="E320" s="300"/>
      <c r="F320" s="280"/>
      <c r="G320" s="557"/>
      <c r="H320" s="549"/>
      <c r="J320" s="619"/>
      <c r="K320" s="671"/>
      <c r="L320" s="671"/>
      <c r="M320" s="671"/>
      <c r="N320" s="671"/>
      <c r="O320" s="671"/>
      <c r="P320" s="671"/>
      <c r="Q320" s="671"/>
      <c r="R320" s="671"/>
      <c r="S320" s="671"/>
      <c r="T320" s="671"/>
      <c r="U320" s="671"/>
      <c r="V320" s="671"/>
      <c r="W320" s="549"/>
      <c r="Y320" s="288"/>
      <c r="Z320" s="288"/>
    </row>
    <row r="321" spans="3:26" s="63" customFormat="1" ht="12" x14ac:dyDescent="0.2">
      <c r="C321" s="64"/>
      <c r="D321" s="293"/>
      <c r="E321" s="300"/>
      <c r="F321" s="280"/>
      <c r="G321" s="557"/>
      <c r="H321" s="549"/>
      <c r="J321" s="619"/>
      <c r="K321" s="671"/>
      <c r="L321" s="671"/>
      <c r="M321" s="671"/>
      <c r="N321" s="671"/>
      <c r="O321" s="671"/>
      <c r="P321" s="671"/>
      <c r="Q321" s="671"/>
      <c r="R321" s="671"/>
      <c r="S321" s="671"/>
      <c r="T321" s="671"/>
      <c r="U321" s="671"/>
      <c r="V321" s="671"/>
      <c r="W321" s="549"/>
      <c r="Y321" s="288"/>
      <c r="Z321" s="288"/>
    </row>
    <row r="322" spans="3:26" s="63" customFormat="1" ht="12" x14ac:dyDescent="0.2">
      <c r="C322" s="64"/>
      <c r="D322" s="293"/>
      <c r="E322" s="300"/>
      <c r="F322" s="280"/>
      <c r="G322" s="557"/>
      <c r="H322" s="549"/>
      <c r="J322" s="619"/>
      <c r="K322" s="671"/>
      <c r="L322" s="671"/>
      <c r="M322" s="671"/>
      <c r="N322" s="671"/>
      <c r="O322" s="671"/>
      <c r="P322" s="671"/>
      <c r="Q322" s="671"/>
      <c r="R322" s="671"/>
      <c r="S322" s="671"/>
      <c r="T322" s="671"/>
      <c r="U322" s="671"/>
      <c r="V322" s="671"/>
      <c r="W322" s="549"/>
      <c r="Y322" s="288"/>
      <c r="Z322" s="288"/>
    </row>
    <row r="323" spans="3:26" s="63" customFormat="1" ht="12" x14ac:dyDescent="0.2">
      <c r="C323" s="64"/>
      <c r="D323" s="293"/>
      <c r="E323" s="300"/>
      <c r="F323" s="280"/>
      <c r="G323" s="557"/>
      <c r="H323" s="549"/>
      <c r="J323" s="619"/>
      <c r="K323" s="671"/>
      <c r="L323" s="671"/>
      <c r="M323" s="671"/>
      <c r="N323" s="671"/>
      <c r="O323" s="671"/>
      <c r="P323" s="671"/>
      <c r="Q323" s="671"/>
      <c r="R323" s="671"/>
      <c r="S323" s="671"/>
      <c r="T323" s="671"/>
      <c r="U323" s="671"/>
      <c r="V323" s="671"/>
      <c r="W323" s="549"/>
      <c r="Y323" s="288"/>
      <c r="Z323" s="288"/>
    </row>
    <row r="324" spans="3:26" s="63" customFormat="1" ht="12" x14ac:dyDescent="0.2">
      <c r="C324" s="64"/>
      <c r="D324" s="293"/>
      <c r="E324" s="300"/>
      <c r="F324" s="280"/>
      <c r="G324" s="557"/>
      <c r="H324" s="549"/>
      <c r="J324" s="619"/>
      <c r="K324" s="671"/>
      <c r="L324" s="671"/>
      <c r="M324" s="671"/>
      <c r="N324" s="671"/>
      <c r="O324" s="671"/>
      <c r="P324" s="671"/>
      <c r="Q324" s="671"/>
      <c r="R324" s="671"/>
      <c r="S324" s="671"/>
      <c r="T324" s="671"/>
      <c r="U324" s="671"/>
      <c r="V324" s="671"/>
      <c r="W324" s="549"/>
      <c r="Y324" s="288"/>
      <c r="Z324" s="288"/>
    </row>
    <row r="325" spans="3:26" s="63" customFormat="1" ht="12" x14ac:dyDescent="0.2">
      <c r="C325" s="64"/>
      <c r="D325" s="293"/>
      <c r="E325" s="300"/>
      <c r="F325" s="280"/>
      <c r="G325" s="557"/>
      <c r="H325" s="549"/>
      <c r="J325" s="619"/>
      <c r="K325" s="671"/>
      <c r="L325" s="671"/>
      <c r="M325" s="671"/>
      <c r="N325" s="671"/>
      <c r="O325" s="671"/>
      <c r="P325" s="671"/>
      <c r="Q325" s="671"/>
      <c r="R325" s="671"/>
      <c r="S325" s="671"/>
      <c r="T325" s="671"/>
      <c r="U325" s="671"/>
      <c r="V325" s="671"/>
      <c r="W325" s="549"/>
      <c r="Y325" s="288"/>
      <c r="Z325" s="288"/>
    </row>
    <row r="326" spans="3:26" s="63" customFormat="1" ht="12" x14ac:dyDescent="0.2">
      <c r="C326" s="64"/>
      <c r="D326" s="293"/>
      <c r="E326" s="300"/>
      <c r="F326" s="280"/>
      <c r="G326" s="557"/>
      <c r="H326" s="549"/>
      <c r="J326" s="619"/>
      <c r="K326" s="671"/>
      <c r="L326" s="671"/>
      <c r="M326" s="671"/>
      <c r="N326" s="671"/>
      <c r="O326" s="671"/>
      <c r="P326" s="671"/>
      <c r="Q326" s="671"/>
      <c r="R326" s="671"/>
      <c r="S326" s="671"/>
      <c r="T326" s="671"/>
      <c r="U326" s="671"/>
      <c r="V326" s="671"/>
      <c r="W326" s="549"/>
      <c r="Y326" s="288"/>
      <c r="Z326" s="288"/>
    </row>
    <row r="327" spans="3:26" s="63" customFormat="1" ht="12" x14ac:dyDescent="0.2">
      <c r="C327" s="64"/>
      <c r="D327" s="293"/>
      <c r="E327" s="300"/>
      <c r="F327" s="280"/>
      <c r="G327" s="557"/>
      <c r="H327" s="549"/>
      <c r="J327" s="619"/>
      <c r="K327" s="671"/>
      <c r="L327" s="671"/>
      <c r="M327" s="671"/>
      <c r="N327" s="671"/>
      <c r="O327" s="671"/>
      <c r="P327" s="671"/>
      <c r="Q327" s="671"/>
      <c r="R327" s="671"/>
      <c r="S327" s="671"/>
      <c r="T327" s="671"/>
      <c r="U327" s="671"/>
      <c r="V327" s="671"/>
      <c r="W327" s="549"/>
      <c r="Y327" s="288"/>
      <c r="Z327" s="288"/>
    </row>
    <row r="328" spans="3:26" s="63" customFormat="1" ht="12" x14ac:dyDescent="0.2">
      <c r="C328" s="64"/>
      <c r="D328" s="293"/>
      <c r="E328" s="300"/>
      <c r="F328" s="280"/>
      <c r="G328" s="557"/>
      <c r="H328" s="549"/>
      <c r="J328" s="619"/>
      <c r="K328" s="671"/>
      <c r="L328" s="671"/>
      <c r="M328" s="671"/>
      <c r="N328" s="671"/>
      <c r="O328" s="671"/>
      <c r="P328" s="671"/>
      <c r="Q328" s="671"/>
      <c r="R328" s="671"/>
      <c r="S328" s="671"/>
      <c r="T328" s="671"/>
      <c r="U328" s="671"/>
      <c r="V328" s="671"/>
      <c r="W328" s="549"/>
      <c r="Y328" s="288"/>
      <c r="Z328" s="288"/>
    </row>
    <row r="329" spans="3:26" s="63" customFormat="1" ht="12" x14ac:dyDescent="0.2">
      <c r="C329" s="64"/>
      <c r="D329" s="293"/>
      <c r="E329" s="300"/>
      <c r="F329" s="280"/>
      <c r="G329" s="557"/>
      <c r="H329" s="549"/>
      <c r="J329" s="619"/>
      <c r="K329" s="671"/>
      <c r="L329" s="671"/>
      <c r="M329" s="671"/>
      <c r="N329" s="671"/>
      <c r="O329" s="671"/>
      <c r="P329" s="671"/>
      <c r="Q329" s="671"/>
      <c r="R329" s="671"/>
      <c r="S329" s="671"/>
      <c r="T329" s="671"/>
      <c r="U329" s="671"/>
      <c r="V329" s="671"/>
      <c r="W329" s="549"/>
      <c r="Y329" s="288"/>
      <c r="Z329" s="288"/>
    </row>
    <row r="330" spans="3:26" s="63" customFormat="1" ht="12" x14ac:dyDescent="0.2">
      <c r="C330" s="64"/>
      <c r="D330" s="293"/>
      <c r="E330" s="300"/>
      <c r="F330" s="280"/>
      <c r="G330" s="557"/>
      <c r="H330" s="549"/>
      <c r="J330" s="619"/>
      <c r="K330" s="671"/>
      <c r="L330" s="671"/>
      <c r="M330" s="671"/>
      <c r="N330" s="671"/>
      <c r="O330" s="671"/>
      <c r="P330" s="671"/>
      <c r="Q330" s="671"/>
      <c r="R330" s="671"/>
      <c r="S330" s="671"/>
      <c r="T330" s="671"/>
      <c r="U330" s="671"/>
      <c r="V330" s="671"/>
      <c r="W330" s="549"/>
      <c r="Y330" s="288"/>
      <c r="Z330" s="288"/>
    </row>
    <row r="331" spans="3:26" s="63" customFormat="1" ht="12" x14ac:dyDescent="0.2">
      <c r="C331" s="64"/>
      <c r="D331" s="293"/>
      <c r="E331" s="300"/>
      <c r="F331" s="280"/>
      <c r="G331" s="557"/>
      <c r="H331" s="549"/>
      <c r="J331" s="619"/>
      <c r="K331" s="671"/>
      <c r="L331" s="671"/>
      <c r="M331" s="671"/>
      <c r="N331" s="671"/>
      <c r="O331" s="671"/>
      <c r="P331" s="671"/>
      <c r="Q331" s="671"/>
      <c r="R331" s="671"/>
      <c r="S331" s="671"/>
      <c r="T331" s="671"/>
      <c r="U331" s="671"/>
      <c r="V331" s="671"/>
      <c r="W331" s="549"/>
      <c r="Y331" s="288"/>
      <c r="Z331" s="288"/>
    </row>
    <row r="332" spans="3:26" s="63" customFormat="1" ht="12" x14ac:dyDescent="0.2">
      <c r="C332" s="64"/>
      <c r="D332" s="293"/>
      <c r="E332" s="300"/>
      <c r="F332" s="280"/>
      <c r="G332" s="557"/>
      <c r="H332" s="549"/>
      <c r="J332" s="619"/>
      <c r="K332" s="671"/>
      <c r="L332" s="671"/>
      <c r="M332" s="671"/>
      <c r="N332" s="671"/>
      <c r="O332" s="671"/>
      <c r="P332" s="671"/>
      <c r="Q332" s="671"/>
      <c r="R332" s="671"/>
      <c r="S332" s="671"/>
      <c r="T332" s="671"/>
      <c r="U332" s="671"/>
      <c r="V332" s="671"/>
      <c r="W332" s="549"/>
      <c r="Y332" s="288"/>
      <c r="Z332" s="288"/>
    </row>
    <row r="333" spans="3:26" s="63" customFormat="1" ht="12" x14ac:dyDescent="0.2">
      <c r="C333" s="64"/>
      <c r="D333" s="293"/>
      <c r="E333" s="300"/>
      <c r="F333" s="280"/>
      <c r="G333" s="557"/>
      <c r="H333" s="549"/>
      <c r="J333" s="619"/>
      <c r="K333" s="671"/>
      <c r="L333" s="671"/>
      <c r="M333" s="671"/>
      <c r="N333" s="671"/>
      <c r="O333" s="671"/>
      <c r="P333" s="671"/>
      <c r="Q333" s="671"/>
      <c r="R333" s="671"/>
      <c r="S333" s="671"/>
      <c r="T333" s="671"/>
      <c r="U333" s="671"/>
      <c r="V333" s="671"/>
      <c r="W333" s="549"/>
      <c r="Y333" s="288"/>
      <c r="Z333" s="288"/>
    </row>
    <row r="334" spans="3:26" s="63" customFormat="1" ht="12" x14ac:dyDescent="0.2">
      <c r="C334" s="64"/>
      <c r="D334" s="293"/>
      <c r="E334" s="300"/>
      <c r="F334" s="280"/>
      <c r="G334" s="557"/>
      <c r="H334" s="549"/>
      <c r="J334" s="619"/>
      <c r="K334" s="671"/>
      <c r="L334" s="671"/>
      <c r="M334" s="671"/>
      <c r="N334" s="671"/>
      <c r="O334" s="671"/>
      <c r="P334" s="671"/>
      <c r="Q334" s="671"/>
      <c r="R334" s="671"/>
      <c r="S334" s="671"/>
      <c r="T334" s="671"/>
      <c r="U334" s="671"/>
      <c r="V334" s="671"/>
      <c r="W334" s="549"/>
      <c r="Y334" s="288"/>
      <c r="Z334" s="288"/>
    </row>
    <row r="335" spans="3:26" s="63" customFormat="1" ht="12" x14ac:dyDescent="0.2">
      <c r="C335" s="64"/>
      <c r="D335" s="293"/>
      <c r="E335" s="300"/>
      <c r="F335" s="280"/>
      <c r="G335" s="557"/>
      <c r="H335" s="549"/>
      <c r="J335" s="619"/>
      <c r="K335" s="671"/>
      <c r="L335" s="671"/>
      <c r="M335" s="671"/>
      <c r="N335" s="671"/>
      <c r="O335" s="671"/>
      <c r="P335" s="671"/>
      <c r="Q335" s="671"/>
      <c r="R335" s="671"/>
      <c r="S335" s="671"/>
      <c r="T335" s="671"/>
      <c r="U335" s="671"/>
      <c r="V335" s="671"/>
      <c r="W335" s="549"/>
      <c r="Y335" s="288"/>
      <c r="Z335" s="288"/>
    </row>
    <row r="336" spans="3:26" s="63" customFormat="1" ht="12" x14ac:dyDescent="0.2">
      <c r="C336" s="64"/>
      <c r="D336" s="293"/>
      <c r="E336" s="300"/>
      <c r="F336" s="280"/>
      <c r="G336" s="557"/>
      <c r="H336" s="549"/>
      <c r="J336" s="619"/>
      <c r="K336" s="671"/>
      <c r="L336" s="671"/>
      <c r="M336" s="671"/>
      <c r="N336" s="671"/>
      <c r="O336" s="671"/>
      <c r="P336" s="671"/>
      <c r="Q336" s="671"/>
      <c r="R336" s="671"/>
      <c r="S336" s="671"/>
      <c r="T336" s="671"/>
      <c r="U336" s="671"/>
      <c r="V336" s="671"/>
      <c r="W336" s="549"/>
      <c r="Y336" s="288"/>
      <c r="Z336" s="288"/>
    </row>
    <row r="337" spans="3:26" s="63" customFormat="1" ht="12" x14ac:dyDescent="0.2">
      <c r="C337" s="64"/>
      <c r="D337" s="293"/>
      <c r="E337" s="300"/>
      <c r="F337" s="280"/>
      <c r="G337" s="557"/>
      <c r="H337" s="549"/>
      <c r="J337" s="619"/>
      <c r="K337" s="671"/>
      <c r="L337" s="671"/>
      <c r="M337" s="671"/>
      <c r="N337" s="671"/>
      <c r="O337" s="671"/>
      <c r="P337" s="671"/>
      <c r="Q337" s="671"/>
      <c r="R337" s="671"/>
      <c r="S337" s="671"/>
      <c r="T337" s="671"/>
      <c r="U337" s="671"/>
      <c r="V337" s="671"/>
      <c r="W337" s="549"/>
      <c r="Y337" s="288"/>
      <c r="Z337" s="288"/>
    </row>
    <row r="338" spans="3:26" s="63" customFormat="1" ht="12" x14ac:dyDescent="0.2">
      <c r="C338" s="64"/>
      <c r="D338" s="293"/>
      <c r="E338" s="300"/>
      <c r="F338" s="280"/>
      <c r="G338" s="557"/>
      <c r="H338" s="549"/>
      <c r="J338" s="619"/>
      <c r="K338" s="671"/>
      <c r="L338" s="671"/>
      <c r="M338" s="671"/>
      <c r="N338" s="671"/>
      <c r="O338" s="671"/>
      <c r="P338" s="671"/>
      <c r="Q338" s="671"/>
      <c r="R338" s="671"/>
      <c r="S338" s="671"/>
      <c r="T338" s="671"/>
      <c r="U338" s="671"/>
      <c r="V338" s="671"/>
      <c r="W338" s="549"/>
      <c r="Y338" s="288"/>
      <c r="Z338" s="288"/>
    </row>
    <row r="339" spans="3:26" s="63" customFormat="1" ht="12" x14ac:dyDescent="0.2">
      <c r="C339" s="64"/>
      <c r="D339" s="293"/>
      <c r="E339" s="300"/>
      <c r="F339" s="280"/>
      <c r="G339" s="557"/>
      <c r="H339" s="549"/>
      <c r="J339" s="619"/>
      <c r="K339" s="671"/>
      <c r="L339" s="671"/>
      <c r="M339" s="671"/>
      <c r="N339" s="671"/>
      <c r="O339" s="671"/>
      <c r="P339" s="671"/>
      <c r="Q339" s="671"/>
      <c r="R339" s="671"/>
      <c r="S339" s="671"/>
      <c r="T339" s="671"/>
      <c r="U339" s="671"/>
      <c r="V339" s="671"/>
      <c r="W339" s="549"/>
      <c r="Y339" s="288"/>
      <c r="Z339" s="288"/>
    </row>
    <row r="340" spans="3:26" s="63" customFormat="1" ht="12" x14ac:dyDescent="0.2">
      <c r="C340" s="64"/>
      <c r="D340" s="293"/>
      <c r="E340" s="300"/>
      <c r="F340" s="280"/>
      <c r="G340" s="557"/>
      <c r="H340" s="549"/>
      <c r="J340" s="619"/>
      <c r="K340" s="671"/>
      <c r="L340" s="671"/>
      <c r="M340" s="671"/>
      <c r="N340" s="671"/>
      <c r="O340" s="671"/>
      <c r="P340" s="671"/>
      <c r="Q340" s="671"/>
      <c r="R340" s="671"/>
      <c r="S340" s="671"/>
      <c r="T340" s="671"/>
      <c r="U340" s="671"/>
      <c r="V340" s="671"/>
      <c r="W340" s="549"/>
      <c r="Y340" s="288"/>
      <c r="Z340" s="288"/>
    </row>
    <row r="341" spans="3:26" s="63" customFormat="1" ht="12" x14ac:dyDescent="0.2">
      <c r="C341" s="64"/>
      <c r="D341" s="293"/>
      <c r="E341" s="300"/>
      <c r="F341" s="280"/>
      <c r="G341" s="557"/>
      <c r="H341" s="549"/>
      <c r="J341" s="619"/>
      <c r="K341" s="671"/>
      <c r="L341" s="671"/>
      <c r="M341" s="671"/>
      <c r="N341" s="671"/>
      <c r="O341" s="671"/>
      <c r="P341" s="671"/>
      <c r="Q341" s="671"/>
      <c r="R341" s="671"/>
      <c r="S341" s="671"/>
      <c r="T341" s="671"/>
      <c r="U341" s="671"/>
      <c r="V341" s="671"/>
      <c r="W341" s="549"/>
      <c r="Y341" s="288"/>
      <c r="Z341" s="288"/>
    </row>
    <row r="342" spans="3:26" s="63" customFormat="1" ht="12" x14ac:dyDescent="0.2">
      <c r="C342" s="64"/>
      <c r="D342" s="293"/>
      <c r="E342" s="300"/>
      <c r="F342" s="280"/>
      <c r="G342" s="557"/>
      <c r="H342" s="549"/>
      <c r="J342" s="619"/>
      <c r="K342" s="671"/>
      <c r="L342" s="671"/>
      <c r="M342" s="671"/>
      <c r="N342" s="671"/>
      <c r="O342" s="671"/>
      <c r="P342" s="671"/>
      <c r="Q342" s="671"/>
      <c r="R342" s="671"/>
      <c r="S342" s="671"/>
      <c r="T342" s="671"/>
      <c r="U342" s="671"/>
      <c r="V342" s="671"/>
      <c r="W342" s="549"/>
      <c r="Y342" s="288"/>
      <c r="Z342" s="288"/>
    </row>
    <row r="343" spans="3:26" s="63" customFormat="1" ht="12" x14ac:dyDescent="0.2">
      <c r="C343" s="64"/>
      <c r="D343" s="293"/>
      <c r="E343" s="300"/>
      <c r="F343" s="280"/>
      <c r="G343" s="557"/>
      <c r="H343" s="549"/>
      <c r="J343" s="619"/>
      <c r="K343" s="671"/>
      <c r="L343" s="671"/>
      <c r="M343" s="671"/>
      <c r="N343" s="671"/>
      <c r="O343" s="671"/>
      <c r="P343" s="671"/>
      <c r="Q343" s="671"/>
      <c r="R343" s="671"/>
      <c r="S343" s="671"/>
      <c r="T343" s="671"/>
      <c r="U343" s="671"/>
      <c r="V343" s="671"/>
      <c r="W343" s="549"/>
      <c r="Y343" s="288"/>
      <c r="Z343" s="288"/>
    </row>
    <row r="344" spans="3:26" s="63" customFormat="1" ht="12" x14ac:dyDescent="0.2">
      <c r="C344" s="64"/>
      <c r="D344" s="293"/>
      <c r="E344" s="300"/>
      <c r="F344" s="280"/>
      <c r="G344" s="557"/>
      <c r="H344" s="549"/>
      <c r="J344" s="619"/>
      <c r="K344" s="671"/>
      <c r="L344" s="671"/>
      <c r="M344" s="671"/>
      <c r="N344" s="671"/>
      <c r="O344" s="671"/>
      <c r="P344" s="671"/>
      <c r="Q344" s="671"/>
      <c r="R344" s="671"/>
      <c r="S344" s="671"/>
      <c r="T344" s="671"/>
      <c r="U344" s="671"/>
      <c r="V344" s="671"/>
      <c r="W344" s="549"/>
      <c r="Y344" s="288"/>
      <c r="Z344" s="288"/>
    </row>
    <row r="345" spans="3:26" s="63" customFormat="1" ht="12" x14ac:dyDescent="0.2">
      <c r="C345" s="64"/>
      <c r="D345" s="293"/>
      <c r="E345" s="300"/>
      <c r="F345" s="280"/>
      <c r="G345" s="557"/>
      <c r="H345" s="549"/>
      <c r="J345" s="619"/>
      <c r="K345" s="671"/>
      <c r="L345" s="671"/>
      <c r="M345" s="671"/>
      <c r="N345" s="671"/>
      <c r="O345" s="671"/>
      <c r="P345" s="671"/>
      <c r="Q345" s="671"/>
      <c r="R345" s="671"/>
      <c r="S345" s="671"/>
      <c r="T345" s="671"/>
      <c r="U345" s="671"/>
      <c r="V345" s="671"/>
      <c r="W345" s="549"/>
      <c r="Y345" s="288"/>
      <c r="Z345" s="288"/>
    </row>
    <row r="346" spans="3:26" s="63" customFormat="1" ht="12" x14ac:dyDescent="0.2">
      <c r="C346" s="64"/>
      <c r="D346" s="293"/>
      <c r="E346" s="300"/>
      <c r="F346" s="280"/>
      <c r="G346" s="557"/>
      <c r="H346" s="549"/>
      <c r="J346" s="619"/>
      <c r="K346" s="671"/>
      <c r="L346" s="671"/>
      <c r="M346" s="671"/>
      <c r="N346" s="671"/>
      <c r="O346" s="671"/>
      <c r="P346" s="671"/>
      <c r="Q346" s="671"/>
      <c r="R346" s="671"/>
      <c r="S346" s="671"/>
      <c r="T346" s="671"/>
      <c r="U346" s="671"/>
      <c r="V346" s="671"/>
      <c r="W346" s="549"/>
      <c r="Y346" s="288"/>
      <c r="Z346" s="288"/>
    </row>
    <row r="347" spans="3:26" s="63" customFormat="1" ht="12" x14ac:dyDescent="0.2">
      <c r="C347" s="64"/>
      <c r="D347" s="293"/>
      <c r="E347" s="300"/>
      <c r="F347" s="280"/>
      <c r="G347" s="557"/>
      <c r="H347" s="549"/>
      <c r="J347" s="619"/>
      <c r="K347" s="671"/>
      <c r="L347" s="671"/>
      <c r="M347" s="671"/>
      <c r="N347" s="671"/>
      <c r="O347" s="671"/>
      <c r="P347" s="671"/>
      <c r="Q347" s="671"/>
      <c r="R347" s="671"/>
      <c r="S347" s="671"/>
      <c r="T347" s="671"/>
      <c r="U347" s="671"/>
      <c r="V347" s="671"/>
      <c r="W347" s="549"/>
      <c r="Y347" s="288"/>
      <c r="Z347" s="288"/>
    </row>
    <row r="348" spans="3:26" s="63" customFormat="1" ht="12" x14ac:dyDescent="0.2">
      <c r="C348" s="64"/>
      <c r="D348" s="293"/>
      <c r="E348" s="300"/>
      <c r="F348" s="280"/>
      <c r="G348" s="557"/>
      <c r="H348" s="549"/>
      <c r="J348" s="619"/>
      <c r="K348" s="671"/>
      <c r="L348" s="671"/>
      <c r="M348" s="671"/>
      <c r="N348" s="671"/>
      <c r="O348" s="671"/>
      <c r="P348" s="671"/>
      <c r="Q348" s="671"/>
      <c r="R348" s="671"/>
      <c r="S348" s="671"/>
      <c r="T348" s="671"/>
      <c r="U348" s="671"/>
      <c r="V348" s="671"/>
      <c r="W348" s="549"/>
      <c r="Y348" s="288"/>
      <c r="Z348" s="288"/>
    </row>
    <row r="349" spans="3:26" s="63" customFormat="1" ht="12" x14ac:dyDescent="0.2">
      <c r="C349" s="64"/>
      <c r="D349" s="293"/>
      <c r="E349" s="300"/>
      <c r="F349" s="280"/>
      <c r="G349" s="557"/>
      <c r="H349" s="549"/>
      <c r="J349" s="619"/>
      <c r="K349" s="671"/>
      <c r="L349" s="671"/>
      <c r="M349" s="671"/>
      <c r="N349" s="671"/>
      <c r="O349" s="671"/>
      <c r="P349" s="671"/>
      <c r="Q349" s="671"/>
      <c r="R349" s="671"/>
      <c r="S349" s="671"/>
      <c r="T349" s="671"/>
      <c r="U349" s="671"/>
      <c r="V349" s="671"/>
      <c r="W349" s="549"/>
      <c r="Y349" s="288"/>
      <c r="Z349" s="288"/>
    </row>
    <row r="350" spans="3:26" s="63" customFormat="1" ht="12" x14ac:dyDescent="0.2">
      <c r="C350" s="64"/>
      <c r="D350" s="293"/>
      <c r="E350" s="300"/>
      <c r="F350" s="280"/>
      <c r="G350" s="557"/>
      <c r="H350" s="549"/>
      <c r="J350" s="619"/>
      <c r="K350" s="671"/>
      <c r="L350" s="671"/>
      <c r="M350" s="671"/>
      <c r="N350" s="671"/>
      <c r="O350" s="671"/>
      <c r="P350" s="671"/>
      <c r="Q350" s="671"/>
      <c r="R350" s="671"/>
      <c r="S350" s="671"/>
      <c r="T350" s="671"/>
      <c r="U350" s="671"/>
      <c r="V350" s="671"/>
      <c r="W350" s="549"/>
      <c r="Y350" s="288"/>
      <c r="Z350" s="288"/>
    </row>
    <row r="351" spans="3:26" s="63" customFormat="1" ht="12" x14ac:dyDescent="0.2">
      <c r="C351" s="64"/>
      <c r="D351" s="293"/>
      <c r="E351" s="300"/>
      <c r="F351" s="280"/>
      <c r="G351" s="557"/>
      <c r="H351" s="549"/>
      <c r="J351" s="619"/>
      <c r="K351" s="671"/>
      <c r="L351" s="671"/>
      <c r="M351" s="671"/>
      <c r="N351" s="671"/>
      <c r="O351" s="671"/>
      <c r="P351" s="671"/>
      <c r="Q351" s="671"/>
      <c r="R351" s="671"/>
      <c r="S351" s="671"/>
      <c r="T351" s="671"/>
      <c r="U351" s="671"/>
      <c r="V351" s="671"/>
      <c r="W351" s="549"/>
      <c r="Y351" s="288"/>
      <c r="Z351" s="288"/>
    </row>
    <row r="352" spans="3:26" s="63" customFormat="1" ht="12" x14ac:dyDescent="0.2">
      <c r="C352" s="64"/>
      <c r="D352" s="293"/>
      <c r="E352" s="300"/>
      <c r="F352" s="280"/>
      <c r="G352" s="557"/>
      <c r="H352" s="549"/>
      <c r="J352" s="619"/>
      <c r="K352" s="671"/>
      <c r="L352" s="671"/>
      <c r="M352" s="671"/>
      <c r="N352" s="671"/>
      <c r="O352" s="671"/>
      <c r="P352" s="671"/>
      <c r="Q352" s="671"/>
      <c r="R352" s="671"/>
      <c r="S352" s="671"/>
      <c r="T352" s="671"/>
      <c r="U352" s="671"/>
      <c r="V352" s="671"/>
      <c r="W352" s="549"/>
      <c r="Y352" s="288"/>
      <c r="Z352" s="288"/>
    </row>
    <row r="353" spans="3:26" s="63" customFormat="1" ht="12" x14ac:dyDescent="0.2">
      <c r="C353" s="64"/>
      <c r="D353" s="293"/>
      <c r="E353" s="300"/>
      <c r="F353" s="280"/>
      <c r="G353" s="557"/>
      <c r="H353" s="549"/>
      <c r="J353" s="619"/>
      <c r="K353" s="671"/>
      <c r="L353" s="671"/>
      <c r="M353" s="671"/>
      <c r="N353" s="671"/>
      <c r="O353" s="671"/>
      <c r="P353" s="671"/>
      <c r="Q353" s="671"/>
      <c r="R353" s="671"/>
      <c r="S353" s="671"/>
      <c r="T353" s="671"/>
      <c r="U353" s="671"/>
      <c r="V353" s="671"/>
      <c r="W353" s="549"/>
      <c r="Y353" s="288"/>
      <c r="Z353" s="288"/>
    </row>
    <row r="354" spans="3:26" s="63" customFormat="1" ht="12" x14ac:dyDescent="0.2">
      <c r="C354" s="64"/>
      <c r="D354" s="293"/>
      <c r="E354" s="300"/>
      <c r="F354" s="280"/>
      <c r="G354" s="557"/>
      <c r="H354" s="549"/>
      <c r="J354" s="619"/>
      <c r="K354" s="671"/>
      <c r="L354" s="671"/>
      <c r="M354" s="671"/>
      <c r="N354" s="671"/>
      <c r="O354" s="671"/>
      <c r="P354" s="671"/>
      <c r="Q354" s="671"/>
      <c r="R354" s="671"/>
      <c r="S354" s="671"/>
      <c r="T354" s="671"/>
      <c r="U354" s="671"/>
      <c r="V354" s="671"/>
      <c r="W354" s="549"/>
      <c r="Y354" s="288"/>
      <c r="Z354" s="288"/>
    </row>
    <row r="355" spans="3:26" s="63" customFormat="1" ht="12" x14ac:dyDescent="0.2">
      <c r="C355" s="64"/>
      <c r="D355" s="293"/>
      <c r="E355" s="300"/>
      <c r="F355" s="280"/>
      <c r="G355" s="557"/>
      <c r="H355" s="549"/>
      <c r="J355" s="619"/>
      <c r="K355" s="671"/>
      <c r="L355" s="671"/>
      <c r="M355" s="671"/>
      <c r="N355" s="671"/>
      <c r="O355" s="671"/>
      <c r="P355" s="671"/>
      <c r="Q355" s="671"/>
      <c r="R355" s="671"/>
      <c r="S355" s="671"/>
      <c r="T355" s="671"/>
      <c r="U355" s="671"/>
      <c r="V355" s="671"/>
      <c r="W355" s="549"/>
      <c r="Y355" s="288"/>
      <c r="Z355" s="288"/>
    </row>
    <row r="356" spans="3:26" s="63" customFormat="1" ht="12" x14ac:dyDescent="0.2">
      <c r="C356" s="64"/>
      <c r="D356" s="293"/>
      <c r="E356" s="300"/>
      <c r="F356" s="280"/>
      <c r="G356" s="557"/>
      <c r="H356" s="549"/>
      <c r="J356" s="619"/>
      <c r="K356" s="671"/>
      <c r="L356" s="671"/>
      <c r="M356" s="671"/>
      <c r="N356" s="671"/>
      <c r="O356" s="671"/>
      <c r="P356" s="671"/>
      <c r="Q356" s="671"/>
      <c r="R356" s="671"/>
      <c r="S356" s="671"/>
      <c r="T356" s="671"/>
      <c r="U356" s="671"/>
      <c r="V356" s="671"/>
      <c r="W356" s="549"/>
      <c r="Y356" s="288"/>
      <c r="Z356" s="288"/>
    </row>
    <row r="357" spans="3:26" s="63" customFormat="1" ht="12" x14ac:dyDescent="0.2">
      <c r="C357" s="64"/>
      <c r="D357" s="293"/>
      <c r="E357" s="300"/>
      <c r="F357" s="280"/>
      <c r="G357" s="557"/>
      <c r="H357" s="549"/>
      <c r="J357" s="619"/>
      <c r="K357" s="671"/>
      <c r="L357" s="671"/>
      <c r="M357" s="671"/>
      <c r="N357" s="671"/>
      <c r="O357" s="671"/>
      <c r="P357" s="671"/>
      <c r="Q357" s="671"/>
      <c r="R357" s="671"/>
      <c r="S357" s="671"/>
      <c r="T357" s="671"/>
      <c r="U357" s="671"/>
      <c r="V357" s="671"/>
      <c r="W357" s="549"/>
      <c r="Y357" s="288"/>
      <c r="Z357" s="288"/>
    </row>
    <row r="358" spans="3:26" s="63" customFormat="1" ht="12" x14ac:dyDescent="0.2">
      <c r="C358" s="64"/>
      <c r="D358" s="293"/>
      <c r="E358" s="300"/>
      <c r="F358" s="280"/>
      <c r="G358" s="557"/>
      <c r="H358" s="549"/>
      <c r="J358" s="619"/>
      <c r="K358" s="671"/>
      <c r="L358" s="671"/>
      <c r="M358" s="671"/>
      <c r="N358" s="671"/>
      <c r="O358" s="671"/>
      <c r="P358" s="671"/>
      <c r="Q358" s="671"/>
      <c r="R358" s="671"/>
      <c r="S358" s="671"/>
      <c r="T358" s="671"/>
      <c r="U358" s="671"/>
      <c r="V358" s="671"/>
      <c r="W358" s="549"/>
      <c r="Y358" s="288"/>
      <c r="Z358" s="288"/>
    </row>
    <row r="359" spans="3:26" s="63" customFormat="1" ht="12" x14ac:dyDescent="0.2">
      <c r="C359" s="64"/>
      <c r="D359" s="293"/>
      <c r="E359" s="300"/>
      <c r="F359" s="280"/>
      <c r="G359" s="557"/>
      <c r="H359" s="549"/>
      <c r="J359" s="619"/>
      <c r="K359" s="671"/>
      <c r="L359" s="671"/>
      <c r="M359" s="671"/>
      <c r="N359" s="671"/>
      <c r="O359" s="671"/>
      <c r="P359" s="671"/>
      <c r="Q359" s="671"/>
      <c r="R359" s="671"/>
      <c r="S359" s="671"/>
      <c r="T359" s="671"/>
      <c r="U359" s="671"/>
      <c r="V359" s="671"/>
      <c r="W359" s="549"/>
      <c r="Y359" s="288"/>
      <c r="Z359" s="288"/>
    </row>
    <row r="360" spans="3:26" s="63" customFormat="1" ht="12" x14ac:dyDescent="0.2">
      <c r="C360" s="64"/>
      <c r="D360" s="293"/>
      <c r="E360" s="300"/>
      <c r="F360" s="280"/>
      <c r="G360" s="557"/>
      <c r="H360" s="549"/>
      <c r="J360" s="619"/>
      <c r="K360" s="671"/>
      <c r="L360" s="671"/>
      <c r="M360" s="671"/>
      <c r="N360" s="671"/>
      <c r="O360" s="671"/>
      <c r="P360" s="671"/>
      <c r="Q360" s="671"/>
      <c r="R360" s="671"/>
      <c r="S360" s="671"/>
      <c r="T360" s="671"/>
      <c r="U360" s="671"/>
      <c r="V360" s="671"/>
      <c r="W360" s="549"/>
      <c r="Y360" s="288"/>
      <c r="Z360" s="288"/>
    </row>
    <row r="361" spans="3:26" s="63" customFormat="1" ht="12" x14ac:dyDescent="0.2">
      <c r="C361" s="64"/>
      <c r="D361" s="293"/>
      <c r="E361" s="300"/>
      <c r="F361" s="280"/>
      <c r="G361" s="557"/>
      <c r="H361" s="549"/>
      <c r="J361" s="619"/>
      <c r="K361" s="671"/>
      <c r="L361" s="671"/>
      <c r="M361" s="671"/>
      <c r="N361" s="671"/>
      <c r="O361" s="671"/>
      <c r="P361" s="671"/>
      <c r="Q361" s="671"/>
      <c r="R361" s="671"/>
      <c r="S361" s="671"/>
      <c r="T361" s="671"/>
      <c r="U361" s="671"/>
      <c r="V361" s="671"/>
      <c r="W361" s="549"/>
      <c r="Y361" s="288"/>
      <c r="Z361" s="288"/>
    </row>
    <row r="362" spans="3:26" s="63" customFormat="1" ht="12" x14ac:dyDescent="0.2">
      <c r="C362" s="64"/>
      <c r="D362" s="293"/>
      <c r="E362" s="300"/>
      <c r="F362" s="280"/>
      <c r="G362" s="557"/>
      <c r="H362" s="549"/>
      <c r="J362" s="619"/>
      <c r="K362" s="671"/>
      <c r="L362" s="671"/>
      <c r="M362" s="671"/>
      <c r="N362" s="671"/>
      <c r="O362" s="671"/>
      <c r="P362" s="671"/>
      <c r="Q362" s="671"/>
      <c r="R362" s="671"/>
      <c r="S362" s="671"/>
      <c r="T362" s="671"/>
      <c r="U362" s="671"/>
      <c r="V362" s="671"/>
      <c r="W362" s="549"/>
      <c r="Y362" s="288"/>
      <c r="Z362" s="288"/>
    </row>
    <row r="363" spans="3:26" s="63" customFormat="1" ht="12" x14ac:dyDescent="0.2">
      <c r="C363" s="64"/>
      <c r="D363" s="293"/>
      <c r="E363" s="300"/>
      <c r="F363" s="280"/>
      <c r="G363" s="557"/>
      <c r="H363" s="549"/>
      <c r="J363" s="619"/>
      <c r="K363" s="671"/>
      <c r="L363" s="671"/>
      <c r="M363" s="671"/>
      <c r="N363" s="671"/>
      <c r="O363" s="671"/>
      <c r="P363" s="671"/>
      <c r="Q363" s="671"/>
      <c r="R363" s="671"/>
      <c r="S363" s="671"/>
      <c r="T363" s="671"/>
      <c r="U363" s="671"/>
      <c r="V363" s="671"/>
      <c r="W363" s="549"/>
      <c r="Y363" s="288"/>
      <c r="Z363" s="288"/>
    </row>
    <row r="364" spans="3:26" s="63" customFormat="1" ht="12" x14ac:dyDescent="0.2">
      <c r="C364" s="64"/>
      <c r="D364" s="293"/>
      <c r="E364" s="300"/>
      <c r="F364" s="280"/>
      <c r="G364" s="557"/>
      <c r="H364" s="549"/>
      <c r="J364" s="619"/>
      <c r="K364" s="671"/>
      <c r="L364" s="671"/>
      <c r="M364" s="671"/>
      <c r="N364" s="671"/>
      <c r="O364" s="671"/>
      <c r="P364" s="671"/>
      <c r="Q364" s="671"/>
      <c r="R364" s="671"/>
      <c r="S364" s="671"/>
      <c r="T364" s="671"/>
      <c r="U364" s="671"/>
      <c r="V364" s="671"/>
      <c r="W364" s="549"/>
      <c r="Y364" s="288"/>
      <c r="Z364" s="288"/>
    </row>
    <row r="365" spans="3:26" s="63" customFormat="1" ht="12" x14ac:dyDescent="0.2">
      <c r="C365" s="64"/>
      <c r="D365" s="293"/>
      <c r="E365" s="300"/>
      <c r="F365" s="280"/>
      <c r="G365" s="557"/>
      <c r="H365" s="549"/>
      <c r="J365" s="619"/>
      <c r="K365" s="671"/>
      <c r="L365" s="671"/>
      <c r="M365" s="671"/>
      <c r="N365" s="671"/>
      <c r="O365" s="671"/>
      <c r="P365" s="671"/>
      <c r="Q365" s="671"/>
      <c r="R365" s="671"/>
      <c r="S365" s="671"/>
      <c r="T365" s="671"/>
      <c r="U365" s="671"/>
      <c r="V365" s="671"/>
      <c r="W365" s="549"/>
      <c r="Y365" s="288"/>
      <c r="Z365" s="288"/>
    </row>
    <row r="366" spans="3:26" s="63" customFormat="1" ht="12" x14ac:dyDescent="0.2">
      <c r="C366" s="64"/>
      <c r="D366" s="293"/>
      <c r="E366" s="300"/>
      <c r="F366" s="280"/>
      <c r="G366" s="557"/>
      <c r="H366" s="549"/>
      <c r="J366" s="619"/>
      <c r="K366" s="671"/>
      <c r="L366" s="671"/>
      <c r="M366" s="671"/>
      <c r="N366" s="671"/>
      <c r="O366" s="671"/>
      <c r="P366" s="671"/>
      <c r="Q366" s="671"/>
      <c r="R366" s="671"/>
      <c r="S366" s="671"/>
      <c r="T366" s="671"/>
      <c r="U366" s="671"/>
      <c r="V366" s="671"/>
      <c r="W366" s="549"/>
      <c r="Y366" s="288"/>
      <c r="Z366" s="288"/>
    </row>
    <row r="367" spans="3:26" s="63" customFormat="1" ht="12" x14ac:dyDescent="0.2">
      <c r="C367" s="64"/>
      <c r="D367" s="293"/>
      <c r="E367" s="300"/>
      <c r="F367" s="280"/>
      <c r="G367" s="557"/>
      <c r="H367" s="549"/>
      <c r="J367" s="619"/>
      <c r="K367" s="671"/>
      <c r="L367" s="671"/>
      <c r="M367" s="671"/>
      <c r="N367" s="671"/>
      <c r="O367" s="671"/>
      <c r="P367" s="671"/>
      <c r="Q367" s="671"/>
      <c r="R367" s="671"/>
      <c r="S367" s="671"/>
      <c r="T367" s="671"/>
      <c r="U367" s="671"/>
      <c r="V367" s="671"/>
      <c r="W367" s="549"/>
      <c r="Y367" s="288"/>
      <c r="Z367" s="288"/>
    </row>
    <row r="368" spans="3:26" s="63" customFormat="1" ht="12" x14ac:dyDescent="0.2">
      <c r="C368" s="64"/>
      <c r="D368" s="293"/>
      <c r="E368" s="300"/>
      <c r="F368" s="280"/>
      <c r="G368" s="557"/>
      <c r="H368" s="549"/>
      <c r="J368" s="619"/>
      <c r="K368" s="671"/>
      <c r="L368" s="671"/>
      <c r="M368" s="671"/>
      <c r="N368" s="671"/>
      <c r="O368" s="671"/>
      <c r="P368" s="671"/>
      <c r="Q368" s="671"/>
      <c r="R368" s="671"/>
      <c r="S368" s="671"/>
      <c r="T368" s="671"/>
      <c r="U368" s="671"/>
      <c r="V368" s="671"/>
      <c r="W368" s="549"/>
      <c r="Y368" s="288"/>
      <c r="Z368" s="288"/>
    </row>
    <row r="369" spans="3:26" s="63" customFormat="1" ht="12" x14ac:dyDescent="0.2">
      <c r="C369" s="64"/>
      <c r="D369" s="293"/>
      <c r="E369" s="300"/>
      <c r="F369" s="280"/>
      <c r="G369" s="557"/>
      <c r="H369" s="549"/>
      <c r="J369" s="619"/>
      <c r="K369" s="671"/>
      <c r="L369" s="671"/>
      <c r="M369" s="671"/>
      <c r="N369" s="671"/>
      <c r="O369" s="671"/>
      <c r="P369" s="671"/>
      <c r="Q369" s="671"/>
      <c r="R369" s="671"/>
      <c r="S369" s="671"/>
      <c r="T369" s="671"/>
      <c r="U369" s="671"/>
      <c r="V369" s="671"/>
      <c r="W369" s="549"/>
      <c r="Y369" s="288"/>
      <c r="Z369" s="288"/>
    </row>
    <row r="370" spans="3:26" s="63" customFormat="1" ht="12" x14ac:dyDescent="0.2">
      <c r="C370" s="64"/>
      <c r="D370" s="293"/>
      <c r="E370" s="300"/>
      <c r="F370" s="280"/>
      <c r="G370" s="557"/>
      <c r="H370" s="549"/>
      <c r="J370" s="619"/>
      <c r="K370" s="671"/>
      <c r="L370" s="671"/>
      <c r="M370" s="671"/>
      <c r="N370" s="671"/>
      <c r="O370" s="671"/>
      <c r="P370" s="671"/>
      <c r="Q370" s="671"/>
      <c r="R370" s="671"/>
      <c r="S370" s="671"/>
      <c r="T370" s="671"/>
      <c r="U370" s="671"/>
      <c r="V370" s="671"/>
      <c r="W370" s="549"/>
      <c r="Y370" s="288"/>
      <c r="Z370" s="288"/>
    </row>
    <row r="371" spans="3:26" s="63" customFormat="1" ht="12" x14ac:dyDescent="0.2">
      <c r="C371" s="64"/>
      <c r="D371" s="293"/>
      <c r="E371" s="300"/>
      <c r="F371" s="280"/>
      <c r="G371" s="557"/>
      <c r="H371" s="549"/>
      <c r="J371" s="619"/>
      <c r="K371" s="671"/>
      <c r="L371" s="671"/>
      <c r="M371" s="671"/>
      <c r="N371" s="671"/>
      <c r="O371" s="671"/>
      <c r="P371" s="671"/>
      <c r="Q371" s="671"/>
      <c r="R371" s="671"/>
      <c r="S371" s="671"/>
      <c r="T371" s="671"/>
      <c r="U371" s="671"/>
      <c r="V371" s="671"/>
      <c r="W371" s="549"/>
      <c r="Y371" s="288"/>
      <c r="Z371" s="288"/>
    </row>
    <row r="372" spans="3:26" s="63" customFormat="1" ht="12" x14ac:dyDescent="0.2">
      <c r="C372" s="64"/>
      <c r="D372" s="293"/>
      <c r="E372" s="300"/>
      <c r="F372" s="280"/>
      <c r="G372" s="557"/>
      <c r="H372" s="549"/>
      <c r="J372" s="619"/>
      <c r="K372" s="671"/>
      <c r="L372" s="671"/>
      <c r="M372" s="671"/>
      <c r="N372" s="671"/>
      <c r="O372" s="671"/>
      <c r="P372" s="671"/>
      <c r="Q372" s="671"/>
      <c r="R372" s="671"/>
      <c r="S372" s="671"/>
      <c r="T372" s="671"/>
      <c r="U372" s="671"/>
      <c r="V372" s="671"/>
      <c r="W372" s="549"/>
      <c r="Y372" s="288"/>
      <c r="Z372" s="288"/>
    </row>
    <row r="373" spans="3:26" s="63" customFormat="1" ht="12" x14ac:dyDescent="0.2">
      <c r="C373" s="64"/>
      <c r="D373" s="293"/>
      <c r="E373" s="300"/>
      <c r="F373" s="280"/>
      <c r="G373" s="557"/>
      <c r="H373" s="549"/>
      <c r="J373" s="619"/>
      <c r="K373" s="671"/>
      <c r="L373" s="671"/>
      <c r="M373" s="671"/>
      <c r="N373" s="671"/>
      <c r="O373" s="671"/>
      <c r="P373" s="671"/>
      <c r="Q373" s="671"/>
      <c r="R373" s="671"/>
      <c r="S373" s="671"/>
      <c r="T373" s="671"/>
      <c r="U373" s="671"/>
      <c r="V373" s="671"/>
      <c r="W373" s="549"/>
      <c r="Y373" s="288"/>
      <c r="Z373" s="288"/>
    </row>
    <row r="374" spans="3:26" s="63" customFormat="1" ht="12" x14ac:dyDescent="0.2">
      <c r="C374" s="64"/>
      <c r="D374" s="293"/>
      <c r="E374" s="300"/>
      <c r="F374" s="280"/>
      <c r="G374" s="557"/>
      <c r="H374" s="549"/>
      <c r="J374" s="619"/>
      <c r="K374" s="671"/>
      <c r="L374" s="671"/>
      <c r="M374" s="671"/>
      <c r="N374" s="671"/>
      <c r="O374" s="671"/>
      <c r="P374" s="671"/>
      <c r="Q374" s="671"/>
      <c r="R374" s="671"/>
      <c r="S374" s="671"/>
      <c r="T374" s="671"/>
      <c r="U374" s="671"/>
      <c r="V374" s="671"/>
      <c r="W374" s="549"/>
      <c r="Y374" s="288"/>
      <c r="Z374" s="288"/>
    </row>
    <row r="375" spans="3:26" s="63" customFormat="1" ht="12" x14ac:dyDescent="0.2">
      <c r="C375" s="64"/>
      <c r="D375" s="293"/>
      <c r="E375" s="300"/>
      <c r="F375" s="280"/>
      <c r="G375" s="557"/>
      <c r="H375" s="549"/>
      <c r="J375" s="619"/>
      <c r="K375" s="671"/>
      <c r="L375" s="671"/>
      <c r="M375" s="671"/>
      <c r="N375" s="671"/>
      <c r="O375" s="671"/>
      <c r="P375" s="671"/>
      <c r="Q375" s="671"/>
      <c r="R375" s="671"/>
      <c r="S375" s="671"/>
      <c r="T375" s="671"/>
      <c r="U375" s="671"/>
      <c r="V375" s="671"/>
      <c r="W375" s="549"/>
      <c r="Y375" s="288"/>
      <c r="Z375" s="288"/>
    </row>
    <row r="376" spans="3:26" s="63" customFormat="1" ht="12" x14ac:dyDescent="0.2">
      <c r="C376" s="64"/>
      <c r="D376" s="293"/>
      <c r="E376" s="300"/>
      <c r="F376" s="280"/>
      <c r="G376" s="557"/>
      <c r="H376" s="549"/>
      <c r="J376" s="619"/>
      <c r="K376" s="671"/>
      <c r="L376" s="671"/>
      <c r="M376" s="671"/>
      <c r="N376" s="671"/>
      <c r="O376" s="671"/>
      <c r="P376" s="671"/>
      <c r="Q376" s="671"/>
      <c r="R376" s="671"/>
      <c r="S376" s="671"/>
      <c r="T376" s="671"/>
      <c r="U376" s="671"/>
      <c r="V376" s="671"/>
      <c r="W376" s="549"/>
      <c r="Y376" s="288"/>
      <c r="Z376" s="288"/>
    </row>
    <row r="377" spans="3:26" s="63" customFormat="1" ht="12" x14ac:dyDescent="0.2">
      <c r="C377" s="64"/>
      <c r="D377" s="293"/>
      <c r="E377" s="300"/>
      <c r="F377" s="280"/>
      <c r="G377" s="557"/>
      <c r="H377" s="549"/>
      <c r="J377" s="619"/>
      <c r="K377" s="671"/>
      <c r="L377" s="671"/>
      <c r="M377" s="671"/>
      <c r="N377" s="671"/>
      <c r="O377" s="671"/>
      <c r="P377" s="671"/>
      <c r="Q377" s="671"/>
      <c r="R377" s="671"/>
      <c r="S377" s="671"/>
      <c r="T377" s="671"/>
      <c r="U377" s="671"/>
      <c r="V377" s="671"/>
      <c r="W377" s="549"/>
      <c r="Y377" s="288"/>
      <c r="Z377" s="288"/>
    </row>
    <row r="378" spans="3:26" s="63" customFormat="1" ht="12" x14ac:dyDescent="0.2">
      <c r="C378" s="64"/>
      <c r="D378" s="293"/>
      <c r="E378" s="300"/>
      <c r="F378" s="280"/>
      <c r="G378" s="557"/>
      <c r="H378" s="549"/>
      <c r="J378" s="619"/>
      <c r="K378" s="671"/>
      <c r="L378" s="671"/>
      <c r="M378" s="671"/>
      <c r="N378" s="671"/>
      <c r="O378" s="671"/>
      <c r="P378" s="671"/>
      <c r="Q378" s="671"/>
      <c r="R378" s="671"/>
      <c r="S378" s="671"/>
      <c r="T378" s="671"/>
      <c r="U378" s="671"/>
      <c r="V378" s="671"/>
      <c r="W378" s="549"/>
      <c r="Y378" s="288"/>
      <c r="Z378" s="288"/>
    </row>
    <row r="379" spans="3:26" s="63" customFormat="1" ht="12" x14ac:dyDescent="0.2">
      <c r="C379" s="64"/>
      <c r="D379" s="293"/>
      <c r="E379" s="300"/>
      <c r="F379" s="280"/>
      <c r="G379" s="557"/>
      <c r="H379" s="549"/>
      <c r="J379" s="619"/>
      <c r="K379" s="671"/>
      <c r="L379" s="671"/>
      <c r="M379" s="671"/>
      <c r="N379" s="671"/>
      <c r="O379" s="671"/>
      <c r="P379" s="671"/>
      <c r="Q379" s="671"/>
      <c r="R379" s="671"/>
      <c r="S379" s="671"/>
      <c r="T379" s="671"/>
      <c r="U379" s="671"/>
      <c r="V379" s="671"/>
      <c r="W379" s="549"/>
      <c r="Y379" s="288"/>
      <c r="Z379" s="288"/>
    </row>
    <row r="380" spans="3:26" s="63" customFormat="1" ht="12" x14ac:dyDescent="0.2">
      <c r="C380" s="64"/>
      <c r="D380" s="293"/>
      <c r="E380" s="300"/>
      <c r="F380" s="280"/>
      <c r="G380" s="557"/>
      <c r="H380" s="549"/>
      <c r="J380" s="619"/>
      <c r="K380" s="671"/>
      <c r="L380" s="671"/>
      <c r="M380" s="671"/>
      <c r="N380" s="671"/>
      <c r="O380" s="671"/>
      <c r="P380" s="671"/>
      <c r="Q380" s="671"/>
      <c r="R380" s="671"/>
      <c r="S380" s="671"/>
      <c r="T380" s="671"/>
      <c r="U380" s="671"/>
      <c r="V380" s="671"/>
      <c r="W380" s="549"/>
      <c r="Y380" s="288"/>
      <c r="Z380" s="288"/>
    </row>
    <row r="381" spans="3:26" s="63" customFormat="1" ht="12" x14ac:dyDescent="0.2">
      <c r="C381" s="64"/>
      <c r="D381" s="293"/>
      <c r="E381" s="300"/>
      <c r="F381" s="280"/>
      <c r="G381" s="557"/>
      <c r="H381" s="549"/>
      <c r="J381" s="619"/>
      <c r="K381" s="671"/>
      <c r="L381" s="671"/>
      <c r="M381" s="671"/>
      <c r="N381" s="671"/>
      <c r="O381" s="671"/>
      <c r="P381" s="671"/>
      <c r="Q381" s="671"/>
      <c r="R381" s="671"/>
      <c r="S381" s="671"/>
      <c r="T381" s="671"/>
      <c r="U381" s="671"/>
      <c r="V381" s="671"/>
      <c r="W381" s="549"/>
      <c r="Y381" s="288"/>
      <c r="Z381" s="288"/>
    </row>
    <row r="382" spans="3:26" s="63" customFormat="1" ht="12" x14ac:dyDescent="0.2">
      <c r="C382" s="64"/>
      <c r="D382" s="293"/>
      <c r="E382" s="300"/>
      <c r="F382" s="280"/>
      <c r="G382" s="557"/>
      <c r="H382" s="549"/>
      <c r="J382" s="619"/>
      <c r="K382" s="671"/>
      <c r="L382" s="671"/>
      <c r="M382" s="671"/>
      <c r="N382" s="671"/>
      <c r="O382" s="671"/>
      <c r="P382" s="671"/>
      <c r="Q382" s="671"/>
      <c r="R382" s="671"/>
      <c r="S382" s="671"/>
      <c r="T382" s="671"/>
      <c r="U382" s="671"/>
      <c r="V382" s="671"/>
      <c r="W382" s="549"/>
      <c r="Y382" s="288"/>
      <c r="Z382" s="288"/>
    </row>
    <row r="383" spans="3:26" s="63" customFormat="1" ht="12" x14ac:dyDescent="0.2">
      <c r="C383" s="64"/>
      <c r="D383" s="293"/>
      <c r="E383" s="300"/>
      <c r="F383" s="280"/>
      <c r="G383" s="557"/>
      <c r="H383" s="549"/>
      <c r="J383" s="619"/>
      <c r="K383" s="671"/>
      <c r="L383" s="671"/>
      <c r="M383" s="671"/>
      <c r="N383" s="671"/>
      <c r="O383" s="671"/>
      <c r="P383" s="671"/>
      <c r="Q383" s="671"/>
      <c r="R383" s="671"/>
      <c r="S383" s="671"/>
      <c r="T383" s="671"/>
      <c r="U383" s="671"/>
      <c r="V383" s="671"/>
      <c r="W383" s="549"/>
      <c r="Y383" s="288"/>
      <c r="Z383" s="288"/>
    </row>
    <row r="384" spans="3:26" s="63" customFormat="1" ht="12" x14ac:dyDescent="0.2">
      <c r="C384" s="64"/>
      <c r="D384" s="293"/>
      <c r="E384" s="300"/>
      <c r="F384" s="280"/>
      <c r="G384" s="557"/>
      <c r="H384" s="549"/>
      <c r="J384" s="619"/>
      <c r="K384" s="671"/>
      <c r="L384" s="671"/>
      <c r="M384" s="671"/>
      <c r="N384" s="671"/>
      <c r="O384" s="671"/>
      <c r="P384" s="671"/>
      <c r="Q384" s="671"/>
      <c r="R384" s="671"/>
      <c r="S384" s="671"/>
      <c r="T384" s="671"/>
      <c r="U384" s="671"/>
      <c r="V384" s="671"/>
      <c r="W384" s="549"/>
      <c r="Y384" s="288"/>
      <c r="Z384" s="288"/>
    </row>
    <row r="385" spans="3:26" s="63" customFormat="1" ht="12" x14ac:dyDescent="0.2">
      <c r="C385" s="64"/>
      <c r="D385" s="293"/>
      <c r="E385" s="300"/>
      <c r="F385" s="280"/>
      <c r="G385" s="557"/>
      <c r="H385" s="549"/>
      <c r="J385" s="619"/>
      <c r="K385" s="671"/>
      <c r="L385" s="671"/>
      <c r="M385" s="671"/>
      <c r="N385" s="671"/>
      <c r="O385" s="671"/>
      <c r="P385" s="671"/>
      <c r="Q385" s="671"/>
      <c r="R385" s="671"/>
      <c r="S385" s="671"/>
      <c r="T385" s="671"/>
      <c r="U385" s="671"/>
      <c r="V385" s="671"/>
      <c r="W385" s="549"/>
      <c r="Y385" s="288"/>
      <c r="Z385" s="288"/>
    </row>
    <row r="386" spans="3:26" s="63" customFormat="1" ht="12" x14ac:dyDescent="0.2">
      <c r="C386" s="64"/>
      <c r="D386" s="293"/>
      <c r="E386" s="300"/>
      <c r="F386" s="280"/>
      <c r="G386" s="557"/>
      <c r="H386" s="549"/>
      <c r="J386" s="619"/>
      <c r="K386" s="671"/>
      <c r="L386" s="671"/>
      <c r="M386" s="671"/>
      <c r="N386" s="671"/>
      <c r="O386" s="671"/>
      <c r="P386" s="671"/>
      <c r="Q386" s="671"/>
      <c r="R386" s="671"/>
      <c r="S386" s="671"/>
      <c r="T386" s="671"/>
      <c r="U386" s="671"/>
      <c r="V386" s="671"/>
      <c r="W386" s="549"/>
      <c r="Y386" s="288"/>
      <c r="Z386" s="288"/>
    </row>
    <row r="387" spans="3:26" s="63" customFormat="1" ht="12" x14ac:dyDescent="0.2">
      <c r="C387" s="64"/>
      <c r="D387" s="293"/>
      <c r="E387" s="300"/>
      <c r="F387" s="280"/>
      <c r="G387" s="557"/>
      <c r="H387" s="549"/>
      <c r="J387" s="619"/>
      <c r="K387" s="671"/>
      <c r="L387" s="671"/>
      <c r="M387" s="671"/>
      <c r="N387" s="671"/>
      <c r="O387" s="671"/>
      <c r="P387" s="671"/>
      <c r="Q387" s="671"/>
      <c r="R387" s="671"/>
      <c r="S387" s="671"/>
      <c r="T387" s="671"/>
      <c r="U387" s="671"/>
      <c r="V387" s="671"/>
      <c r="W387" s="549"/>
      <c r="Y387" s="288"/>
      <c r="Z387" s="288"/>
    </row>
    <row r="388" spans="3:26" s="63" customFormat="1" ht="12" x14ac:dyDescent="0.2">
      <c r="C388" s="64"/>
      <c r="D388" s="293"/>
      <c r="E388" s="300"/>
      <c r="F388" s="280"/>
      <c r="G388" s="557"/>
      <c r="H388" s="549"/>
      <c r="J388" s="619"/>
      <c r="K388" s="671"/>
      <c r="L388" s="671"/>
      <c r="M388" s="671"/>
      <c r="N388" s="671"/>
      <c r="O388" s="671"/>
      <c r="P388" s="671"/>
      <c r="Q388" s="671"/>
      <c r="R388" s="671"/>
      <c r="S388" s="671"/>
      <c r="T388" s="671"/>
      <c r="U388" s="671"/>
      <c r="V388" s="671"/>
      <c r="W388" s="549"/>
      <c r="Y388" s="288"/>
      <c r="Z388" s="288"/>
    </row>
    <row r="389" spans="3:26" s="63" customFormat="1" ht="12" x14ac:dyDescent="0.2">
      <c r="C389" s="64"/>
      <c r="D389" s="293"/>
      <c r="E389" s="300"/>
      <c r="F389" s="280"/>
      <c r="G389" s="557"/>
      <c r="H389" s="549"/>
      <c r="J389" s="619"/>
      <c r="K389" s="671"/>
      <c r="L389" s="671"/>
      <c r="M389" s="671"/>
      <c r="N389" s="671"/>
      <c r="O389" s="671"/>
      <c r="P389" s="671"/>
      <c r="Q389" s="671"/>
      <c r="R389" s="671"/>
      <c r="S389" s="671"/>
      <c r="T389" s="671"/>
      <c r="U389" s="671"/>
      <c r="V389" s="671"/>
      <c r="W389" s="549"/>
      <c r="Y389" s="288"/>
      <c r="Z389" s="288"/>
    </row>
    <row r="390" spans="3:26" s="63" customFormat="1" ht="12" x14ac:dyDescent="0.2">
      <c r="C390" s="64"/>
      <c r="D390" s="293"/>
      <c r="E390" s="300"/>
      <c r="F390" s="280"/>
      <c r="G390" s="557"/>
      <c r="H390" s="549"/>
      <c r="J390" s="619"/>
      <c r="K390" s="671"/>
      <c r="L390" s="671"/>
      <c r="M390" s="671"/>
      <c r="N390" s="671"/>
      <c r="O390" s="671"/>
      <c r="P390" s="671"/>
      <c r="Q390" s="671"/>
      <c r="R390" s="671"/>
      <c r="S390" s="671"/>
      <c r="T390" s="671"/>
      <c r="U390" s="671"/>
      <c r="V390" s="671"/>
      <c r="W390" s="549"/>
      <c r="Y390" s="288"/>
      <c r="Z390" s="288"/>
    </row>
    <row r="391" spans="3:26" s="63" customFormat="1" ht="12" x14ac:dyDescent="0.2">
      <c r="C391" s="64"/>
      <c r="D391" s="293"/>
      <c r="E391" s="300"/>
      <c r="F391" s="280"/>
      <c r="G391" s="557"/>
      <c r="H391" s="549"/>
      <c r="J391" s="619"/>
      <c r="K391" s="671"/>
      <c r="L391" s="671"/>
      <c r="M391" s="671"/>
      <c r="N391" s="671"/>
      <c r="O391" s="671"/>
      <c r="P391" s="671"/>
      <c r="Q391" s="671"/>
      <c r="R391" s="671"/>
      <c r="S391" s="671"/>
      <c r="T391" s="671"/>
      <c r="U391" s="671"/>
      <c r="V391" s="671"/>
      <c r="W391" s="549"/>
      <c r="Y391" s="288"/>
      <c r="Z391" s="288"/>
    </row>
    <row r="392" spans="3:26" s="63" customFormat="1" ht="12" x14ac:dyDescent="0.2">
      <c r="C392" s="64"/>
      <c r="D392" s="293"/>
      <c r="E392" s="300"/>
      <c r="F392" s="280"/>
      <c r="G392" s="557"/>
      <c r="H392" s="549"/>
      <c r="J392" s="619"/>
      <c r="K392" s="671"/>
      <c r="L392" s="671"/>
      <c r="M392" s="671"/>
      <c r="N392" s="671"/>
      <c r="O392" s="671"/>
      <c r="P392" s="671"/>
      <c r="Q392" s="671"/>
      <c r="R392" s="671"/>
      <c r="S392" s="671"/>
      <c r="T392" s="671"/>
      <c r="U392" s="671"/>
      <c r="V392" s="671"/>
      <c r="W392" s="549"/>
      <c r="Y392" s="288"/>
      <c r="Z392" s="288"/>
    </row>
    <row r="393" spans="3:26" s="63" customFormat="1" ht="12" x14ac:dyDescent="0.2">
      <c r="C393" s="64"/>
      <c r="D393" s="293"/>
      <c r="E393" s="300"/>
      <c r="F393" s="280"/>
      <c r="G393" s="557"/>
      <c r="H393" s="549"/>
      <c r="J393" s="619"/>
      <c r="K393" s="671"/>
      <c r="L393" s="671"/>
      <c r="M393" s="671"/>
      <c r="N393" s="671"/>
      <c r="O393" s="671"/>
      <c r="P393" s="671"/>
      <c r="Q393" s="671"/>
      <c r="R393" s="671"/>
      <c r="S393" s="671"/>
      <c r="T393" s="671"/>
      <c r="U393" s="671"/>
      <c r="V393" s="671"/>
      <c r="W393" s="549"/>
      <c r="Y393" s="288"/>
      <c r="Z393" s="288"/>
    </row>
    <row r="394" spans="3:26" s="63" customFormat="1" ht="12" x14ac:dyDescent="0.2">
      <c r="C394" s="64"/>
      <c r="D394" s="293"/>
      <c r="E394" s="300"/>
      <c r="F394" s="280"/>
      <c r="G394" s="557"/>
      <c r="H394" s="549"/>
      <c r="J394" s="619"/>
      <c r="K394" s="671"/>
      <c r="L394" s="671"/>
      <c r="M394" s="671"/>
      <c r="N394" s="671"/>
      <c r="O394" s="671"/>
      <c r="P394" s="671"/>
      <c r="Q394" s="671"/>
      <c r="R394" s="671"/>
      <c r="S394" s="671"/>
      <c r="T394" s="671"/>
      <c r="U394" s="671"/>
      <c r="V394" s="671"/>
      <c r="W394" s="549"/>
      <c r="Y394" s="288"/>
      <c r="Z394" s="288"/>
    </row>
    <row r="395" spans="3:26" s="63" customFormat="1" ht="12" x14ac:dyDescent="0.2">
      <c r="C395" s="64"/>
      <c r="D395" s="293"/>
      <c r="E395" s="300"/>
      <c r="F395" s="280"/>
      <c r="G395" s="557"/>
      <c r="H395" s="549"/>
      <c r="J395" s="619"/>
      <c r="K395" s="671"/>
      <c r="L395" s="671"/>
      <c r="M395" s="671"/>
      <c r="N395" s="671"/>
      <c r="O395" s="671"/>
      <c r="P395" s="671"/>
      <c r="Q395" s="671"/>
      <c r="R395" s="671"/>
      <c r="S395" s="671"/>
      <c r="T395" s="671"/>
      <c r="U395" s="671"/>
      <c r="V395" s="671"/>
      <c r="W395" s="549"/>
      <c r="Y395" s="288"/>
      <c r="Z395" s="288"/>
    </row>
    <row r="396" spans="3:26" s="63" customFormat="1" ht="12" x14ac:dyDescent="0.2">
      <c r="C396" s="64"/>
      <c r="D396" s="293"/>
      <c r="E396" s="300"/>
      <c r="F396" s="280"/>
      <c r="G396" s="557"/>
      <c r="H396" s="549"/>
      <c r="J396" s="619"/>
      <c r="K396" s="671"/>
      <c r="L396" s="671"/>
      <c r="M396" s="671"/>
      <c r="N396" s="671"/>
      <c r="O396" s="671"/>
      <c r="P396" s="671"/>
      <c r="Q396" s="671"/>
      <c r="R396" s="671"/>
      <c r="S396" s="671"/>
      <c r="T396" s="671"/>
      <c r="U396" s="671"/>
      <c r="V396" s="671"/>
      <c r="W396" s="549"/>
      <c r="Y396" s="288"/>
      <c r="Z396" s="288"/>
    </row>
    <row r="397" spans="3:26" s="63" customFormat="1" ht="12" x14ac:dyDescent="0.2">
      <c r="C397" s="64"/>
      <c r="D397" s="293"/>
      <c r="E397" s="300"/>
      <c r="F397" s="280"/>
      <c r="G397" s="557"/>
      <c r="H397" s="549"/>
      <c r="J397" s="619"/>
      <c r="K397" s="671"/>
      <c r="L397" s="671"/>
      <c r="M397" s="671"/>
      <c r="N397" s="671"/>
      <c r="O397" s="671"/>
      <c r="P397" s="671"/>
      <c r="Q397" s="671"/>
      <c r="R397" s="671"/>
      <c r="S397" s="671"/>
      <c r="T397" s="671"/>
      <c r="U397" s="671"/>
      <c r="V397" s="671"/>
      <c r="W397" s="549"/>
      <c r="Y397" s="288"/>
      <c r="Z397" s="288"/>
    </row>
    <row r="398" spans="3:26" s="63" customFormat="1" ht="12" x14ac:dyDescent="0.2">
      <c r="C398" s="64"/>
      <c r="D398" s="293"/>
      <c r="E398" s="300"/>
      <c r="F398" s="280"/>
      <c r="G398" s="557"/>
      <c r="H398" s="549"/>
      <c r="J398" s="619"/>
      <c r="K398" s="671"/>
      <c r="L398" s="671"/>
      <c r="M398" s="671"/>
      <c r="N398" s="671"/>
      <c r="O398" s="671"/>
      <c r="P398" s="671"/>
      <c r="Q398" s="671"/>
      <c r="R398" s="671"/>
      <c r="S398" s="671"/>
      <c r="T398" s="671"/>
      <c r="U398" s="671"/>
      <c r="V398" s="671"/>
      <c r="W398" s="549"/>
      <c r="Y398" s="288"/>
      <c r="Z398" s="288"/>
    </row>
    <row r="399" spans="3:26" s="63" customFormat="1" ht="12" x14ac:dyDescent="0.2">
      <c r="C399" s="64"/>
      <c r="D399" s="293"/>
      <c r="E399" s="300"/>
      <c r="F399" s="280"/>
      <c r="G399" s="557"/>
      <c r="H399" s="549"/>
      <c r="J399" s="619"/>
      <c r="K399" s="671"/>
      <c r="L399" s="671"/>
      <c r="M399" s="671"/>
      <c r="N399" s="671"/>
      <c r="O399" s="671"/>
      <c r="P399" s="671"/>
      <c r="Q399" s="671"/>
      <c r="R399" s="671"/>
      <c r="S399" s="671"/>
      <c r="T399" s="671"/>
      <c r="U399" s="671"/>
      <c r="V399" s="671"/>
      <c r="W399" s="549"/>
      <c r="Y399" s="288"/>
      <c r="Z399" s="288"/>
    </row>
    <row r="400" spans="3:26" s="63" customFormat="1" ht="12" x14ac:dyDescent="0.2">
      <c r="C400" s="64"/>
      <c r="D400" s="293"/>
      <c r="E400" s="300"/>
      <c r="F400" s="280"/>
      <c r="G400" s="557"/>
      <c r="H400" s="549"/>
      <c r="J400" s="619"/>
      <c r="K400" s="671"/>
      <c r="L400" s="671"/>
      <c r="M400" s="671"/>
      <c r="N400" s="671"/>
      <c r="O400" s="671"/>
      <c r="P400" s="671"/>
      <c r="Q400" s="671"/>
      <c r="R400" s="671"/>
      <c r="S400" s="671"/>
      <c r="T400" s="671"/>
      <c r="U400" s="671"/>
      <c r="V400" s="671"/>
      <c r="W400" s="549"/>
      <c r="Y400" s="288"/>
      <c r="Z400" s="288"/>
    </row>
    <row r="401" spans="3:26" s="63" customFormat="1" ht="12" x14ac:dyDescent="0.2">
      <c r="C401" s="64"/>
      <c r="D401" s="293"/>
      <c r="E401" s="300"/>
      <c r="F401" s="280"/>
      <c r="G401" s="557"/>
      <c r="H401" s="549"/>
      <c r="J401" s="619"/>
      <c r="K401" s="671"/>
      <c r="L401" s="671"/>
      <c r="M401" s="671"/>
      <c r="N401" s="671"/>
      <c r="O401" s="671"/>
      <c r="P401" s="671"/>
      <c r="Q401" s="671"/>
      <c r="R401" s="671"/>
      <c r="S401" s="671"/>
      <c r="T401" s="671"/>
      <c r="U401" s="671"/>
      <c r="V401" s="671"/>
      <c r="W401" s="549"/>
      <c r="Y401" s="288"/>
      <c r="Z401" s="288"/>
    </row>
    <row r="402" spans="3:26" s="63" customFormat="1" ht="12" x14ac:dyDescent="0.2">
      <c r="C402" s="64"/>
      <c r="D402" s="293"/>
      <c r="E402" s="300"/>
      <c r="F402" s="280"/>
      <c r="G402" s="557"/>
      <c r="H402" s="549"/>
      <c r="J402" s="619"/>
      <c r="K402" s="671"/>
      <c r="L402" s="671"/>
      <c r="M402" s="671"/>
      <c r="N402" s="671"/>
      <c r="O402" s="671"/>
      <c r="P402" s="671"/>
      <c r="Q402" s="671"/>
      <c r="R402" s="671"/>
      <c r="S402" s="671"/>
      <c r="T402" s="671"/>
      <c r="U402" s="671"/>
      <c r="V402" s="671"/>
      <c r="W402" s="549"/>
      <c r="Y402" s="288"/>
      <c r="Z402" s="288"/>
    </row>
    <row r="403" spans="3:26" s="63" customFormat="1" ht="12" x14ac:dyDescent="0.2">
      <c r="C403" s="64"/>
      <c r="D403" s="293"/>
      <c r="E403" s="300"/>
      <c r="F403" s="280"/>
      <c r="G403" s="557"/>
      <c r="H403" s="549"/>
      <c r="J403" s="619"/>
      <c r="K403" s="671"/>
      <c r="L403" s="671"/>
      <c r="M403" s="671"/>
      <c r="N403" s="671"/>
      <c r="O403" s="671"/>
      <c r="P403" s="671"/>
      <c r="Q403" s="671"/>
      <c r="R403" s="671"/>
      <c r="S403" s="671"/>
      <c r="T403" s="671"/>
      <c r="U403" s="671"/>
      <c r="V403" s="671"/>
      <c r="W403" s="549"/>
      <c r="Y403" s="288"/>
      <c r="Z403" s="288"/>
    </row>
    <row r="404" spans="3:26" s="63" customFormat="1" ht="12" x14ac:dyDescent="0.2">
      <c r="C404" s="64"/>
      <c r="D404" s="293"/>
      <c r="E404" s="300"/>
      <c r="F404" s="280"/>
      <c r="G404" s="557"/>
      <c r="H404" s="549"/>
      <c r="J404" s="619"/>
      <c r="K404" s="671"/>
      <c r="L404" s="671"/>
      <c r="M404" s="671"/>
      <c r="N404" s="671"/>
      <c r="O404" s="671"/>
      <c r="P404" s="671"/>
      <c r="Q404" s="671"/>
      <c r="R404" s="671"/>
      <c r="S404" s="671"/>
      <c r="T404" s="671"/>
      <c r="U404" s="671"/>
      <c r="V404" s="671"/>
      <c r="W404" s="549"/>
      <c r="Y404" s="288"/>
      <c r="Z404" s="288"/>
    </row>
    <row r="405" spans="3:26" s="63" customFormat="1" ht="12" x14ac:dyDescent="0.2">
      <c r="C405" s="64"/>
      <c r="D405" s="293"/>
      <c r="E405" s="300"/>
      <c r="F405" s="280"/>
      <c r="G405" s="557"/>
      <c r="H405" s="549"/>
      <c r="J405" s="619"/>
      <c r="K405" s="671"/>
      <c r="L405" s="671"/>
      <c r="M405" s="671"/>
      <c r="N405" s="671"/>
      <c r="O405" s="671"/>
      <c r="P405" s="671"/>
      <c r="Q405" s="671"/>
      <c r="R405" s="671"/>
      <c r="S405" s="671"/>
      <c r="T405" s="671"/>
      <c r="U405" s="671"/>
      <c r="V405" s="671"/>
      <c r="W405" s="549"/>
      <c r="Y405" s="288"/>
      <c r="Z405" s="288"/>
    </row>
    <row r="406" spans="3:26" s="63" customFormat="1" ht="12" x14ac:dyDescent="0.2">
      <c r="C406" s="64"/>
      <c r="D406" s="293"/>
      <c r="E406" s="300"/>
      <c r="F406" s="280"/>
      <c r="G406" s="557"/>
      <c r="H406" s="549"/>
      <c r="J406" s="619"/>
      <c r="K406" s="671"/>
      <c r="L406" s="671"/>
      <c r="M406" s="671"/>
      <c r="N406" s="671"/>
      <c r="O406" s="671"/>
      <c r="P406" s="671"/>
      <c r="Q406" s="671"/>
      <c r="R406" s="671"/>
      <c r="S406" s="671"/>
      <c r="T406" s="671"/>
      <c r="U406" s="671"/>
      <c r="V406" s="671"/>
      <c r="W406" s="549"/>
      <c r="Y406" s="288"/>
      <c r="Z406" s="288"/>
    </row>
    <row r="407" spans="3:26" s="63" customFormat="1" ht="12" x14ac:dyDescent="0.2">
      <c r="C407" s="64"/>
      <c r="D407" s="293"/>
      <c r="E407" s="300"/>
      <c r="F407" s="280"/>
      <c r="G407" s="557"/>
      <c r="H407" s="549"/>
      <c r="J407" s="619"/>
      <c r="K407" s="671"/>
      <c r="L407" s="671"/>
      <c r="M407" s="671"/>
      <c r="N407" s="671"/>
      <c r="O407" s="671"/>
      <c r="P407" s="671"/>
      <c r="Q407" s="671"/>
      <c r="R407" s="671"/>
      <c r="S407" s="671"/>
      <c r="T407" s="671"/>
      <c r="U407" s="671"/>
      <c r="V407" s="671"/>
      <c r="W407" s="549"/>
      <c r="Y407" s="288"/>
      <c r="Z407" s="288"/>
    </row>
    <row r="408" spans="3:26" s="63" customFormat="1" ht="12" x14ac:dyDescent="0.2">
      <c r="C408" s="64"/>
      <c r="D408" s="293"/>
      <c r="E408" s="300"/>
      <c r="F408" s="280"/>
      <c r="G408" s="557"/>
      <c r="H408" s="549"/>
      <c r="J408" s="619"/>
      <c r="K408" s="671"/>
      <c r="L408" s="671"/>
      <c r="M408" s="671"/>
      <c r="N408" s="671"/>
      <c r="O408" s="671"/>
      <c r="P408" s="671"/>
      <c r="Q408" s="671"/>
      <c r="R408" s="671"/>
      <c r="S408" s="671"/>
      <c r="T408" s="671"/>
      <c r="U408" s="671"/>
      <c r="V408" s="671"/>
      <c r="W408" s="549"/>
      <c r="Y408" s="288"/>
      <c r="Z408" s="288"/>
    </row>
    <row r="409" spans="3:26" s="63" customFormat="1" ht="12" x14ac:dyDescent="0.2">
      <c r="C409" s="64"/>
      <c r="D409" s="293"/>
      <c r="E409" s="300"/>
      <c r="F409" s="280"/>
      <c r="G409" s="557"/>
      <c r="H409" s="549"/>
      <c r="J409" s="619"/>
      <c r="K409" s="671"/>
      <c r="L409" s="671"/>
      <c r="M409" s="671"/>
      <c r="N409" s="671"/>
      <c r="O409" s="671"/>
      <c r="P409" s="671"/>
      <c r="Q409" s="671"/>
      <c r="R409" s="671"/>
      <c r="S409" s="671"/>
      <c r="T409" s="671"/>
      <c r="U409" s="671"/>
      <c r="V409" s="671"/>
      <c r="W409" s="549"/>
      <c r="Y409" s="288"/>
      <c r="Z409" s="288"/>
    </row>
    <row r="410" spans="3:26" s="63" customFormat="1" ht="12" x14ac:dyDescent="0.2">
      <c r="C410" s="64"/>
      <c r="D410" s="293"/>
      <c r="E410" s="300"/>
      <c r="F410" s="280"/>
      <c r="G410" s="557"/>
      <c r="H410" s="549"/>
      <c r="J410" s="619"/>
      <c r="K410" s="671"/>
      <c r="L410" s="671"/>
      <c r="M410" s="671"/>
      <c r="N410" s="671"/>
      <c r="O410" s="671"/>
      <c r="P410" s="671"/>
      <c r="Q410" s="671"/>
      <c r="R410" s="671"/>
      <c r="S410" s="671"/>
      <c r="T410" s="671"/>
      <c r="U410" s="671"/>
      <c r="V410" s="671"/>
      <c r="W410" s="549"/>
      <c r="Y410" s="288"/>
      <c r="Z410" s="288"/>
    </row>
    <row r="411" spans="3:26" s="63" customFormat="1" ht="12" x14ac:dyDescent="0.2">
      <c r="C411" s="64"/>
      <c r="D411" s="293"/>
      <c r="E411" s="300"/>
      <c r="F411" s="280"/>
      <c r="G411" s="557"/>
      <c r="H411" s="549"/>
      <c r="J411" s="619"/>
      <c r="K411" s="671"/>
      <c r="L411" s="671"/>
      <c r="M411" s="671"/>
      <c r="N411" s="671"/>
      <c r="O411" s="671"/>
      <c r="P411" s="671"/>
      <c r="Q411" s="671"/>
      <c r="R411" s="671"/>
      <c r="S411" s="671"/>
      <c r="T411" s="671"/>
      <c r="U411" s="671"/>
      <c r="V411" s="671"/>
      <c r="W411" s="549"/>
      <c r="Y411" s="288"/>
      <c r="Z411" s="288"/>
    </row>
    <row r="412" spans="3:26" s="63" customFormat="1" ht="12" x14ac:dyDescent="0.2">
      <c r="C412" s="64"/>
      <c r="D412" s="293"/>
      <c r="E412" s="300"/>
      <c r="F412" s="280"/>
      <c r="G412" s="557"/>
      <c r="H412" s="549"/>
      <c r="J412" s="619"/>
      <c r="K412" s="671"/>
      <c r="L412" s="671"/>
      <c r="M412" s="671"/>
      <c r="N412" s="671"/>
      <c r="O412" s="671"/>
      <c r="P412" s="671"/>
      <c r="Q412" s="671"/>
      <c r="R412" s="671"/>
      <c r="S412" s="671"/>
      <c r="T412" s="671"/>
      <c r="U412" s="671"/>
      <c r="V412" s="671"/>
      <c r="W412" s="549"/>
      <c r="Y412" s="288"/>
      <c r="Z412" s="288"/>
    </row>
    <row r="413" spans="3:26" s="63" customFormat="1" ht="12" x14ac:dyDescent="0.2">
      <c r="C413" s="64"/>
      <c r="D413" s="293"/>
      <c r="E413" s="300"/>
      <c r="F413" s="280"/>
      <c r="G413" s="557"/>
      <c r="H413" s="549"/>
      <c r="J413" s="619"/>
      <c r="K413" s="671"/>
      <c r="L413" s="671"/>
      <c r="M413" s="671"/>
      <c r="N413" s="671"/>
      <c r="O413" s="671"/>
      <c r="P413" s="671"/>
      <c r="Q413" s="671"/>
      <c r="R413" s="671"/>
      <c r="S413" s="671"/>
      <c r="T413" s="671"/>
      <c r="U413" s="671"/>
      <c r="V413" s="671"/>
      <c r="W413" s="549"/>
      <c r="Y413" s="288"/>
      <c r="Z413" s="288"/>
    </row>
    <row r="414" spans="3:26" s="63" customFormat="1" ht="12" x14ac:dyDescent="0.2">
      <c r="C414" s="64"/>
      <c r="D414" s="293"/>
      <c r="E414" s="300"/>
      <c r="F414" s="280"/>
      <c r="G414" s="557"/>
      <c r="H414" s="549"/>
      <c r="J414" s="619"/>
      <c r="K414" s="671"/>
      <c r="L414" s="671"/>
      <c r="M414" s="671"/>
      <c r="N414" s="671"/>
      <c r="O414" s="671"/>
      <c r="P414" s="671"/>
      <c r="Q414" s="671"/>
      <c r="R414" s="671"/>
      <c r="S414" s="671"/>
      <c r="T414" s="671"/>
      <c r="U414" s="671"/>
      <c r="V414" s="671"/>
      <c r="W414" s="549"/>
      <c r="Y414" s="288"/>
      <c r="Z414" s="288"/>
    </row>
    <row r="415" spans="3:26" s="63" customFormat="1" ht="12" x14ac:dyDescent="0.2">
      <c r="C415" s="64"/>
      <c r="D415" s="293"/>
      <c r="E415" s="300"/>
      <c r="F415" s="280"/>
      <c r="G415" s="557"/>
      <c r="H415" s="549"/>
      <c r="J415" s="619"/>
      <c r="K415" s="671"/>
      <c r="L415" s="671"/>
      <c r="M415" s="671"/>
      <c r="N415" s="671"/>
      <c r="O415" s="671"/>
      <c r="P415" s="671"/>
      <c r="Q415" s="671"/>
      <c r="R415" s="671"/>
      <c r="S415" s="671"/>
      <c r="T415" s="671"/>
      <c r="U415" s="671"/>
      <c r="V415" s="671"/>
      <c r="W415" s="549"/>
      <c r="Y415" s="288"/>
      <c r="Z415" s="288"/>
    </row>
    <row r="416" spans="3:26" s="63" customFormat="1" ht="12" x14ac:dyDescent="0.2">
      <c r="C416" s="64"/>
      <c r="D416" s="293"/>
      <c r="E416" s="300"/>
      <c r="F416" s="280"/>
      <c r="G416" s="557"/>
      <c r="H416" s="549"/>
      <c r="J416" s="619"/>
      <c r="K416" s="671"/>
      <c r="L416" s="671"/>
      <c r="M416" s="671"/>
      <c r="N416" s="671"/>
      <c r="O416" s="671"/>
      <c r="P416" s="671"/>
      <c r="Q416" s="671"/>
      <c r="R416" s="671"/>
      <c r="S416" s="671"/>
      <c r="T416" s="671"/>
      <c r="U416" s="671"/>
      <c r="V416" s="671"/>
      <c r="W416" s="549"/>
      <c r="Y416" s="288"/>
      <c r="Z416" s="288"/>
    </row>
    <row r="417" spans="3:26" s="63" customFormat="1" ht="12" x14ac:dyDescent="0.2">
      <c r="C417" s="64"/>
      <c r="D417" s="293"/>
      <c r="E417" s="300"/>
      <c r="F417" s="280"/>
      <c r="G417" s="557"/>
      <c r="H417" s="549"/>
      <c r="J417" s="619"/>
      <c r="K417" s="671"/>
      <c r="L417" s="671"/>
      <c r="M417" s="671"/>
      <c r="N417" s="671"/>
      <c r="O417" s="671"/>
      <c r="P417" s="671"/>
      <c r="Q417" s="671"/>
      <c r="R417" s="671"/>
      <c r="S417" s="671"/>
      <c r="T417" s="671"/>
      <c r="U417" s="671"/>
      <c r="V417" s="671"/>
      <c r="W417" s="549"/>
      <c r="Y417" s="288"/>
      <c r="Z417" s="288"/>
    </row>
    <row r="418" spans="3:26" s="63" customFormat="1" ht="12" x14ac:dyDescent="0.2">
      <c r="C418" s="64"/>
      <c r="D418" s="293"/>
      <c r="E418" s="300"/>
      <c r="F418" s="280"/>
      <c r="G418" s="557"/>
      <c r="H418" s="549"/>
      <c r="J418" s="619"/>
      <c r="K418" s="671"/>
      <c r="L418" s="671"/>
      <c r="M418" s="671"/>
      <c r="N418" s="671"/>
      <c r="O418" s="671"/>
      <c r="P418" s="671"/>
      <c r="Q418" s="671"/>
      <c r="R418" s="671"/>
      <c r="S418" s="671"/>
      <c r="T418" s="671"/>
      <c r="U418" s="671"/>
      <c r="V418" s="671"/>
      <c r="W418" s="549"/>
      <c r="Y418" s="288"/>
      <c r="Z418" s="288"/>
    </row>
    <row r="419" spans="3:26" s="63" customFormat="1" ht="12" x14ac:dyDescent="0.2">
      <c r="C419" s="64"/>
      <c r="D419" s="293"/>
      <c r="E419" s="300"/>
      <c r="F419" s="280"/>
      <c r="G419" s="557"/>
      <c r="H419" s="549"/>
      <c r="J419" s="619"/>
      <c r="K419" s="671"/>
      <c r="L419" s="671"/>
      <c r="M419" s="671"/>
      <c r="N419" s="671"/>
      <c r="O419" s="671"/>
      <c r="P419" s="671"/>
      <c r="Q419" s="671"/>
      <c r="R419" s="671"/>
      <c r="S419" s="671"/>
      <c r="T419" s="671"/>
      <c r="U419" s="671"/>
      <c r="V419" s="671"/>
      <c r="W419" s="549"/>
      <c r="Y419" s="288"/>
      <c r="Z419" s="288"/>
    </row>
    <row r="420" spans="3:26" s="63" customFormat="1" ht="12" x14ac:dyDescent="0.2">
      <c r="C420" s="64"/>
      <c r="D420" s="293"/>
      <c r="E420" s="300"/>
      <c r="F420" s="280"/>
      <c r="G420" s="557"/>
      <c r="H420" s="549"/>
      <c r="J420" s="619"/>
      <c r="K420" s="671"/>
      <c r="L420" s="671"/>
      <c r="M420" s="671"/>
      <c r="N420" s="671"/>
      <c r="O420" s="671"/>
      <c r="P420" s="671"/>
      <c r="Q420" s="671"/>
      <c r="R420" s="671"/>
      <c r="S420" s="671"/>
      <c r="T420" s="671"/>
      <c r="U420" s="671"/>
      <c r="V420" s="671"/>
      <c r="W420" s="549"/>
      <c r="Y420" s="288"/>
      <c r="Z420" s="288"/>
    </row>
    <row r="421" spans="3:26" s="63" customFormat="1" ht="12" x14ac:dyDescent="0.2">
      <c r="C421" s="64"/>
      <c r="D421" s="293"/>
      <c r="E421" s="300"/>
      <c r="F421" s="280"/>
      <c r="G421" s="557"/>
      <c r="H421" s="549"/>
      <c r="J421" s="619"/>
      <c r="K421" s="671"/>
      <c r="L421" s="671"/>
      <c r="M421" s="671"/>
      <c r="N421" s="671"/>
      <c r="O421" s="671"/>
      <c r="P421" s="671"/>
      <c r="Q421" s="671"/>
      <c r="R421" s="671"/>
      <c r="S421" s="671"/>
      <c r="T421" s="671"/>
      <c r="U421" s="671"/>
      <c r="V421" s="671"/>
      <c r="W421" s="549"/>
      <c r="Y421" s="288"/>
      <c r="Z421" s="288"/>
    </row>
    <row r="422" spans="3:26" s="63" customFormat="1" ht="12" x14ac:dyDescent="0.2">
      <c r="C422" s="64"/>
      <c r="D422" s="293"/>
      <c r="E422" s="300"/>
      <c r="F422" s="280"/>
      <c r="G422" s="557"/>
      <c r="H422" s="549"/>
      <c r="J422" s="619"/>
      <c r="K422" s="671"/>
      <c r="L422" s="671"/>
      <c r="M422" s="671"/>
      <c r="N422" s="671"/>
      <c r="O422" s="671"/>
      <c r="P422" s="671"/>
      <c r="Q422" s="671"/>
      <c r="R422" s="671"/>
      <c r="S422" s="671"/>
      <c r="T422" s="671"/>
      <c r="U422" s="671"/>
      <c r="V422" s="671"/>
      <c r="W422" s="549"/>
      <c r="Y422" s="288"/>
      <c r="Z422" s="288"/>
    </row>
    <row r="423" spans="3:26" s="63" customFormat="1" ht="12" x14ac:dyDescent="0.2">
      <c r="C423" s="64"/>
      <c r="D423" s="293"/>
      <c r="E423" s="300"/>
      <c r="F423" s="280"/>
      <c r="G423" s="557"/>
      <c r="H423" s="549"/>
      <c r="J423" s="619"/>
      <c r="K423" s="671"/>
      <c r="L423" s="671"/>
      <c r="M423" s="671"/>
      <c r="N423" s="671"/>
      <c r="O423" s="671"/>
      <c r="P423" s="671"/>
      <c r="Q423" s="671"/>
      <c r="R423" s="671"/>
      <c r="S423" s="671"/>
      <c r="T423" s="671"/>
      <c r="U423" s="671"/>
      <c r="V423" s="671"/>
      <c r="W423" s="549"/>
      <c r="Y423" s="288"/>
      <c r="Z423" s="288"/>
    </row>
    <row r="424" spans="3:26" s="63" customFormat="1" ht="12" x14ac:dyDescent="0.2">
      <c r="C424" s="64"/>
      <c r="D424" s="293"/>
      <c r="E424" s="300"/>
      <c r="F424" s="280"/>
      <c r="G424" s="557"/>
      <c r="H424" s="549"/>
      <c r="J424" s="619"/>
      <c r="K424" s="671"/>
      <c r="L424" s="671"/>
      <c r="M424" s="671"/>
      <c r="N424" s="671"/>
      <c r="O424" s="671"/>
      <c r="P424" s="671"/>
      <c r="Q424" s="671"/>
      <c r="R424" s="671"/>
      <c r="S424" s="671"/>
      <c r="T424" s="671"/>
      <c r="U424" s="671"/>
      <c r="V424" s="671"/>
      <c r="W424" s="549"/>
      <c r="Y424" s="288"/>
      <c r="Z424" s="288"/>
    </row>
    <row r="425" spans="3:26" s="63" customFormat="1" ht="12" x14ac:dyDescent="0.2">
      <c r="C425" s="64"/>
      <c r="D425" s="293"/>
      <c r="E425" s="300"/>
      <c r="F425" s="280"/>
      <c r="G425" s="557"/>
      <c r="H425" s="549"/>
      <c r="J425" s="619"/>
      <c r="K425" s="671"/>
      <c r="L425" s="671"/>
      <c r="M425" s="671"/>
      <c r="N425" s="671"/>
      <c r="O425" s="671"/>
      <c r="P425" s="671"/>
      <c r="Q425" s="671"/>
      <c r="R425" s="671"/>
      <c r="S425" s="671"/>
      <c r="T425" s="671"/>
      <c r="U425" s="671"/>
      <c r="V425" s="671"/>
      <c r="W425" s="549"/>
      <c r="Y425" s="288"/>
      <c r="Z425" s="288"/>
    </row>
    <row r="426" spans="3:26" s="63" customFormat="1" ht="12" x14ac:dyDescent="0.2">
      <c r="C426" s="64"/>
      <c r="D426" s="293"/>
      <c r="E426" s="300"/>
      <c r="F426" s="280"/>
      <c r="G426" s="557"/>
      <c r="H426" s="549"/>
      <c r="J426" s="619"/>
      <c r="K426" s="671"/>
      <c r="L426" s="671"/>
      <c r="M426" s="671"/>
      <c r="N426" s="671"/>
      <c r="O426" s="671"/>
      <c r="P426" s="671"/>
      <c r="Q426" s="671"/>
      <c r="R426" s="671"/>
      <c r="S426" s="671"/>
      <c r="T426" s="671"/>
      <c r="U426" s="671"/>
      <c r="V426" s="671"/>
      <c r="W426" s="549"/>
      <c r="Y426" s="288"/>
      <c r="Z426" s="288"/>
    </row>
    <row r="427" spans="3:26" s="63" customFormat="1" ht="12" x14ac:dyDescent="0.2">
      <c r="C427" s="64"/>
      <c r="D427" s="293"/>
      <c r="E427" s="300"/>
      <c r="F427" s="280"/>
      <c r="G427" s="557"/>
      <c r="H427" s="549"/>
      <c r="J427" s="619"/>
      <c r="K427" s="671"/>
      <c r="L427" s="671"/>
      <c r="M427" s="671"/>
      <c r="N427" s="671"/>
      <c r="O427" s="671"/>
      <c r="P427" s="671"/>
      <c r="Q427" s="671"/>
      <c r="R427" s="671"/>
      <c r="S427" s="671"/>
      <c r="T427" s="671"/>
      <c r="U427" s="671"/>
      <c r="V427" s="671"/>
      <c r="W427" s="549"/>
      <c r="Y427" s="288"/>
      <c r="Z427" s="288"/>
    </row>
    <row r="428" spans="3:26" s="63" customFormat="1" ht="12" x14ac:dyDescent="0.2">
      <c r="C428" s="64"/>
      <c r="D428" s="293"/>
      <c r="E428" s="300"/>
      <c r="F428" s="280"/>
      <c r="G428" s="557"/>
      <c r="H428" s="549"/>
      <c r="J428" s="619"/>
      <c r="K428" s="671"/>
      <c r="L428" s="671"/>
      <c r="M428" s="671"/>
      <c r="N428" s="671"/>
      <c r="O428" s="671"/>
      <c r="P428" s="671"/>
      <c r="Q428" s="671"/>
      <c r="R428" s="671"/>
      <c r="S428" s="671"/>
      <c r="T428" s="671"/>
      <c r="U428" s="671"/>
      <c r="V428" s="671"/>
      <c r="W428" s="549"/>
      <c r="Y428" s="288"/>
      <c r="Z428" s="288"/>
    </row>
    <row r="429" spans="3:26" s="63" customFormat="1" ht="12" x14ac:dyDescent="0.2">
      <c r="C429" s="64"/>
      <c r="D429" s="293"/>
      <c r="E429" s="300"/>
      <c r="F429" s="280"/>
      <c r="G429" s="557"/>
      <c r="H429" s="549"/>
      <c r="J429" s="619"/>
      <c r="K429" s="671"/>
      <c r="L429" s="671"/>
      <c r="M429" s="671"/>
      <c r="N429" s="671"/>
      <c r="O429" s="671"/>
      <c r="P429" s="671"/>
      <c r="Q429" s="671"/>
      <c r="R429" s="671"/>
      <c r="S429" s="671"/>
      <c r="T429" s="671"/>
      <c r="U429" s="671"/>
      <c r="V429" s="671"/>
      <c r="W429" s="549"/>
      <c r="Y429" s="288"/>
      <c r="Z429" s="288"/>
    </row>
    <row r="430" spans="3:26" s="63" customFormat="1" ht="12" x14ac:dyDescent="0.2">
      <c r="C430" s="64"/>
      <c r="D430" s="293"/>
      <c r="E430" s="300"/>
      <c r="F430" s="280"/>
      <c r="G430" s="557"/>
      <c r="H430" s="549"/>
      <c r="J430" s="619"/>
      <c r="K430" s="671"/>
      <c r="L430" s="671"/>
      <c r="M430" s="671"/>
      <c r="N430" s="671"/>
      <c r="O430" s="671"/>
      <c r="P430" s="671"/>
      <c r="Q430" s="671"/>
      <c r="R430" s="671"/>
      <c r="S430" s="671"/>
      <c r="T430" s="671"/>
      <c r="U430" s="671"/>
      <c r="V430" s="671"/>
      <c r="W430" s="549"/>
      <c r="Y430" s="288"/>
      <c r="Z430" s="288"/>
    </row>
    <row r="431" spans="3:26" s="63" customFormat="1" ht="12" x14ac:dyDescent="0.2">
      <c r="C431" s="64"/>
      <c r="D431" s="293"/>
      <c r="E431" s="300"/>
      <c r="F431" s="280"/>
      <c r="G431" s="557"/>
      <c r="H431" s="549"/>
      <c r="J431" s="619"/>
      <c r="K431" s="671"/>
      <c r="L431" s="671"/>
      <c r="M431" s="671"/>
      <c r="N431" s="671"/>
      <c r="O431" s="671"/>
      <c r="P431" s="671"/>
      <c r="Q431" s="671"/>
      <c r="R431" s="671"/>
      <c r="S431" s="671"/>
      <c r="T431" s="671"/>
      <c r="U431" s="671"/>
      <c r="V431" s="671"/>
      <c r="W431" s="549"/>
      <c r="Y431" s="288"/>
      <c r="Z431" s="288"/>
    </row>
    <row r="432" spans="3:26" s="63" customFormat="1" ht="12" x14ac:dyDescent="0.2">
      <c r="C432" s="64"/>
      <c r="D432" s="293"/>
      <c r="E432" s="300"/>
      <c r="F432" s="280"/>
      <c r="G432" s="557"/>
      <c r="H432" s="549"/>
      <c r="J432" s="619"/>
      <c r="K432" s="671"/>
      <c r="L432" s="671"/>
      <c r="M432" s="671"/>
      <c r="N432" s="671"/>
      <c r="O432" s="671"/>
      <c r="P432" s="671"/>
      <c r="Q432" s="671"/>
      <c r="R432" s="671"/>
      <c r="S432" s="671"/>
      <c r="T432" s="671"/>
      <c r="U432" s="671"/>
      <c r="V432" s="671"/>
      <c r="W432" s="549"/>
      <c r="Y432" s="288"/>
      <c r="Z432" s="288"/>
    </row>
    <row r="433" spans="3:26" s="63" customFormat="1" ht="12" x14ac:dyDescent="0.2">
      <c r="C433" s="64"/>
      <c r="D433" s="293"/>
      <c r="E433" s="300"/>
      <c r="F433" s="280"/>
      <c r="G433" s="557"/>
      <c r="H433" s="549"/>
      <c r="J433" s="619"/>
      <c r="K433" s="671"/>
      <c r="L433" s="671"/>
      <c r="M433" s="671"/>
      <c r="N433" s="671"/>
      <c r="O433" s="671"/>
      <c r="P433" s="671"/>
      <c r="Q433" s="671"/>
      <c r="R433" s="671"/>
      <c r="S433" s="671"/>
      <c r="T433" s="671"/>
      <c r="U433" s="671"/>
      <c r="V433" s="671"/>
      <c r="W433" s="549"/>
      <c r="Y433" s="288"/>
      <c r="Z433" s="288"/>
    </row>
    <row r="434" spans="3:26" s="63" customFormat="1" ht="12" x14ac:dyDescent="0.2">
      <c r="C434" s="64"/>
      <c r="D434" s="293"/>
      <c r="E434" s="300"/>
      <c r="F434" s="280"/>
      <c r="G434" s="557"/>
      <c r="H434" s="549"/>
      <c r="J434" s="619"/>
      <c r="K434" s="671"/>
      <c r="L434" s="671"/>
      <c r="M434" s="671"/>
      <c r="N434" s="671"/>
      <c r="O434" s="671"/>
      <c r="P434" s="671"/>
      <c r="Q434" s="671"/>
      <c r="R434" s="671"/>
      <c r="S434" s="671"/>
      <c r="T434" s="671"/>
      <c r="U434" s="671"/>
      <c r="V434" s="671"/>
      <c r="W434" s="549"/>
      <c r="Y434" s="288"/>
      <c r="Z434" s="288"/>
    </row>
    <row r="435" spans="3:26" s="63" customFormat="1" ht="12" x14ac:dyDescent="0.2">
      <c r="C435" s="64"/>
      <c r="D435" s="293"/>
      <c r="E435" s="300"/>
      <c r="F435" s="280"/>
      <c r="G435" s="557"/>
      <c r="H435" s="549"/>
      <c r="J435" s="619"/>
      <c r="K435" s="671"/>
      <c r="L435" s="671"/>
      <c r="M435" s="671"/>
      <c r="N435" s="671"/>
      <c r="O435" s="671"/>
      <c r="P435" s="671"/>
      <c r="Q435" s="671"/>
      <c r="R435" s="671"/>
      <c r="S435" s="671"/>
      <c r="T435" s="671"/>
      <c r="U435" s="671"/>
      <c r="V435" s="671"/>
      <c r="W435" s="549"/>
      <c r="Y435" s="288"/>
      <c r="Z435" s="288"/>
    </row>
    <row r="436" spans="3:26" s="63" customFormat="1" ht="12" x14ac:dyDescent="0.2">
      <c r="C436" s="64"/>
      <c r="D436" s="293"/>
      <c r="E436" s="300"/>
      <c r="F436" s="280"/>
      <c r="G436" s="557"/>
      <c r="H436" s="549"/>
      <c r="J436" s="619"/>
      <c r="K436" s="671"/>
      <c r="L436" s="671"/>
      <c r="M436" s="671"/>
      <c r="N436" s="671"/>
      <c r="O436" s="671"/>
      <c r="P436" s="671"/>
      <c r="Q436" s="671"/>
      <c r="R436" s="671"/>
      <c r="S436" s="671"/>
      <c r="T436" s="671"/>
      <c r="U436" s="671"/>
      <c r="V436" s="671"/>
      <c r="W436" s="549"/>
      <c r="Y436" s="288"/>
      <c r="Z436" s="288"/>
    </row>
    <row r="437" spans="3:26" s="63" customFormat="1" ht="12" x14ac:dyDescent="0.2">
      <c r="C437" s="64"/>
      <c r="D437" s="293"/>
      <c r="E437" s="300"/>
      <c r="F437" s="280"/>
      <c r="G437" s="557"/>
      <c r="H437" s="549"/>
      <c r="J437" s="619"/>
      <c r="K437" s="671"/>
      <c r="L437" s="671"/>
      <c r="M437" s="671"/>
      <c r="N437" s="671"/>
      <c r="O437" s="671"/>
      <c r="P437" s="671"/>
      <c r="Q437" s="671"/>
      <c r="R437" s="671"/>
      <c r="S437" s="671"/>
      <c r="T437" s="671"/>
      <c r="U437" s="671"/>
      <c r="V437" s="671"/>
      <c r="W437" s="549"/>
      <c r="Y437" s="288"/>
      <c r="Z437" s="288"/>
    </row>
    <row r="438" spans="3:26" s="63" customFormat="1" ht="12" x14ac:dyDescent="0.2">
      <c r="C438" s="64"/>
      <c r="D438" s="293"/>
      <c r="E438" s="300"/>
      <c r="F438" s="280"/>
      <c r="G438" s="557"/>
      <c r="H438" s="549"/>
      <c r="J438" s="619"/>
      <c r="K438" s="671"/>
      <c r="L438" s="671"/>
      <c r="M438" s="671"/>
      <c r="N438" s="671"/>
      <c r="O438" s="671"/>
      <c r="P438" s="671"/>
      <c r="Q438" s="671"/>
      <c r="R438" s="671"/>
      <c r="S438" s="671"/>
      <c r="T438" s="671"/>
      <c r="U438" s="671"/>
      <c r="V438" s="671"/>
      <c r="W438" s="549"/>
      <c r="Y438" s="288"/>
      <c r="Z438" s="288"/>
    </row>
    <row r="439" spans="3:26" s="63" customFormat="1" ht="12" x14ac:dyDescent="0.2">
      <c r="C439" s="64"/>
      <c r="D439" s="293"/>
      <c r="E439" s="300"/>
      <c r="F439" s="280"/>
      <c r="G439" s="557"/>
      <c r="H439" s="549"/>
      <c r="J439" s="619"/>
      <c r="K439" s="671"/>
      <c r="L439" s="671"/>
      <c r="M439" s="671"/>
      <c r="N439" s="671"/>
      <c r="O439" s="671"/>
      <c r="P439" s="671"/>
      <c r="Q439" s="671"/>
      <c r="R439" s="671"/>
      <c r="S439" s="671"/>
      <c r="T439" s="671"/>
      <c r="U439" s="671"/>
      <c r="V439" s="671"/>
      <c r="W439" s="549"/>
      <c r="Y439" s="288"/>
      <c r="Z439" s="288"/>
    </row>
    <row r="440" spans="3:26" s="63" customFormat="1" ht="12" x14ac:dyDescent="0.2">
      <c r="C440" s="64"/>
      <c r="D440" s="293"/>
      <c r="E440" s="300"/>
      <c r="F440" s="280"/>
      <c r="G440" s="557"/>
      <c r="H440" s="549"/>
      <c r="J440" s="619"/>
      <c r="K440" s="671"/>
      <c r="L440" s="671"/>
      <c r="M440" s="671"/>
      <c r="N440" s="671"/>
      <c r="O440" s="671"/>
      <c r="P440" s="671"/>
      <c r="Q440" s="671"/>
      <c r="R440" s="671"/>
      <c r="S440" s="671"/>
      <c r="T440" s="671"/>
      <c r="U440" s="671"/>
      <c r="V440" s="671"/>
      <c r="W440" s="549"/>
      <c r="Y440" s="288"/>
      <c r="Z440" s="288"/>
    </row>
    <row r="441" spans="3:26" s="63" customFormat="1" ht="12" x14ac:dyDescent="0.2">
      <c r="C441" s="64"/>
      <c r="D441" s="293"/>
      <c r="E441" s="300"/>
      <c r="F441" s="280"/>
      <c r="G441" s="557"/>
      <c r="H441" s="549"/>
      <c r="J441" s="619"/>
      <c r="K441" s="671"/>
      <c r="L441" s="671"/>
      <c r="M441" s="671"/>
      <c r="N441" s="671"/>
      <c r="O441" s="671"/>
      <c r="P441" s="671"/>
      <c r="Q441" s="671"/>
      <c r="R441" s="671"/>
      <c r="S441" s="671"/>
      <c r="T441" s="671"/>
      <c r="U441" s="671"/>
      <c r="V441" s="671"/>
      <c r="W441" s="549"/>
      <c r="Y441" s="288"/>
      <c r="Z441" s="288"/>
    </row>
    <row r="442" spans="3:26" s="63" customFormat="1" ht="12" x14ac:dyDescent="0.2">
      <c r="C442" s="64"/>
      <c r="D442" s="293"/>
      <c r="E442" s="300"/>
      <c r="F442" s="280"/>
      <c r="G442" s="557"/>
      <c r="H442" s="549"/>
      <c r="J442" s="619"/>
      <c r="K442" s="671"/>
      <c r="L442" s="671"/>
      <c r="M442" s="671"/>
      <c r="N442" s="671"/>
      <c r="O442" s="671"/>
      <c r="P442" s="671"/>
      <c r="Q442" s="671"/>
      <c r="R442" s="671"/>
      <c r="S442" s="671"/>
      <c r="T442" s="671"/>
      <c r="U442" s="671"/>
      <c r="V442" s="671"/>
      <c r="W442" s="549"/>
      <c r="Y442" s="288"/>
      <c r="Z442" s="288"/>
    </row>
    <row r="443" spans="3:26" s="63" customFormat="1" ht="12" x14ac:dyDescent="0.2">
      <c r="C443" s="64"/>
      <c r="D443" s="293"/>
      <c r="E443" s="300"/>
      <c r="F443" s="280"/>
      <c r="G443" s="557"/>
      <c r="H443" s="549"/>
      <c r="J443" s="619"/>
      <c r="K443" s="671"/>
      <c r="L443" s="671"/>
      <c r="M443" s="671"/>
      <c r="N443" s="671"/>
      <c r="O443" s="671"/>
      <c r="P443" s="671"/>
      <c r="Q443" s="671"/>
      <c r="R443" s="671"/>
      <c r="S443" s="671"/>
      <c r="T443" s="671"/>
      <c r="U443" s="671"/>
      <c r="V443" s="671"/>
      <c r="W443" s="549"/>
      <c r="Y443" s="288"/>
      <c r="Z443" s="288"/>
    </row>
    <row r="444" spans="3:26" s="63" customFormat="1" ht="12" x14ac:dyDescent="0.2">
      <c r="C444" s="64"/>
      <c r="D444" s="293"/>
      <c r="E444" s="300"/>
      <c r="F444" s="280"/>
      <c r="G444" s="557"/>
      <c r="H444" s="549"/>
      <c r="J444" s="619"/>
      <c r="K444" s="671"/>
      <c r="L444" s="671"/>
      <c r="M444" s="671"/>
      <c r="N444" s="671"/>
      <c r="O444" s="671"/>
      <c r="P444" s="671"/>
      <c r="Q444" s="671"/>
      <c r="R444" s="671"/>
      <c r="S444" s="671"/>
      <c r="T444" s="671"/>
      <c r="U444" s="671"/>
      <c r="V444" s="671"/>
      <c r="W444" s="549"/>
      <c r="Y444" s="288"/>
      <c r="Z444" s="288"/>
    </row>
    <row r="445" spans="3:26" s="63" customFormat="1" ht="12" x14ac:dyDescent="0.2">
      <c r="C445" s="64"/>
      <c r="D445" s="293"/>
      <c r="E445" s="300"/>
      <c r="F445" s="280"/>
      <c r="G445" s="557"/>
      <c r="H445" s="549"/>
      <c r="J445" s="619"/>
      <c r="K445" s="671"/>
      <c r="L445" s="671"/>
      <c r="M445" s="671"/>
      <c r="N445" s="671"/>
      <c r="O445" s="671"/>
      <c r="P445" s="671"/>
      <c r="Q445" s="671"/>
      <c r="R445" s="671"/>
      <c r="S445" s="671"/>
      <c r="T445" s="671"/>
      <c r="U445" s="671"/>
      <c r="V445" s="671"/>
      <c r="W445" s="549"/>
      <c r="Y445" s="288"/>
      <c r="Z445" s="288"/>
    </row>
    <row r="446" spans="3:26" s="63" customFormat="1" ht="12" x14ac:dyDescent="0.2">
      <c r="C446" s="64"/>
      <c r="D446" s="293"/>
      <c r="E446" s="300"/>
      <c r="F446" s="280"/>
      <c r="G446" s="557"/>
      <c r="H446" s="549"/>
      <c r="J446" s="619"/>
      <c r="K446" s="671"/>
      <c r="L446" s="671"/>
      <c r="M446" s="671"/>
      <c r="N446" s="671"/>
      <c r="O446" s="671"/>
      <c r="P446" s="671"/>
      <c r="Q446" s="671"/>
      <c r="R446" s="671"/>
      <c r="S446" s="671"/>
      <c r="T446" s="671"/>
      <c r="U446" s="671"/>
      <c r="V446" s="671"/>
      <c r="W446" s="549"/>
      <c r="Y446" s="288"/>
      <c r="Z446" s="288"/>
    </row>
    <row r="447" spans="3:26" s="63" customFormat="1" ht="12" x14ac:dyDescent="0.2">
      <c r="C447" s="64"/>
      <c r="D447" s="293"/>
      <c r="E447" s="300"/>
      <c r="F447" s="280"/>
      <c r="G447" s="557"/>
      <c r="H447" s="549"/>
      <c r="J447" s="619"/>
      <c r="K447" s="671"/>
      <c r="L447" s="671"/>
      <c r="M447" s="671"/>
      <c r="N447" s="671"/>
      <c r="O447" s="671"/>
      <c r="P447" s="671"/>
      <c r="Q447" s="671"/>
      <c r="R447" s="671"/>
      <c r="S447" s="671"/>
      <c r="T447" s="671"/>
      <c r="U447" s="671"/>
      <c r="V447" s="671"/>
      <c r="W447" s="549"/>
      <c r="Y447" s="288"/>
      <c r="Z447" s="288"/>
    </row>
    <row r="448" spans="3:26" s="63" customFormat="1" ht="12" x14ac:dyDescent="0.2">
      <c r="C448" s="64"/>
      <c r="D448" s="293"/>
      <c r="E448" s="300"/>
      <c r="F448" s="280"/>
      <c r="G448" s="557"/>
      <c r="H448" s="549"/>
      <c r="J448" s="619"/>
      <c r="K448" s="671"/>
      <c r="L448" s="671"/>
      <c r="M448" s="671"/>
      <c r="N448" s="671"/>
      <c r="O448" s="671"/>
      <c r="P448" s="671"/>
      <c r="Q448" s="671"/>
      <c r="R448" s="671"/>
      <c r="S448" s="671"/>
      <c r="T448" s="671"/>
      <c r="U448" s="671"/>
      <c r="V448" s="671"/>
      <c r="W448" s="549"/>
      <c r="Y448" s="288"/>
      <c r="Z448" s="288"/>
    </row>
    <row r="449" spans="3:26" s="63" customFormat="1" ht="12" x14ac:dyDescent="0.2">
      <c r="C449" s="64"/>
      <c r="D449" s="293"/>
      <c r="E449" s="300"/>
      <c r="F449" s="280"/>
      <c r="G449" s="557"/>
      <c r="H449" s="549"/>
      <c r="J449" s="619"/>
      <c r="K449" s="671"/>
      <c r="L449" s="671"/>
      <c r="M449" s="671"/>
      <c r="N449" s="671"/>
      <c r="O449" s="671"/>
      <c r="P449" s="671"/>
      <c r="Q449" s="671"/>
      <c r="R449" s="671"/>
      <c r="S449" s="671"/>
      <c r="T449" s="671"/>
      <c r="U449" s="671"/>
      <c r="V449" s="671"/>
      <c r="W449" s="549"/>
      <c r="Y449" s="288"/>
      <c r="Z449" s="288"/>
    </row>
    <row r="450" spans="3:26" s="63" customFormat="1" ht="12" x14ac:dyDescent="0.2">
      <c r="C450" s="64"/>
      <c r="D450" s="293"/>
      <c r="E450" s="300"/>
      <c r="F450" s="280"/>
      <c r="G450" s="557"/>
      <c r="H450" s="549"/>
      <c r="J450" s="619"/>
      <c r="K450" s="671"/>
      <c r="L450" s="671"/>
      <c r="M450" s="671"/>
      <c r="N450" s="671"/>
      <c r="O450" s="671"/>
      <c r="P450" s="671"/>
      <c r="Q450" s="671"/>
      <c r="R450" s="671"/>
      <c r="S450" s="671"/>
      <c r="T450" s="671"/>
      <c r="U450" s="671"/>
      <c r="V450" s="671"/>
      <c r="W450" s="549"/>
      <c r="Y450" s="288"/>
      <c r="Z450" s="288"/>
    </row>
    <row r="451" spans="3:26" s="63" customFormat="1" ht="12" x14ac:dyDescent="0.2">
      <c r="C451" s="64"/>
      <c r="D451" s="293"/>
      <c r="E451" s="300"/>
      <c r="F451" s="280"/>
      <c r="G451" s="557"/>
      <c r="H451" s="549"/>
      <c r="J451" s="619"/>
      <c r="K451" s="671"/>
      <c r="L451" s="671"/>
      <c r="M451" s="671"/>
      <c r="N451" s="671"/>
      <c r="O451" s="671"/>
      <c r="P451" s="671"/>
      <c r="Q451" s="671"/>
      <c r="R451" s="671"/>
      <c r="S451" s="671"/>
      <c r="T451" s="671"/>
      <c r="U451" s="671"/>
      <c r="V451" s="671"/>
      <c r="W451" s="549"/>
      <c r="Y451" s="288"/>
      <c r="Z451" s="288"/>
    </row>
    <row r="452" spans="3:26" s="63" customFormat="1" ht="12" x14ac:dyDescent="0.2">
      <c r="C452" s="64"/>
      <c r="D452" s="293"/>
      <c r="E452" s="300"/>
      <c r="F452" s="280"/>
      <c r="G452" s="557"/>
      <c r="H452" s="549"/>
      <c r="J452" s="619"/>
      <c r="K452" s="671"/>
      <c r="L452" s="671"/>
      <c r="M452" s="671"/>
      <c r="N452" s="671"/>
      <c r="O452" s="671"/>
      <c r="P452" s="671"/>
      <c r="Q452" s="671"/>
      <c r="R452" s="671"/>
      <c r="S452" s="671"/>
      <c r="T452" s="671"/>
      <c r="U452" s="671"/>
      <c r="V452" s="671"/>
      <c r="W452" s="549"/>
      <c r="Y452" s="288"/>
      <c r="Z452" s="288"/>
    </row>
    <row r="453" spans="3:26" s="63" customFormat="1" ht="12" x14ac:dyDescent="0.2">
      <c r="C453" s="64"/>
      <c r="D453" s="293"/>
      <c r="E453" s="300"/>
      <c r="F453" s="280"/>
      <c r="G453" s="557"/>
      <c r="H453" s="549"/>
      <c r="J453" s="619"/>
      <c r="K453" s="671"/>
      <c r="L453" s="671"/>
      <c r="M453" s="671"/>
      <c r="N453" s="671"/>
      <c r="O453" s="671"/>
      <c r="P453" s="671"/>
      <c r="Q453" s="671"/>
      <c r="R453" s="671"/>
      <c r="S453" s="671"/>
      <c r="T453" s="671"/>
      <c r="U453" s="671"/>
      <c r="V453" s="671"/>
      <c r="W453" s="549"/>
      <c r="Y453" s="288"/>
      <c r="Z453" s="288"/>
    </row>
    <row r="454" spans="3:26" s="63" customFormat="1" ht="12" x14ac:dyDescent="0.2">
      <c r="C454" s="64"/>
      <c r="D454" s="293"/>
      <c r="E454" s="300"/>
      <c r="F454" s="280"/>
      <c r="G454" s="557"/>
      <c r="H454" s="549"/>
      <c r="J454" s="619"/>
      <c r="K454" s="671"/>
      <c r="L454" s="671"/>
      <c r="M454" s="671"/>
      <c r="N454" s="671"/>
      <c r="O454" s="671"/>
      <c r="P454" s="671"/>
      <c r="Q454" s="671"/>
      <c r="R454" s="671"/>
      <c r="S454" s="671"/>
      <c r="T454" s="671"/>
      <c r="U454" s="671"/>
      <c r="V454" s="671"/>
      <c r="W454" s="549"/>
      <c r="Y454" s="288"/>
      <c r="Z454" s="288"/>
    </row>
    <row r="455" spans="3:26" s="63" customFormat="1" ht="12" x14ac:dyDescent="0.2">
      <c r="C455" s="64"/>
      <c r="D455" s="293"/>
      <c r="E455" s="300"/>
      <c r="F455" s="280"/>
      <c r="G455" s="557"/>
      <c r="H455" s="549"/>
      <c r="J455" s="619"/>
      <c r="K455" s="671"/>
      <c r="L455" s="671"/>
      <c r="M455" s="671"/>
      <c r="N455" s="671"/>
      <c r="O455" s="671"/>
      <c r="P455" s="671"/>
      <c r="Q455" s="671"/>
      <c r="R455" s="671"/>
      <c r="S455" s="671"/>
      <c r="T455" s="671"/>
      <c r="U455" s="671"/>
      <c r="V455" s="671"/>
      <c r="W455" s="549"/>
      <c r="Y455" s="288"/>
      <c r="Z455" s="288"/>
    </row>
    <row r="456" spans="3:26" s="63" customFormat="1" ht="12" x14ac:dyDescent="0.2">
      <c r="C456" s="64"/>
      <c r="D456" s="293"/>
      <c r="E456" s="300"/>
      <c r="F456" s="280"/>
      <c r="G456" s="557"/>
      <c r="H456" s="549"/>
      <c r="J456" s="619"/>
      <c r="K456" s="671"/>
      <c r="L456" s="671"/>
      <c r="M456" s="671"/>
      <c r="N456" s="671"/>
      <c r="O456" s="671"/>
      <c r="P456" s="671"/>
      <c r="Q456" s="671"/>
      <c r="R456" s="671"/>
      <c r="S456" s="671"/>
      <c r="T456" s="671"/>
      <c r="U456" s="671"/>
      <c r="V456" s="671"/>
      <c r="W456" s="549"/>
      <c r="Y456" s="288"/>
      <c r="Z456" s="288"/>
    </row>
    <row r="457" spans="3:26" s="63" customFormat="1" ht="12" x14ac:dyDescent="0.2">
      <c r="C457" s="64"/>
      <c r="D457" s="293"/>
      <c r="E457" s="300"/>
      <c r="F457" s="280"/>
      <c r="G457" s="557"/>
      <c r="H457" s="549"/>
      <c r="J457" s="619"/>
      <c r="K457" s="671"/>
      <c r="L457" s="671"/>
      <c r="M457" s="671"/>
      <c r="N457" s="671"/>
      <c r="O457" s="671"/>
      <c r="P457" s="671"/>
      <c r="Q457" s="671"/>
      <c r="R457" s="671"/>
      <c r="S457" s="671"/>
      <c r="T457" s="671"/>
      <c r="U457" s="671"/>
      <c r="V457" s="671"/>
      <c r="W457" s="549"/>
      <c r="Y457" s="288"/>
      <c r="Z457" s="288"/>
    </row>
    <row r="458" spans="3:26" s="63" customFormat="1" ht="12" x14ac:dyDescent="0.2">
      <c r="C458" s="64"/>
      <c r="D458" s="293"/>
      <c r="E458" s="300"/>
      <c r="F458" s="280"/>
      <c r="G458" s="557"/>
      <c r="H458" s="549"/>
      <c r="J458" s="619"/>
      <c r="K458" s="671"/>
      <c r="L458" s="671"/>
      <c r="M458" s="671"/>
      <c r="N458" s="671"/>
      <c r="O458" s="671"/>
      <c r="P458" s="671"/>
      <c r="Q458" s="671"/>
      <c r="R458" s="671"/>
      <c r="S458" s="671"/>
      <c r="T458" s="671"/>
      <c r="U458" s="671"/>
      <c r="V458" s="671"/>
      <c r="W458" s="549"/>
      <c r="Y458" s="288"/>
      <c r="Z458" s="288"/>
    </row>
    <row r="459" spans="3:26" s="63" customFormat="1" ht="12" x14ac:dyDescent="0.2">
      <c r="C459" s="64"/>
      <c r="D459" s="293"/>
      <c r="E459" s="300"/>
      <c r="F459" s="280"/>
      <c r="G459" s="557"/>
      <c r="H459" s="549"/>
      <c r="J459" s="619"/>
      <c r="K459" s="671"/>
      <c r="L459" s="671"/>
      <c r="M459" s="671"/>
      <c r="N459" s="671"/>
      <c r="O459" s="671"/>
      <c r="P459" s="671"/>
      <c r="Q459" s="671"/>
      <c r="R459" s="671"/>
      <c r="S459" s="671"/>
      <c r="T459" s="671"/>
      <c r="U459" s="671"/>
      <c r="V459" s="671"/>
      <c r="W459" s="549"/>
      <c r="Y459" s="288"/>
      <c r="Z459" s="288"/>
    </row>
    <row r="460" spans="3:26" s="63" customFormat="1" ht="12" x14ac:dyDescent="0.2">
      <c r="C460" s="64"/>
      <c r="D460" s="293"/>
      <c r="E460" s="300"/>
      <c r="F460" s="280"/>
      <c r="G460" s="557"/>
      <c r="H460" s="549"/>
      <c r="J460" s="619"/>
      <c r="K460" s="671"/>
      <c r="L460" s="671"/>
      <c r="M460" s="671"/>
      <c r="N460" s="671"/>
      <c r="O460" s="671"/>
      <c r="P460" s="671"/>
      <c r="Q460" s="671"/>
      <c r="R460" s="671"/>
      <c r="S460" s="671"/>
      <c r="T460" s="671"/>
      <c r="U460" s="671"/>
      <c r="V460" s="671"/>
      <c r="W460" s="549"/>
      <c r="Y460" s="288"/>
      <c r="Z460" s="288"/>
    </row>
    <row r="461" spans="3:26" s="63" customFormat="1" ht="12" x14ac:dyDescent="0.2">
      <c r="C461" s="64"/>
      <c r="D461" s="293"/>
      <c r="E461" s="300"/>
      <c r="F461" s="280"/>
      <c r="G461" s="557"/>
      <c r="H461" s="549"/>
      <c r="J461" s="619"/>
      <c r="K461" s="671"/>
      <c r="L461" s="671"/>
      <c r="M461" s="671"/>
      <c r="N461" s="671"/>
      <c r="O461" s="671"/>
      <c r="P461" s="671"/>
      <c r="Q461" s="671"/>
      <c r="R461" s="671"/>
      <c r="S461" s="671"/>
      <c r="T461" s="671"/>
      <c r="U461" s="671"/>
      <c r="V461" s="671"/>
      <c r="W461" s="549"/>
      <c r="Y461" s="288"/>
      <c r="Z461" s="288"/>
    </row>
    <row r="462" spans="3:26" s="63" customFormat="1" ht="12" x14ac:dyDescent="0.2">
      <c r="C462" s="64"/>
      <c r="D462" s="293"/>
      <c r="E462" s="300"/>
      <c r="F462" s="280"/>
      <c r="G462" s="557"/>
      <c r="H462" s="549"/>
      <c r="J462" s="619"/>
      <c r="K462" s="671"/>
      <c r="L462" s="671"/>
      <c r="M462" s="671"/>
      <c r="N462" s="671"/>
      <c r="O462" s="671"/>
      <c r="P462" s="671"/>
      <c r="Q462" s="671"/>
      <c r="R462" s="671"/>
      <c r="S462" s="671"/>
      <c r="T462" s="671"/>
      <c r="U462" s="671"/>
      <c r="V462" s="671"/>
      <c r="W462" s="549"/>
      <c r="Y462" s="288"/>
      <c r="Z462" s="288"/>
    </row>
    <row r="463" spans="3:26" s="63" customFormat="1" ht="12" x14ac:dyDescent="0.2">
      <c r="C463" s="64"/>
      <c r="D463" s="293"/>
      <c r="E463" s="300"/>
      <c r="F463" s="280"/>
      <c r="G463" s="557"/>
      <c r="H463" s="549"/>
      <c r="J463" s="619"/>
      <c r="K463" s="671"/>
      <c r="L463" s="671"/>
      <c r="M463" s="671"/>
      <c r="N463" s="671"/>
      <c r="O463" s="671"/>
      <c r="P463" s="671"/>
      <c r="Q463" s="671"/>
      <c r="R463" s="671"/>
      <c r="S463" s="671"/>
      <c r="T463" s="671"/>
      <c r="U463" s="671"/>
      <c r="V463" s="671"/>
      <c r="W463" s="549"/>
      <c r="Y463" s="288"/>
      <c r="Z463" s="288"/>
    </row>
    <row r="464" spans="3:26" s="63" customFormat="1" ht="12" x14ac:dyDescent="0.2">
      <c r="C464" s="64"/>
      <c r="D464" s="293"/>
      <c r="E464" s="300"/>
      <c r="F464" s="280"/>
      <c r="G464" s="557"/>
      <c r="H464" s="549"/>
      <c r="J464" s="619"/>
      <c r="K464" s="671"/>
      <c r="L464" s="671"/>
      <c r="M464" s="671"/>
      <c r="N464" s="671"/>
      <c r="O464" s="671"/>
      <c r="P464" s="671"/>
      <c r="Q464" s="671"/>
      <c r="R464" s="671"/>
      <c r="S464" s="671"/>
      <c r="T464" s="671"/>
      <c r="U464" s="671"/>
      <c r="V464" s="671"/>
      <c r="W464" s="549"/>
      <c r="Y464" s="288"/>
      <c r="Z464" s="288"/>
    </row>
    <row r="465" spans="3:26" s="63" customFormat="1" ht="12" x14ac:dyDescent="0.2">
      <c r="C465" s="64"/>
      <c r="D465" s="293"/>
      <c r="E465" s="300"/>
      <c r="F465" s="280"/>
      <c r="G465" s="557"/>
      <c r="H465" s="549"/>
      <c r="J465" s="619"/>
      <c r="K465" s="671"/>
      <c r="L465" s="671"/>
      <c r="M465" s="671"/>
      <c r="N465" s="671"/>
      <c r="O465" s="671"/>
      <c r="P465" s="671"/>
      <c r="Q465" s="671"/>
      <c r="R465" s="671"/>
      <c r="S465" s="671"/>
      <c r="T465" s="671"/>
      <c r="U465" s="671"/>
      <c r="V465" s="671"/>
      <c r="W465" s="549"/>
      <c r="Y465" s="288"/>
      <c r="Z465" s="288"/>
    </row>
    <row r="466" spans="3:26" s="63" customFormat="1" ht="12" x14ac:dyDescent="0.2">
      <c r="C466" s="64"/>
      <c r="D466" s="293"/>
      <c r="E466" s="300"/>
      <c r="F466" s="280"/>
      <c r="G466" s="557"/>
      <c r="H466" s="549"/>
      <c r="J466" s="619"/>
      <c r="K466" s="671"/>
      <c r="L466" s="671"/>
      <c r="M466" s="671"/>
      <c r="N466" s="671"/>
      <c r="O466" s="671"/>
      <c r="P466" s="671"/>
      <c r="Q466" s="671"/>
      <c r="R466" s="671"/>
      <c r="S466" s="671"/>
      <c r="T466" s="671"/>
      <c r="U466" s="671"/>
      <c r="V466" s="671"/>
      <c r="W466" s="549"/>
      <c r="Y466" s="288"/>
      <c r="Z466" s="288"/>
    </row>
    <row r="467" spans="3:26" s="63" customFormat="1" ht="12" x14ac:dyDescent="0.2">
      <c r="C467" s="64"/>
      <c r="D467" s="293"/>
      <c r="E467" s="300"/>
      <c r="F467" s="280"/>
      <c r="G467" s="557"/>
      <c r="H467" s="549"/>
      <c r="J467" s="619"/>
      <c r="K467" s="671"/>
      <c r="L467" s="671"/>
      <c r="M467" s="671"/>
      <c r="N467" s="671"/>
      <c r="O467" s="671"/>
      <c r="P467" s="671"/>
      <c r="Q467" s="671"/>
      <c r="R467" s="671"/>
      <c r="S467" s="671"/>
      <c r="T467" s="671"/>
      <c r="U467" s="671"/>
      <c r="V467" s="671"/>
      <c r="W467" s="549"/>
      <c r="Y467" s="288"/>
      <c r="Z467" s="288"/>
    </row>
    <row r="468" spans="3:26" s="63" customFormat="1" ht="12" x14ac:dyDescent="0.2">
      <c r="C468" s="64"/>
      <c r="D468" s="293"/>
      <c r="E468" s="300"/>
      <c r="F468" s="280"/>
      <c r="G468" s="557"/>
      <c r="H468" s="549"/>
      <c r="J468" s="619"/>
      <c r="K468" s="671"/>
      <c r="L468" s="671"/>
      <c r="M468" s="671"/>
      <c r="N468" s="671"/>
      <c r="O468" s="671"/>
      <c r="P468" s="671"/>
      <c r="Q468" s="671"/>
      <c r="R468" s="671"/>
      <c r="S468" s="671"/>
      <c r="T468" s="671"/>
      <c r="U468" s="671"/>
      <c r="V468" s="671"/>
      <c r="W468" s="549"/>
      <c r="Y468" s="288"/>
      <c r="Z468" s="288"/>
    </row>
    <row r="469" spans="3:26" s="63" customFormat="1" ht="12" x14ac:dyDescent="0.2">
      <c r="C469" s="64"/>
      <c r="D469" s="293"/>
      <c r="E469" s="300"/>
      <c r="F469" s="280"/>
      <c r="G469" s="557"/>
      <c r="H469" s="549"/>
      <c r="J469" s="619"/>
      <c r="K469" s="671"/>
      <c r="L469" s="671"/>
      <c r="M469" s="671"/>
      <c r="N469" s="671"/>
      <c r="O469" s="671"/>
      <c r="P469" s="671"/>
      <c r="Q469" s="671"/>
      <c r="R469" s="671"/>
      <c r="S469" s="671"/>
      <c r="T469" s="671"/>
      <c r="U469" s="671"/>
      <c r="V469" s="671"/>
      <c r="W469" s="549"/>
      <c r="Y469" s="288"/>
      <c r="Z469" s="288"/>
    </row>
    <row r="470" spans="3:26" s="63" customFormat="1" ht="12" x14ac:dyDescent="0.2">
      <c r="C470" s="64"/>
      <c r="D470" s="293"/>
      <c r="E470" s="300"/>
      <c r="F470" s="280"/>
      <c r="G470" s="557"/>
      <c r="H470" s="549"/>
      <c r="J470" s="619"/>
      <c r="K470" s="671"/>
      <c r="L470" s="671"/>
      <c r="M470" s="671"/>
      <c r="N470" s="671"/>
      <c r="O470" s="671"/>
      <c r="P470" s="671"/>
      <c r="Q470" s="671"/>
      <c r="R470" s="671"/>
      <c r="S470" s="671"/>
      <c r="T470" s="671"/>
      <c r="U470" s="671"/>
      <c r="V470" s="671"/>
      <c r="W470" s="549"/>
      <c r="Y470" s="288"/>
      <c r="Z470" s="288"/>
    </row>
    <row r="471" spans="3:26" s="63" customFormat="1" ht="12" x14ac:dyDescent="0.2">
      <c r="C471" s="64"/>
      <c r="D471" s="293"/>
      <c r="E471" s="300"/>
      <c r="F471" s="280"/>
      <c r="G471" s="557"/>
      <c r="H471" s="549"/>
      <c r="J471" s="619"/>
      <c r="K471" s="671"/>
      <c r="L471" s="671"/>
      <c r="M471" s="671"/>
      <c r="N471" s="671"/>
      <c r="O471" s="671"/>
      <c r="P471" s="671"/>
      <c r="Q471" s="671"/>
      <c r="R471" s="671"/>
      <c r="S471" s="671"/>
      <c r="T471" s="671"/>
      <c r="U471" s="671"/>
      <c r="V471" s="671"/>
      <c r="W471" s="549"/>
      <c r="Y471" s="288"/>
      <c r="Z471" s="288"/>
    </row>
    <row r="472" spans="3:26" s="63" customFormat="1" ht="12" x14ac:dyDescent="0.2">
      <c r="C472" s="64"/>
      <c r="D472" s="293"/>
      <c r="E472" s="300"/>
      <c r="F472" s="280"/>
      <c r="G472" s="557"/>
      <c r="H472" s="549"/>
      <c r="J472" s="619"/>
      <c r="K472" s="671"/>
      <c r="L472" s="671"/>
      <c r="M472" s="671"/>
      <c r="N472" s="671"/>
      <c r="O472" s="671"/>
      <c r="P472" s="671"/>
      <c r="Q472" s="671"/>
      <c r="R472" s="671"/>
      <c r="S472" s="671"/>
      <c r="T472" s="671"/>
      <c r="U472" s="671"/>
      <c r="V472" s="671"/>
      <c r="W472" s="549"/>
      <c r="Y472" s="288"/>
      <c r="Z472" s="288"/>
    </row>
    <row r="473" spans="3:26" s="63" customFormat="1" ht="12" x14ac:dyDescent="0.2">
      <c r="C473" s="64"/>
      <c r="D473" s="293"/>
      <c r="E473" s="300"/>
      <c r="F473" s="280"/>
      <c r="G473" s="557"/>
      <c r="H473" s="549"/>
      <c r="J473" s="619"/>
      <c r="K473" s="671"/>
      <c r="L473" s="671"/>
      <c r="M473" s="671"/>
      <c r="N473" s="671"/>
      <c r="O473" s="671"/>
      <c r="P473" s="671"/>
      <c r="Q473" s="671"/>
      <c r="R473" s="671"/>
      <c r="S473" s="671"/>
      <c r="T473" s="671"/>
      <c r="U473" s="671"/>
      <c r="V473" s="671"/>
      <c r="W473" s="549"/>
      <c r="Y473" s="288"/>
      <c r="Z473" s="288"/>
    </row>
    <row r="474" spans="3:26" s="63" customFormat="1" ht="12" x14ac:dyDescent="0.2">
      <c r="C474" s="64"/>
      <c r="D474" s="293"/>
      <c r="E474" s="300"/>
      <c r="F474" s="280"/>
      <c r="G474" s="557"/>
      <c r="H474" s="549"/>
      <c r="J474" s="619"/>
      <c r="K474" s="671"/>
      <c r="L474" s="671"/>
      <c r="M474" s="671"/>
      <c r="N474" s="671"/>
      <c r="O474" s="671"/>
      <c r="P474" s="671"/>
      <c r="Q474" s="671"/>
      <c r="R474" s="671"/>
      <c r="S474" s="671"/>
      <c r="T474" s="671"/>
      <c r="U474" s="671"/>
      <c r="V474" s="671"/>
      <c r="W474" s="549"/>
      <c r="Y474" s="288"/>
      <c r="Z474" s="288"/>
    </row>
    <row r="475" spans="3:26" s="63" customFormat="1" ht="12" x14ac:dyDescent="0.2">
      <c r="C475" s="64"/>
      <c r="D475" s="293"/>
      <c r="E475" s="300"/>
      <c r="F475" s="280"/>
      <c r="G475" s="557"/>
      <c r="H475" s="549"/>
      <c r="J475" s="619"/>
      <c r="K475" s="671"/>
      <c r="L475" s="671"/>
      <c r="M475" s="671"/>
      <c r="N475" s="671"/>
      <c r="O475" s="671"/>
      <c r="P475" s="671"/>
      <c r="Q475" s="671"/>
      <c r="R475" s="671"/>
      <c r="S475" s="671"/>
      <c r="T475" s="671"/>
      <c r="U475" s="671"/>
      <c r="V475" s="671"/>
      <c r="W475" s="549"/>
      <c r="Y475" s="288"/>
      <c r="Z475" s="288"/>
    </row>
    <row r="476" spans="3:26" s="63" customFormat="1" ht="12" x14ac:dyDescent="0.2">
      <c r="C476" s="64"/>
      <c r="D476" s="293"/>
      <c r="E476" s="300"/>
      <c r="F476" s="280"/>
      <c r="G476" s="557"/>
      <c r="H476" s="549"/>
      <c r="J476" s="619"/>
      <c r="K476" s="671"/>
      <c r="L476" s="671"/>
      <c r="M476" s="671"/>
      <c r="N476" s="671"/>
      <c r="O476" s="671"/>
      <c r="P476" s="671"/>
      <c r="Q476" s="671"/>
      <c r="R476" s="671"/>
      <c r="S476" s="671"/>
      <c r="T476" s="671"/>
      <c r="U476" s="671"/>
      <c r="V476" s="671"/>
      <c r="W476" s="549"/>
      <c r="Y476" s="288"/>
      <c r="Z476" s="288"/>
    </row>
    <row r="477" spans="3:26" s="63" customFormat="1" ht="12" x14ac:dyDescent="0.2">
      <c r="C477" s="64"/>
      <c r="D477" s="293"/>
      <c r="E477" s="300"/>
      <c r="F477" s="280"/>
      <c r="G477" s="557"/>
      <c r="H477" s="549"/>
      <c r="J477" s="619"/>
      <c r="K477" s="671"/>
      <c r="L477" s="671"/>
      <c r="M477" s="671"/>
      <c r="N477" s="671"/>
      <c r="O477" s="671"/>
      <c r="P477" s="671"/>
      <c r="Q477" s="671"/>
      <c r="R477" s="671"/>
      <c r="S477" s="671"/>
      <c r="T477" s="671"/>
      <c r="U477" s="671"/>
      <c r="V477" s="671"/>
      <c r="W477" s="549"/>
      <c r="Y477" s="288"/>
      <c r="Z477" s="288"/>
    </row>
    <row r="478" spans="3:26" s="63" customFormat="1" ht="12" x14ac:dyDescent="0.2">
      <c r="C478" s="64"/>
      <c r="D478" s="293"/>
      <c r="E478" s="300"/>
      <c r="F478" s="280"/>
      <c r="G478" s="557"/>
      <c r="H478" s="549"/>
      <c r="J478" s="619"/>
      <c r="K478" s="671"/>
      <c r="L478" s="671"/>
      <c r="M478" s="671"/>
      <c r="N478" s="671"/>
      <c r="O478" s="671"/>
      <c r="P478" s="671"/>
      <c r="Q478" s="671"/>
      <c r="R478" s="671"/>
      <c r="S478" s="671"/>
      <c r="T478" s="671"/>
      <c r="U478" s="671"/>
      <c r="V478" s="671"/>
      <c r="W478" s="549"/>
      <c r="Y478" s="288"/>
      <c r="Z478" s="288"/>
    </row>
    <row r="479" spans="3:26" s="63" customFormat="1" ht="12" x14ac:dyDescent="0.2">
      <c r="C479" s="64"/>
      <c r="D479" s="293"/>
      <c r="E479" s="300"/>
      <c r="F479" s="280"/>
      <c r="G479" s="557"/>
      <c r="H479" s="549"/>
      <c r="J479" s="619"/>
      <c r="K479" s="671"/>
      <c r="L479" s="671"/>
      <c r="M479" s="671"/>
      <c r="N479" s="671"/>
      <c r="O479" s="671"/>
      <c r="P479" s="671"/>
      <c r="Q479" s="671"/>
      <c r="R479" s="671"/>
      <c r="S479" s="671"/>
      <c r="T479" s="671"/>
      <c r="U479" s="671"/>
      <c r="V479" s="671"/>
      <c r="W479" s="549"/>
      <c r="Y479" s="288"/>
      <c r="Z479" s="288"/>
    </row>
    <row r="480" spans="3:26" s="63" customFormat="1" ht="12" x14ac:dyDescent="0.2">
      <c r="C480" s="64"/>
      <c r="D480" s="293"/>
      <c r="E480" s="300"/>
      <c r="F480" s="280"/>
      <c r="G480" s="557"/>
      <c r="H480" s="549"/>
      <c r="J480" s="619"/>
      <c r="K480" s="671"/>
      <c r="L480" s="671"/>
      <c r="M480" s="671"/>
      <c r="N480" s="671"/>
      <c r="O480" s="671"/>
      <c r="P480" s="671"/>
      <c r="Q480" s="671"/>
      <c r="R480" s="671"/>
      <c r="S480" s="671"/>
      <c r="T480" s="671"/>
      <c r="U480" s="671"/>
      <c r="V480" s="671"/>
      <c r="W480" s="549"/>
      <c r="Y480" s="288"/>
      <c r="Z480" s="288"/>
    </row>
    <row r="481" spans="3:26" s="63" customFormat="1" ht="12" x14ac:dyDescent="0.2">
      <c r="C481" s="64"/>
      <c r="D481" s="293"/>
      <c r="E481" s="300"/>
      <c r="F481" s="280"/>
      <c r="G481" s="557"/>
      <c r="H481" s="549"/>
      <c r="J481" s="619"/>
      <c r="K481" s="671"/>
      <c r="L481" s="671"/>
      <c r="M481" s="671"/>
      <c r="N481" s="671"/>
      <c r="O481" s="671"/>
      <c r="P481" s="671"/>
      <c r="Q481" s="671"/>
      <c r="R481" s="671"/>
      <c r="S481" s="671"/>
      <c r="T481" s="671"/>
      <c r="U481" s="671"/>
      <c r="V481" s="671"/>
      <c r="W481" s="549"/>
      <c r="Y481" s="288"/>
      <c r="Z481" s="288"/>
    </row>
    <row r="482" spans="3:26" s="63" customFormat="1" ht="12" x14ac:dyDescent="0.2">
      <c r="C482" s="64"/>
      <c r="D482" s="293"/>
      <c r="E482" s="300"/>
      <c r="F482" s="280"/>
      <c r="G482" s="557"/>
      <c r="H482" s="549"/>
      <c r="J482" s="619"/>
      <c r="K482" s="671"/>
      <c r="L482" s="671"/>
      <c r="M482" s="671"/>
      <c r="N482" s="671"/>
      <c r="O482" s="671"/>
      <c r="P482" s="671"/>
      <c r="Q482" s="671"/>
      <c r="R482" s="671"/>
      <c r="S482" s="671"/>
      <c r="T482" s="671"/>
      <c r="U482" s="671"/>
      <c r="V482" s="671"/>
      <c r="W482" s="549"/>
      <c r="Y482" s="288"/>
      <c r="Z482" s="288"/>
    </row>
    <row r="483" spans="3:26" s="63" customFormat="1" ht="12" x14ac:dyDescent="0.2">
      <c r="C483" s="64"/>
      <c r="D483" s="293"/>
      <c r="E483" s="300"/>
      <c r="F483" s="280"/>
      <c r="G483" s="557"/>
      <c r="H483" s="549"/>
      <c r="J483" s="619"/>
      <c r="K483" s="671"/>
      <c r="L483" s="671"/>
      <c r="M483" s="671"/>
      <c r="N483" s="671"/>
      <c r="O483" s="671"/>
      <c r="P483" s="671"/>
      <c r="Q483" s="671"/>
      <c r="R483" s="671"/>
      <c r="S483" s="671"/>
      <c r="T483" s="671"/>
      <c r="U483" s="671"/>
      <c r="V483" s="671"/>
      <c r="W483" s="549"/>
      <c r="Y483" s="288"/>
      <c r="Z483" s="288"/>
    </row>
    <row r="484" spans="3:26" s="63" customFormat="1" ht="12" x14ac:dyDescent="0.2">
      <c r="C484" s="64"/>
      <c r="D484" s="293"/>
      <c r="E484" s="300"/>
      <c r="F484" s="280"/>
      <c r="G484" s="557"/>
      <c r="H484" s="549"/>
      <c r="J484" s="619"/>
      <c r="K484" s="671"/>
      <c r="L484" s="671"/>
      <c r="M484" s="671"/>
      <c r="N484" s="671"/>
      <c r="O484" s="671"/>
      <c r="P484" s="671"/>
      <c r="Q484" s="671"/>
      <c r="R484" s="671"/>
      <c r="S484" s="671"/>
      <c r="T484" s="671"/>
      <c r="U484" s="671"/>
      <c r="V484" s="671"/>
      <c r="W484" s="549"/>
      <c r="Y484" s="288"/>
      <c r="Z484" s="288"/>
    </row>
    <row r="485" spans="3:26" s="63" customFormat="1" ht="12" x14ac:dyDescent="0.2">
      <c r="C485" s="64"/>
      <c r="D485" s="293"/>
      <c r="E485" s="300"/>
      <c r="F485" s="280"/>
      <c r="G485" s="557"/>
      <c r="H485" s="549"/>
      <c r="J485" s="619"/>
      <c r="K485" s="671"/>
      <c r="L485" s="671"/>
      <c r="M485" s="671"/>
      <c r="N485" s="671"/>
      <c r="O485" s="671"/>
      <c r="P485" s="671"/>
      <c r="Q485" s="671"/>
      <c r="R485" s="671"/>
      <c r="S485" s="671"/>
      <c r="T485" s="671"/>
      <c r="U485" s="671"/>
      <c r="V485" s="671"/>
      <c r="W485" s="549"/>
      <c r="Y485" s="288"/>
      <c r="Z485" s="288"/>
    </row>
    <row r="486" spans="3:26" s="63" customFormat="1" ht="12" x14ac:dyDescent="0.2">
      <c r="C486" s="64"/>
      <c r="D486" s="293"/>
      <c r="E486" s="300"/>
      <c r="F486" s="280"/>
      <c r="G486" s="557"/>
      <c r="H486" s="549"/>
      <c r="J486" s="619"/>
      <c r="K486" s="671"/>
      <c r="L486" s="671"/>
      <c r="M486" s="671"/>
      <c r="N486" s="671"/>
      <c r="O486" s="671"/>
      <c r="P486" s="671"/>
      <c r="Q486" s="671"/>
      <c r="R486" s="671"/>
      <c r="S486" s="671"/>
      <c r="T486" s="671"/>
      <c r="U486" s="671"/>
      <c r="V486" s="671"/>
      <c r="W486" s="549"/>
      <c r="Y486" s="288"/>
      <c r="Z486" s="288"/>
    </row>
  </sheetData>
  <sheetProtection algorithmName="SHA-512" hashValue="QBPBL9NymierHflOKi0fYB4apnJh4MCO65ALollUcRiLzH6FfhZpC5GHE2sLtEwtqbchq7ZpwVpOVA2eL3W8Rw==" saltValue="NjSxMW+KSzJTYA4ZdV62Pw==" spinCount="100000" sheet="1" selectLockedCells="1" selectUnlockedCells="1"/>
  <mergeCells count="2">
    <mergeCell ref="K4:V4"/>
    <mergeCell ref="F4:H4"/>
  </mergeCells>
  <phoneticPr fontId="13" type="noConversion"/>
  <conditionalFormatting sqref="X33:X37 X39:X40 X66:X73 X75:X78 X83:X86 X91:X92 X98:X101 X106:X108 X114:X121 X123:X124 X132:X133 X141:X142 X148:X149 X154:X155 X160:X161 X166:X167 X172:X173 X180:X181 X189 X199:X201 X219:X221 X225:X226 X256:X257 X247:X248 X265:X267 X275:X277 X285:X287 X295:X296 X304:X1048576 X1:X7 X46:X48 X54:X58 X60:X61 X103:X104 X238:X245 X210:X211 X11:X14 X16:X21 X23:X27 X29:X31 X42:X44 X52 X63:X64 X203:X208 X236 X191:X195">
    <cfRule type="cellIs" dxfId="173" priority="221" operator="equal">
      <formula>"Error"</formula>
    </cfRule>
    <cfRule type="cellIs" dxfId="172" priority="222" operator="equal">
      <formula>"OK"</formula>
    </cfRule>
  </conditionalFormatting>
  <conditionalFormatting sqref="X32">
    <cfRule type="cellIs" dxfId="171" priority="219" operator="equal">
      <formula>"Error"</formula>
    </cfRule>
    <cfRule type="cellIs" dxfId="170" priority="220" operator="equal">
      <formula>"OK"</formula>
    </cfRule>
  </conditionalFormatting>
  <conditionalFormatting sqref="X38">
    <cfRule type="cellIs" dxfId="169" priority="217" operator="equal">
      <formula>"Error"</formula>
    </cfRule>
    <cfRule type="cellIs" dxfId="168" priority="218" operator="equal">
      <formula>"OK"</formula>
    </cfRule>
  </conditionalFormatting>
  <conditionalFormatting sqref="X45">
    <cfRule type="cellIs" dxfId="167" priority="215" operator="equal">
      <formula>"Error"</formula>
    </cfRule>
    <cfRule type="cellIs" dxfId="166" priority="216" operator="equal">
      <formula>"OK"</formula>
    </cfRule>
  </conditionalFormatting>
  <conditionalFormatting sqref="X53">
    <cfRule type="cellIs" dxfId="165" priority="213" operator="equal">
      <formula>"Error"</formula>
    </cfRule>
    <cfRule type="cellIs" dxfId="164" priority="214" operator="equal">
      <formula>"OK"</formula>
    </cfRule>
  </conditionalFormatting>
  <conditionalFormatting sqref="X59">
    <cfRule type="cellIs" dxfId="163" priority="211" operator="equal">
      <formula>"Error"</formula>
    </cfRule>
    <cfRule type="cellIs" dxfId="162" priority="212" operator="equal">
      <formula>"OK"</formula>
    </cfRule>
  </conditionalFormatting>
  <conditionalFormatting sqref="X65">
    <cfRule type="cellIs" dxfId="161" priority="209" operator="equal">
      <formula>"Error"</formula>
    </cfRule>
    <cfRule type="cellIs" dxfId="160" priority="210" operator="equal">
      <formula>"OK"</formula>
    </cfRule>
  </conditionalFormatting>
  <conditionalFormatting sqref="X74">
    <cfRule type="cellIs" dxfId="159" priority="207" operator="equal">
      <formula>"Error"</formula>
    </cfRule>
    <cfRule type="cellIs" dxfId="158" priority="208" operator="equal">
      <formula>"OK"</formula>
    </cfRule>
  </conditionalFormatting>
  <conditionalFormatting sqref="X79:X81">
    <cfRule type="cellIs" dxfId="157" priority="203" operator="equal">
      <formula>"Error"</formula>
    </cfRule>
    <cfRule type="cellIs" dxfId="156" priority="204" operator="equal">
      <formula>"OK"</formula>
    </cfRule>
  </conditionalFormatting>
  <conditionalFormatting sqref="X82">
    <cfRule type="cellIs" dxfId="155" priority="201" operator="equal">
      <formula>"Error"</formula>
    </cfRule>
    <cfRule type="cellIs" dxfId="154" priority="202" operator="equal">
      <formula>"OK"</formula>
    </cfRule>
  </conditionalFormatting>
  <conditionalFormatting sqref="X87:X89">
    <cfRule type="cellIs" dxfId="153" priority="199" operator="equal">
      <formula>"Error"</formula>
    </cfRule>
    <cfRule type="cellIs" dxfId="152" priority="200" operator="equal">
      <formula>"OK"</formula>
    </cfRule>
  </conditionalFormatting>
  <conditionalFormatting sqref="X90">
    <cfRule type="cellIs" dxfId="151" priority="197" operator="equal">
      <formula>"Error"</formula>
    </cfRule>
    <cfRule type="cellIs" dxfId="150" priority="198" operator="equal">
      <formula>"OK"</formula>
    </cfRule>
  </conditionalFormatting>
  <conditionalFormatting sqref="X93">
    <cfRule type="cellIs" dxfId="149" priority="195" operator="equal">
      <formula>"Error"</formula>
    </cfRule>
    <cfRule type="cellIs" dxfId="148" priority="196" operator="equal">
      <formula>"OK"</formula>
    </cfRule>
  </conditionalFormatting>
  <conditionalFormatting sqref="X94:X96">
    <cfRule type="cellIs" dxfId="147" priority="193" operator="equal">
      <formula>"Error"</formula>
    </cfRule>
    <cfRule type="cellIs" dxfId="146" priority="194" operator="equal">
      <formula>"OK"</formula>
    </cfRule>
  </conditionalFormatting>
  <conditionalFormatting sqref="X97">
    <cfRule type="cellIs" dxfId="145" priority="191" operator="equal">
      <formula>"Error"</formula>
    </cfRule>
    <cfRule type="cellIs" dxfId="144" priority="192" operator="equal">
      <formula>"OK"</formula>
    </cfRule>
  </conditionalFormatting>
  <conditionalFormatting sqref="X131">
    <cfRule type="cellIs" dxfId="143" priority="177" operator="equal">
      <formula>"Error"</formula>
    </cfRule>
    <cfRule type="cellIs" dxfId="142" priority="178" operator="equal">
      <formula>"OK"</formula>
    </cfRule>
  </conditionalFormatting>
  <conditionalFormatting sqref="X110:X112">
    <cfRule type="cellIs" dxfId="141" priority="185" operator="equal">
      <formula>"Error"</formula>
    </cfRule>
    <cfRule type="cellIs" dxfId="140" priority="186" operator="equal">
      <formula>"OK"</formula>
    </cfRule>
  </conditionalFormatting>
  <conditionalFormatting sqref="X113">
    <cfRule type="cellIs" dxfId="139" priority="183" operator="equal">
      <formula>"Error"</formula>
    </cfRule>
    <cfRule type="cellIs" dxfId="138" priority="184" operator="equal">
      <formula>"OK"</formula>
    </cfRule>
  </conditionalFormatting>
  <conditionalFormatting sqref="X122">
    <cfRule type="cellIs" dxfId="137" priority="181" operator="equal">
      <formula>"Error"</formula>
    </cfRule>
    <cfRule type="cellIs" dxfId="136" priority="182" operator="equal">
      <formula>"OK"</formula>
    </cfRule>
  </conditionalFormatting>
  <conditionalFormatting sqref="X125:X130">
    <cfRule type="cellIs" dxfId="135" priority="179" operator="equal">
      <formula>"Error"</formula>
    </cfRule>
    <cfRule type="cellIs" dxfId="134" priority="180" operator="equal">
      <formula>"OK"</formula>
    </cfRule>
  </conditionalFormatting>
  <conditionalFormatting sqref="X134:X139">
    <cfRule type="cellIs" dxfId="133" priority="175" operator="equal">
      <formula>"Error"</formula>
    </cfRule>
    <cfRule type="cellIs" dxfId="132" priority="176" operator="equal">
      <formula>"OK"</formula>
    </cfRule>
  </conditionalFormatting>
  <conditionalFormatting sqref="X140">
    <cfRule type="cellIs" dxfId="131" priority="173" operator="equal">
      <formula>"Error"</formula>
    </cfRule>
    <cfRule type="cellIs" dxfId="130" priority="174" operator="equal">
      <formula>"OK"</formula>
    </cfRule>
  </conditionalFormatting>
  <conditionalFormatting sqref="X144:X146">
    <cfRule type="cellIs" dxfId="129" priority="169" operator="equal">
      <formula>"Error"</formula>
    </cfRule>
    <cfRule type="cellIs" dxfId="128" priority="170" operator="equal">
      <formula>"OK"</formula>
    </cfRule>
  </conditionalFormatting>
  <conditionalFormatting sqref="X147">
    <cfRule type="cellIs" dxfId="127" priority="167" operator="equal">
      <formula>"Error"</formula>
    </cfRule>
    <cfRule type="cellIs" dxfId="126" priority="168" operator="equal">
      <formula>"OK"</formula>
    </cfRule>
  </conditionalFormatting>
  <conditionalFormatting sqref="X143">
    <cfRule type="cellIs" dxfId="125" priority="165" operator="equal">
      <formula>"Error"</formula>
    </cfRule>
    <cfRule type="cellIs" dxfId="124" priority="166" operator="equal">
      <formula>"OK"</formula>
    </cfRule>
  </conditionalFormatting>
  <conditionalFormatting sqref="X150:X152">
    <cfRule type="cellIs" dxfId="123" priority="163" operator="equal">
      <formula>"Error"</formula>
    </cfRule>
    <cfRule type="cellIs" dxfId="122" priority="164" operator="equal">
      <formula>"OK"</formula>
    </cfRule>
  </conditionalFormatting>
  <conditionalFormatting sqref="X153">
    <cfRule type="cellIs" dxfId="121" priority="161" operator="equal">
      <formula>"Error"</formula>
    </cfRule>
    <cfRule type="cellIs" dxfId="120" priority="162" operator="equal">
      <formula>"OK"</formula>
    </cfRule>
  </conditionalFormatting>
  <conditionalFormatting sqref="X156:X158">
    <cfRule type="cellIs" dxfId="119" priority="159" operator="equal">
      <formula>"Error"</formula>
    </cfRule>
    <cfRule type="cellIs" dxfId="118" priority="160" operator="equal">
      <formula>"OK"</formula>
    </cfRule>
  </conditionalFormatting>
  <conditionalFormatting sqref="X164">
    <cfRule type="cellIs" dxfId="117" priority="155" operator="equal">
      <formula>"Error"</formula>
    </cfRule>
    <cfRule type="cellIs" dxfId="116" priority="156" operator="equal">
      <formula>"OK"</formula>
    </cfRule>
  </conditionalFormatting>
  <conditionalFormatting sqref="X165">
    <cfRule type="cellIs" dxfId="115" priority="153" operator="equal">
      <formula>"Error"</formula>
    </cfRule>
    <cfRule type="cellIs" dxfId="114" priority="154" operator="equal">
      <formula>"OK"</formula>
    </cfRule>
  </conditionalFormatting>
  <conditionalFormatting sqref="X168:X170">
    <cfRule type="cellIs" dxfId="113" priority="147" operator="equal">
      <formula>"Error"</formula>
    </cfRule>
    <cfRule type="cellIs" dxfId="112" priority="148" operator="equal">
      <formula>"OK"</formula>
    </cfRule>
  </conditionalFormatting>
  <conditionalFormatting sqref="X171">
    <cfRule type="cellIs" dxfId="111" priority="145" operator="equal">
      <formula>"Error"</formula>
    </cfRule>
    <cfRule type="cellIs" dxfId="110" priority="146" operator="equal">
      <formula>"OK"</formula>
    </cfRule>
  </conditionalFormatting>
  <conditionalFormatting sqref="X176:X178">
    <cfRule type="cellIs" dxfId="109" priority="141" operator="equal">
      <formula>"Error"</formula>
    </cfRule>
    <cfRule type="cellIs" dxfId="108" priority="142" operator="equal">
      <formula>"OK"</formula>
    </cfRule>
  </conditionalFormatting>
  <conditionalFormatting sqref="X179">
    <cfRule type="cellIs" dxfId="107" priority="139" operator="equal">
      <formula>"Error"</formula>
    </cfRule>
    <cfRule type="cellIs" dxfId="106" priority="140" operator="equal">
      <formula>"OK"</formula>
    </cfRule>
  </conditionalFormatting>
  <conditionalFormatting sqref="X196:X197">
    <cfRule type="cellIs" dxfId="105" priority="135" operator="equal">
      <formula>"Error"</formula>
    </cfRule>
    <cfRule type="cellIs" dxfId="104" priority="136" operator="equal">
      <formula>"OK"</formula>
    </cfRule>
  </conditionalFormatting>
  <conditionalFormatting sqref="X198">
    <cfRule type="cellIs" dxfId="103" priority="133" operator="equal">
      <formula>"Error"</formula>
    </cfRule>
    <cfRule type="cellIs" dxfId="102" priority="134" operator="equal">
      <formula>"OK"</formula>
    </cfRule>
  </conditionalFormatting>
  <conditionalFormatting sqref="X213:X217">
    <cfRule type="cellIs" dxfId="101" priority="129" operator="equal">
      <formula>"Error"</formula>
    </cfRule>
    <cfRule type="cellIs" dxfId="100" priority="130" operator="equal">
      <formula>"OK"</formula>
    </cfRule>
  </conditionalFormatting>
  <conditionalFormatting sqref="X218">
    <cfRule type="cellIs" dxfId="99" priority="127" operator="equal">
      <formula>"Error"</formula>
    </cfRule>
    <cfRule type="cellIs" dxfId="98" priority="128" operator="equal">
      <formula>"OK"</formula>
    </cfRule>
  </conditionalFormatting>
  <conditionalFormatting sqref="X222:X223">
    <cfRule type="cellIs" dxfId="97" priority="125" operator="equal">
      <formula>"Error"</formula>
    </cfRule>
    <cfRule type="cellIs" dxfId="96" priority="126" operator="equal">
      <formula>"OK"</formula>
    </cfRule>
  </conditionalFormatting>
  <conditionalFormatting sqref="X250:X254">
    <cfRule type="cellIs" dxfId="95" priority="121" operator="equal">
      <formula>"Error"</formula>
    </cfRule>
    <cfRule type="cellIs" dxfId="94" priority="122" operator="equal">
      <formula>"OK"</formula>
    </cfRule>
  </conditionalFormatting>
  <conditionalFormatting sqref="X255">
    <cfRule type="cellIs" dxfId="93" priority="119" operator="equal">
      <formula>"Error"</formula>
    </cfRule>
    <cfRule type="cellIs" dxfId="92" priority="120" operator="equal">
      <formula>"OK"</formula>
    </cfRule>
  </conditionalFormatting>
  <conditionalFormatting sqref="X246">
    <cfRule type="cellIs" dxfId="91" priority="117" operator="equal">
      <formula>"Error"</formula>
    </cfRule>
    <cfRule type="cellIs" dxfId="90" priority="118" operator="equal">
      <formula>"OK"</formula>
    </cfRule>
  </conditionalFormatting>
  <conditionalFormatting sqref="X260:X263">
    <cfRule type="cellIs" dxfId="89" priority="115" operator="equal">
      <formula>"Error"</formula>
    </cfRule>
    <cfRule type="cellIs" dxfId="88" priority="116" operator="equal">
      <formula>"OK"</formula>
    </cfRule>
  </conditionalFormatting>
  <conditionalFormatting sqref="X264">
    <cfRule type="cellIs" dxfId="87" priority="113" operator="equal">
      <formula>"Error"</formula>
    </cfRule>
    <cfRule type="cellIs" dxfId="86" priority="114" operator="equal">
      <formula>"OK"</formula>
    </cfRule>
  </conditionalFormatting>
  <conditionalFormatting sqref="X268:X273">
    <cfRule type="cellIs" dxfId="85" priority="111" operator="equal">
      <formula>"Error"</formula>
    </cfRule>
    <cfRule type="cellIs" dxfId="84" priority="112" operator="equal">
      <formula>"OK"</formula>
    </cfRule>
  </conditionalFormatting>
  <conditionalFormatting sqref="X274">
    <cfRule type="cellIs" dxfId="83" priority="109" operator="equal">
      <formula>"Error"</formula>
    </cfRule>
    <cfRule type="cellIs" dxfId="82" priority="110" operator="equal">
      <formula>"OK"</formula>
    </cfRule>
  </conditionalFormatting>
  <conditionalFormatting sqref="X288:X293">
    <cfRule type="cellIs" dxfId="81" priority="101" operator="equal">
      <formula>"Error"</formula>
    </cfRule>
    <cfRule type="cellIs" dxfId="80" priority="102" operator="equal">
      <formula>"OK"</formula>
    </cfRule>
  </conditionalFormatting>
  <conditionalFormatting sqref="X282:X283">
    <cfRule type="cellIs" dxfId="79" priority="105" operator="equal">
      <formula>"Error"</formula>
    </cfRule>
    <cfRule type="cellIs" dxfId="78" priority="106" operator="equal">
      <formula>"OK"</formula>
    </cfRule>
  </conditionalFormatting>
  <conditionalFormatting sqref="X294">
    <cfRule type="cellIs" dxfId="77" priority="99" operator="equal">
      <formula>"Error"</formula>
    </cfRule>
    <cfRule type="cellIs" dxfId="76" priority="100" operator="equal">
      <formula>"OK"</formula>
    </cfRule>
  </conditionalFormatting>
  <conditionalFormatting sqref="X297:X302">
    <cfRule type="cellIs" dxfId="75" priority="97" operator="equal">
      <formula>"Error"</formula>
    </cfRule>
    <cfRule type="cellIs" dxfId="74" priority="98" operator="equal">
      <formula>"OK"</formula>
    </cfRule>
  </conditionalFormatting>
  <conditionalFormatting sqref="X303">
    <cfRule type="cellIs" dxfId="73" priority="95" operator="equal">
      <formula>"Error"</formula>
    </cfRule>
    <cfRule type="cellIs" dxfId="72" priority="96" operator="equal">
      <formula>"OK"</formula>
    </cfRule>
  </conditionalFormatting>
  <conditionalFormatting sqref="X284">
    <cfRule type="cellIs" dxfId="71" priority="75" operator="equal">
      <formula>"Error"</formula>
    </cfRule>
    <cfRule type="cellIs" dxfId="70" priority="76" operator="equal">
      <formula>"OK"</formula>
    </cfRule>
  </conditionalFormatting>
  <conditionalFormatting sqref="X224">
    <cfRule type="cellIs" dxfId="69" priority="79" operator="equal">
      <formula>"Error"</formula>
    </cfRule>
    <cfRule type="cellIs" dxfId="68" priority="80" operator="equal">
      <formula>"OK"</formula>
    </cfRule>
  </conditionalFormatting>
  <conditionalFormatting sqref="X237">
    <cfRule type="cellIs" dxfId="67" priority="77" operator="equal">
      <formula>"Error"</formula>
    </cfRule>
    <cfRule type="cellIs" dxfId="66" priority="78" operator="equal">
      <formula>"OK"</formula>
    </cfRule>
  </conditionalFormatting>
  <conditionalFormatting sqref="X209">
    <cfRule type="cellIs" dxfId="65" priority="73" operator="equal">
      <formula>"Error"</formula>
    </cfRule>
    <cfRule type="cellIs" dxfId="64" priority="74" operator="equal">
      <formula>"OK"</formula>
    </cfRule>
  </conditionalFormatting>
  <conditionalFormatting sqref="X159">
    <cfRule type="cellIs" dxfId="63" priority="71" operator="equal">
      <formula>"Error"</formula>
    </cfRule>
    <cfRule type="cellIs" dxfId="62" priority="72" operator="equal">
      <formula>"OK"</formula>
    </cfRule>
  </conditionalFormatting>
  <conditionalFormatting sqref="X105">
    <cfRule type="cellIs" dxfId="61" priority="69" operator="equal">
      <formula>"Error"</formula>
    </cfRule>
    <cfRule type="cellIs" dxfId="60" priority="70" operator="equal">
      <formula>"OK"</formula>
    </cfRule>
  </conditionalFormatting>
  <conditionalFormatting sqref="X10">
    <cfRule type="cellIs" dxfId="59" priority="59" operator="equal">
      <formula>"Error"</formula>
    </cfRule>
    <cfRule type="cellIs" dxfId="58" priority="60" operator="equal">
      <formula>"OK"</formula>
    </cfRule>
  </conditionalFormatting>
  <conditionalFormatting sqref="X8">
    <cfRule type="cellIs" dxfId="57" priority="57" operator="equal">
      <formula>"Error"</formula>
    </cfRule>
    <cfRule type="cellIs" dxfId="56" priority="58" operator="equal">
      <formula>"OK"</formula>
    </cfRule>
  </conditionalFormatting>
  <conditionalFormatting sqref="X9">
    <cfRule type="cellIs" dxfId="55" priority="61" operator="equal">
      <formula>"Error"</formula>
    </cfRule>
    <cfRule type="cellIs" dxfId="54" priority="62" operator="equal">
      <formula>"OK"</formula>
    </cfRule>
  </conditionalFormatting>
  <conditionalFormatting sqref="X15">
    <cfRule type="cellIs" dxfId="53" priority="55" operator="equal">
      <formula>"Error"</formula>
    </cfRule>
    <cfRule type="cellIs" dxfId="52" priority="56" operator="equal">
      <formula>"OK"</formula>
    </cfRule>
  </conditionalFormatting>
  <conditionalFormatting sqref="X22">
    <cfRule type="cellIs" dxfId="51" priority="53" operator="equal">
      <formula>"Error"</formula>
    </cfRule>
    <cfRule type="cellIs" dxfId="50" priority="54" operator="equal">
      <formula>"OK"</formula>
    </cfRule>
  </conditionalFormatting>
  <conditionalFormatting sqref="X28">
    <cfRule type="cellIs" dxfId="49" priority="51" operator="equal">
      <formula>"Error"</formula>
    </cfRule>
    <cfRule type="cellIs" dxfId="48" priority="52" operator="equal">
      <formula>"OK"</formula>
    </cfRule>
  </conditionalFormatting>
  <conditionalFormatting sqref="X41">
    <cfRule type="cellIs" dxfId="47" priority="49" operator="equal">
      <formula>"Error"</formula>
    </cfRule>
    <cfRule type="cellIs" dxfId="46" priority="50" operator="equal">
      <formula>"OK"</formula>
    </cfRule>
  </conditionalFormatting>
  <conditionalFormatting sqref="X50">
    <cfRule type="cellIs" dxfId="45" priority="43" operator="equal">
      <formula>"Error"</formula>
    </cfRule>
    <cfRule type="cellIs" dxfId="44" priority="44" operator="equal">
      <formula>"OK"</formula>
    </cfRule>
  </conditionalFormatting>
  <conditionalFormatting sqref="X51">
    <cfRule type="cellIs" dxfId="43" priority="47" operator="equal">
      <formula>"Error"</formula>
    </cfRule>
    <cfRule type="cellIs" dxfId="42" priority="48" operator="equal">
      <formula>"OK"</formula>
    </cfRule>
  </conditionalFormatting>
  <conditionalFormatting sqref="X49">
    <cfRule type="cellIs" dxfId="41" priority="45" operator="equal">
      <formula>"Error"</formula>
    </cfRule>
    <cfRule type="cellIs" dxfId="40" priority="46" operator="equal">
      <formula>"OK"</formula>
    </cfRule>
  </conditionalFormatting>
  <conditionalFormatting sqref="X62">
    <cfRule type="cellIs" dxfId="39" priority="41" operator="equal">
      <formula>"Error"</formula>
    </cfRule>
    <cfRule type="cellIs" dxfId="38" priority="42" operator="equal">
      <formula>"OK"</formula>
    </cfRule>
  </conditionalFormatting>
  <conditionalFormatting sqref="X102">
    <cfRule type="cellIs" dxfId="37" priority="39" operator="equal">
      <formula>"Error"</formula>
    </cfRule>
    <cfRule type="cellIs" dxfId="36" priority="40" operator="equal">
      <formula>"OK"</formula>
    </cfRule>
  </conditionalFormatting>
  <conditionalFormatting sqref="X109">
    <cfRule type="cellIs" dxfId="35" priority="37" operator="equal">
      <formula>"Error"</formula>
    </cfRule>
    <cfRule type="cellIs" dxfId="34" priority="38" operator="equal">
      <formula>"OK"</formula>
    </cfRule>
  </conditionalFormatting>
  <conditionalFormatting sqref="X162">
    <cfRule type="cellIs" dxfId="33" priority="35" operator="equal">
      <formula>"Error"</formula>
    </cfRule>
    <cfRule type="cellIs" dxfId="32" priority="36" operator="equal">
      <formula>"OK"</formula>
    </cfRule>
  </conditionalFormatting>
  <conditionalFormatting sqref="X163">
    <cfRule type="cellIs" dxfId="31" priority="33" operator="equal">
      <formula>"Error"</formula>
    </cfRule>
    <cfRule type="cellIs" dxfId="30" priority="34" operator="equal">
      <formula>"OK"</formula>
    </cfRule>
  </conditionalFormatting>
  <conditionalFormatting sqref="X174">
    <cfRule type="cellIs" dxfId="29" priority="31" operator="equal">
      <formula>"Error"</formula>
    </cfRule>
    <cfRule type="cellIs" dxfId="28" priority="32" operator="equal">
      <formula>"OK"</formula>
    </cfRule>
  </conditionalFormatting>
  <conditionalFormatting sqref="X175">
    <cfRule type="cellIs" dxfId="27" priority="29" operator="equal">
      <formula>"Error"</formula>
    </cfRule>
    <cfRule type="cellIs" dxfId="26" priority="30" operator="equal">
      <formula>"OK"</formula>
    </cfRule>
  </conditionalFormatting>
  <conditionalFormatting sqref="X182:X187">
    <cfRule type="cellIs" dxfId="25" priority="27" operator="equal">
      <formula>"Error"</formula>
    </cfRule>
    <cfRule type="cellIs" dxfId="24" priority="28" operator="equal">
      <formula>"OK"</formula>
    </cfRule>
  </conditionalFormatting>
  <conditionalFormatting sqref="X188">
    <cfRule type="cellIs" dxfId="23" priority="25" operator="equal">
      <formula>"Error"</formula>
    </cfRule>
    <cfRule type="cellIs" dxfId="22" priority="26" operator="equal">
      <formula>"OK"</formula>
    </cfRule>
  </conditionalFormatting>
  <conditionalFormatting sqref="X202">
    <cfRule type="cellIs" dxfId="21" priority="23" operator="equal">
      <formula>"Error"</formula>
    </cfRule>
    <cfRule type="cellIs" dxfId="20" priority="24" operator="equal">
      <formula>"OK"</formula>
    </cfRule>
  </conditionalFormatting>
  <conditionalFormatting sqref="X212">
    <cfRule type="cellIs" dxfId="19" priority="21" operator="equal">
      <formula>"Error"</formula>
    </cfRule>
    <cfRule type="cellIs" dxfId="18" priority="22" operator="equal">
      <formula>"OK"</formula>
    </cfRule>
  </conditionalFormatting>
  <conditionalFormatting sqref="X227:X234">
    <cfRule type="cellIs" dxfId="17" priority="19" operator="equal">
      <formula>"Error"</formula>
    </cfRule>
    <cfRule type="cellIs" dxfId="16" priority="20" operator="equal">
      <formula>"OK"</formula>
    </cfRule>
  </conditionalFormatting>
  <conditionalFormatting sqref="X235">
    <cfRule type="cellIs" dxfId="15" priority="17" operator="equal">
      <formula>"Error"</formula>
    </cfRule>
    <cfRule type="cellIs" dxfId="14" priority="18" operator="equal">
      <formula>"OK"</formula>
    </cfRule>
  </conditionalFormatting>
  <conditionalFormatting sqref="X279">
    <cfRule type="cellIs" dxfId="13" priority="11" operator="equal">
      <formula>"Error"</formula>
    </cfRule>
    <cfRule type="cellIs" dxfId="12" priority="12" operator="equal">
      <formula>"OK"</formula>
    </cfRule>
  </conditionalFormatting>
  <conditionalFormatting sqref="X278">
    <cfRule type="cellIs" dxfId="11" priority="13" operator="equal">
      <formula>"Error"</formula>
    </cfRule>
    <cfRule type="cellIs" dxfId="10" priority="14" operator="equal">
      <formula>"OK"</formula>
    </cfRule>
  </conditionalFormatting>
  <conditionalFormatting sqref="X280">
    <cfRule type="cellIs" dxfId="9" priority="9" operator="equal">
      <formula>"Error"</formula>
    </cfRule>
    <cfRule type="cellIs" dxfId="8" priority="10" operator="equal">
      <formula>"OK"</formula>
    </cfRule>
  </conditionalFormatting>
  <conditionalFormatting sqref="X281">
    <cfRule type="cellIs" dxfId="7" priority="7" operator="equal">
      <formula>"Error"</formula>
    </cfRule>
    <cfRule type="cellIs" dxfId="6" priority="8" operator="equal">
      <formula>"OK"</formula>
    </cfRule>
  </conditionalFormatting>
  <conditionalFormatting sqref="X249">
    <cfRule type="cellIs" dxfId="5" priority="5" operator="equal">
      <formula>"Error"</formula>
    </cfRule>
    <cfRule type="cellIs" dxfId="4" priority="6" operator="equal">
      <formula>"OK"</formula>
    </cfRule>
  </conditionalFormatting>
  <conditionalFormatting sqref="X258:X259">
    <cfRule type="cellIs" dxfId="3" priority="3" operator="equal">
      <formula>"Error"</formula>
    </cfRule>
    <cfRule type="cellIs" dxfId="2" priority="4" operator="equal">
      <formula>"OK"</formula>
    </cfRule>
  </conditionalFormatting>
  <conditionalFormatting sqref="X190">
    <cfRule type="cellIs" dxfId="1" priority="1" operator="equal">
      <formula>"Error"</formula>
    </cfRule>
    <cfRule type="cellIs" dxfId="0" priority="2" operator="equal">
      <formula>"OK"</formula>
    </cfRule>
  </conditionalFormatting>
  <pageMargins left="0.7" right="0.7" top="0.75" bottom="0.75" header="0.3" footer="0.3"/>
  <pageSetup orientation="portrait" horizontalDpi="1200" verticalDpi="1200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7" tint="0.79998168889431442"/>
  </sheetPr>
  <dimension ref="A1:F4"/>
  <sheetViews>
    <sheetView workbookViewId="0">
      <selection activeCell="R118" sqref="R118"/>
    </sheetView>
  </sheetViews>
  <sheetFormatPr defaultRowHeight="15" x14ac:dyDescent="0.25"/>
  <cols>
    <col min="1" max="1" width="14.140625" style="350" customWidth="1"/>
    <col min="2" max="2" width="9.140625" style="350"/>
    <col min="3" max="3" width="10.85546875" style="350" bestFit="1" customWidth="1"/>
    <col min="4" max="4" width="18.85546875" style="348" bestFit="1" customWidth="1"/>
    <col min="5" max="5" width="21.85546875" style="348" bestFit="1" customWidth="1"/>
    <col min="6" max="6" width="104.28515625" style="350" customWidth="1"/>
  </cols>
  <sheetData>
    <row r="1" spans="1:6" x14ac:dyDescent="0.25">
      <c r="A1" s="350" t="s">
        <v>346</v>
      </c>
    </row>
    <row r="3" spans="1:6" s="347" customFormat="1" x14ac:dyDescent="0.25">
      <c r="A3" s="351" t="s">
        <v>348</v>
      </c>
      <c r="B3" s="351" t="s">
        <v>347</v>
      </c>
      <c r="C3" s="351" t="s">
        <v>349</v>
      </c>
      <c r="D3" s="349" t="s">
        <v>350</v>
      </c>
      <c r="E3" s="349" t="s">
        <v>351</v>
      </c>
      <c r="F3" s="351" t="s">
        <v>352</v>
      </c>
    </row>
    <row r="4" spans="1:6" x14ac:dyDescent="0.25">
      <c r="A4" s="350" t="s">
        <v>530</v>
      </c>
      <c r="B4" s="350" t="s">
        <v>531</v>
      </c>
      <c r="C4" s="350" t="s">
        <v>532</v>
      </c>
      <c r="D4" s="348" t="s">
        <v>533</v>
      </c>
      <c r="E4" s="348" t="s">
        <v>533</v>
      </c>
      <c r="F4" s="350" t="s">
        <v>541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70C0"/>
  </sheetPr>
  <dimension ref="A1:B12"/>
  <sheetViews>
    <sheetView workbookViewId="0"/>
  </sheetViews>
  <sheetFormatPr defaultRowHeight="15" x14ac:dyDescent="0.25"/>
  <cols>
    <col min="2" max="2" width="38.42578125" bestFit="1" customWidth="1"/>
  </cols>
  <sheetData>
    <row r="1" spans="1:2" ht="26.25" x14ac:dyDescent="0.4">
      <c r="A1" s="374" t="s">
        <v>390</v>
      </c>
    </row>
    <row r="2" spans="1:2" x14ac:dyDescent="0.25">
      <c r="A2" s="351" t="s">
        <v>368</v>
      </c>
      <c r="B2" s="347" t="s">
        <v>369</v>
      </c>
    </row>
    <row r="3" spans="1:2" x14ac:dyDescent="0.25">
      <c r="A3" s="350" t="s">
        <v>370</v>
      </c>
      <c r="B3" t="s">
        <v>371</v>
      </c>
    </row>
    <row r="4" spans="1:2" x14ac:dyDescent="0.25">
      <c r="A4" s="350" t="s">
        <v>372</v>
      </c>
      <c r="B4" t="s">
        <v>373</v>
      </c>
    </row>
    <row r="5" spans="1:2" x14ac:dyDescent="0.25">
      <c r="A5" s="350" t="s">
        <v>374</v>
      </c>
      <c r="B5" t="s">
        <v>375</v>
      </c>
    </row>
    <row r="6" spans="1:2" x14ac:dyDescent="0.25">
      <c r="A6" s="350" t="s">
        <v>376</v>
      </c>
      <c r="B6" t="s">
        <v>377</v>
      </c>
    </row>
    <row r="7" spans="1:2" x14ac:dyDescent="0.25">
      <c r="A7" s="350" t="s">
        <v>378</v>
      </c>
      <c r="B7" t="s">
        <v>379</v>
      </c>
    </row>
    <row r="8" spans="1:2" x14ac:dyDescent="0.25">
      <c r="A8" s="350" t="s">
        <v>380</v>
      </c>
      <c r="B8" t="s">
        <v>381</v>
      </c>
    </row>
    <row r="9" spans="1:2" x14ac:dyDescent="0.25">
      <c r="A9" s="350" t="s">
        <v>382</v>
      </c>
      <c r="B9" t="s">
        <v>383</v>
      </c>
    </row>
    <row r="10" spans="1:2" x14ac:dyDescent="0.25">
      <c r="A10" s="350" t="s">
        <v>384</v>
      </c>
      <c r="B10" t="s">
        <v>385</v>
      </c>
    </row>
    <row r="11" spans="1:2" x14ac:dyDescent="0.25">
      <c r="A11" s="350" t="s">
        <v>386</v>
      </c>
      <c r="B11" t="s">
        <v>387</v>
      </c>
    </row>
    <row r="12" spans="1:2" x14ac:dyDescent="0.25">
      <c r="A12" s="350" t="s">
        <v>388</v>
      </c>
      <c r="B12" t="s">
        <v>389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1" tint="0.34998626667073579"/>
  </sheetPr>
  <dimension ref="A1:U277"/>
  <sheetViews>
    <sheetView workbookViewId="0">
      <selection activeCell="R118" sqref="R118"/>
    </sheetView>
  </sheetViews>
  <sheetFormatPr defaultColWidth="8.85546875" defaultRowHeight="15" x14ac:dyDescent="0.25"/>
  <cols>
    <col min="1" max="2" width="3.140625" style="14" customWidth="1"/>
    <col min="3" max="3" width="7.85546875" style="20" customWidth="1"/>
    <col min="4" max="4" width="38.28515625" style="14" bestFit="1" customWidth="1"/>
    <col min="5" max="16" width="8.85546875" style="14"/>
    <col min="17" max="17" width="8.85546875" style="22"/>
    <col min="18" max="18" width="2.140625" style="28" customWidth="1"/>
    <col min="19" max="19" width="11.140625" style="338" bestFit="1" customWidth="1"/>
    <col min="20" max="20" width="2.140625" style="28" customWidth="1"/>
    <col min="21" max="16384" width="8.85546875" style="14"/>
  </cols>
  <sheetData>
    <row r="1" spans="1:21" s="1" customFormat="1" ht="21" x14ac:dyDescent="0.35">
      <c r="A1" s="11" t="str">
        <f>'Rev &amp; Enroll'!$F$5</f>
        <v>Nevada State High School (Northwest)</v>
      </c>
      <c r="B1" s="11"/>
      <c r="C1" s="17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4"/>
      <c r="R1" s="24"/>
      <c r="S1" s="328"/>
      <c r="T1" s="24"/>
    </row>
    <row r="2" spans="1:21" s="1" customFormat="1" x14ac:dyDescent="0.25">
      <c r="A2" s="12" t="s">
        <v>106</v>
      </c>
      <c r="B2" s="12"/>
      <c r="C2" s="17"/>
      <c r="D2" s="13"/>
      <c r="E2" s="2"/>
      <c r="F2" s="2"/>
      <c r="G2" s="2"/>
      <c r="H2" s="2"/>
      <c r="I2" s="2"/>
      <c r="J2" s="2"/>
      <c r="M2" s="2"/>
      <c r="N2" s="2"/>
      <c r="O2" s="2"/>
      <c r="Q2" s="8"/>
      <c r="R2" s="25"/>
      <c r="S2" s="329"/>
      <c r="T2" s="29"/>
    </row>
    <row r="3" spans="1:21" s="6" customFormat="1" ht="13.5" customHeight="1" x14ac:dyDescent="0.2">
      <c r="A3" s="5" t="s">
        <v>524</v>
      </c>
      <c r="B3" s="5"/>
      <c r="C3" s="1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8"/>
      <c r="R3" s="25"/>
      <c r="S3" s="330"/>
      <c r="T3" s="30"/>
    </row>
    <row r="4" spans="1:21" s="9" customFormat="1" ht="29.45" customHeight="1" x14ac:dyDescent="0.25">
      <c r="C4" s="19"/>
      <c r="D4" s="10"/>
      <c r="E4" s="33">
        <v>43647</v>
      </c>
      <c r="F4" s="33">
        <f t="shared" ref="F4:P4" si="0">E4+31</f>
        <v>43678</v>
      </c>
      <c r="G4" s="33">
        <f t="shared" si="0"/>
        <v>43709</v>
      </c>
      <c r="H4" s="33">
        <f t="shared" si="0"/>
        <v>43740</v>
      </c>
      <c r="I4" s="33">
        <f t="shared" si="0"/>
        <v>43771</v>
      </c>
      <c r="J4" s="33">
        <f t="shared" si="0"/>
        <v>43802</v>
      </c>
      <c r="K4" s="33">
        <f t="shared" si="0"/>
        <v>43833</v>
      </c>
      <c r="L4" s="33">
        <f t="shared" si="0"/>
        <v>43864</v>
      </c>
      <c r="M4" s="33">
        <f t="shared" si="0"/>
        <v>43895</v>
      </c>
      <c r="N4" s="33">
        <f t="shared" si="0"/>
        <v>43926</v>
      </c>
      <c r="O4" s="33">
        <f t="shared" si="0"/>
        <v>43957</v>
      </c>
      <c r="P4" s="56">
        <f t="shared" si="0"/>
        <v>43988</v>
      </c>
      <c r="Q4" s="35" t="s">
        <v>54</v>
      </c>
      <c r="R4" s="26"/>
      <c r="S4" s="331" t="s">
        <v>55</v>
      </c>
      <c r="T4" s="26"/>
    </row>
    <row r="5" spans="1:21" s="9" customFormat="1" ht="12" hidden="1" x14ac:dyDescent="0.25">
      <c r="C5" s="19"/>
      <c r="D5" s="208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4"/>
      <c r="R5" s="26"/>
      <c r="S5" s="339"/>
      <c r="T5" s="26"/>
      <c r="U5" s="32"/>
    </row>
    <row r="6" spans="1:21" s="37" customFormat="1" ht="11.45" customHeight="1" x14ac:dyDescent="0.2">
      <c r="A6" s="45" t="s">
        <v>58</v>
      </c>
      <c r="C6" s="38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8"/>
      <c r="R6" s="41"/>
      <c r="S6" s="332"/>
      <c r="T6" s="41"/>
    </row>
    <row r="7" spans="1:21" s="37" customFormat="1" ht="12" x14ac:dyDescent="0.2">
      <c r="A7" s="45"/>
      <c r="C7" s="49" t="s">
        <v>172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8"/>
      <c r="R7" s="41"/>
      <c r="S7" s="332"/>
      <c r="T7" s="41"/>
    </row>
    <row r="8" spans="1:21" s="37" customFormat="1" ht="12" x14ac:dyDescent="0.2">
      <c r="A8" s="45"/>
      <c r="C8" s="199">
        <v>1110</v>
      </c>
      <c r="D8" s="37" t="s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9"/>
      <c r="R8" s="186"/>
      <c r="S8" s="332">
        <f>SUM(E8:Q8)</f>
        <v>0</v>
      </c>
      <c r="T8" s="186"/>
    </row>
    <row r="9" spans="1:21" s="37" customFormat="1" ht="12" x14ac:dyDescent="0.2">
      <c r="A9" s="45"/>
      <c r="C9" s="199">
        <v>1120</v>
      </c>
      <c r="D9" s="37" t="s">
        <v>1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68"/>
      <c r="R9" s="41"/>
      <c r="S9" s="332">
        <f t="shared" ref="S9:S12" si="1">SUM(E9:Q9)</f>
        <v>0</v>
      </c>
      <c r="T9" s="41"/>
    </row>
    <row r="10" spans="1:21" s="37" customFormat="1" ht="12" x14ac:dyDescent="0.2">
      <c r="A10" s="45"/>
      <c r="C10" s="199">
        <v>1191</v>
      </c>
      <c r="D10" s="37" t="s">
        <v>2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68"/>
      <c r="R10" s="41"/>
      <c r="S10" s="332">
        <f t="shared" si="1"/>
        <v>0</v>
      </c>
      <c r="T10" s="41"/>
    </row>
    <row r="11" spans="1:21" s="37" customFormat="1" ht="12" x14ac:dyDescent="0.2">
      <c r="A11" s="45"/>
      <c r="C11" s="199">
        <v>1192</v>
      </c>
      <c r="D11" s="37" t="s">
        <v>3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68"/>
      <c r="R11" s="41"/>
      <c r="S11" s="332">
        <f t="shared" si="1"/>
        <v>0</v>
      </c>
      <c r="T11" s="41"/>
    </row>
    <row r="12" spans="1:21" s="37" customFormat="1" ht="12" x14ac:dyDescent="0.2">
      <c r="A12" s="45"/>
      <c r="C12" s="199">
        <v>3110</v>
      </c>
      <c r="D12" s="37" t="s">
        <v>73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68"/>
      <c r="R12" s="41"/>
      <c r="S12" s="332">
        <f t="shared" si="1"/>
        <v>0</v>
      </c>
      <c r="T12" s="41"/>
    </row>
    <row r="13" spans="1:21" s="37" customFormat="1" ht="12" x14ac:dyDescent="0.2">
      <c r="A13" s="45"/>
      <c r="C13" s="38"/>
      <c r="E13" s="73">
        <f>SUBTOTAL(9,E8:E12)</f>
        <v>0</v>
      </c>
      <c r="F13" s="73">
        <f t="shared" ref="F13:Q13" si="2">SUBTOTAL(9,F8:F12)</f>
        <v>0</v>
      </c>
      <c r="G13" s="73">
        <f t="shared" si="2"/>
        <v>0</v>
      </c>
      <c r="H13" s="73">
        <f t="shared" si="2"/>
        <v>0</v>
      </c>
      <c r="I13" s="73">
        <f t="shared" si="2"/>
        <v>0</v>
      </c>
      <c r="J13" s="73">
        <f t="shared" si="2"/>
        <v>0</v>
      </c>
      <c r="K13" s="73">
        <f t="shared" si="2"/>
        <v>0</v>
      </c>
      <c r="L13" s="73">
        <f t="shared" si="2"/>
        <v>0</v>
      </c>
      <c r="M13" s="73">
        <f t="shared" si="2"/>
        <v>0</v>
      </c>
      <c r="N13" s="73">
        <f t="shared" si="2"/>
        <v>0</v>
      </c>
      <c r="O13" s="73">
        <f t="shared" si="2"/>
        <v>0</v>
      </c>
      <c r="P13" s="73">
        <f t="shared" si="2"/>
        <v>0</v>
      </c>
      <c r="Q13" s="73">
        <f t="shared" si="2"/>
        <v>0</v>
      </c>
      <c r="R13" s="41"/>
      <c r="S13" s="333">
        <f>SUBTOTAL(9,S8:S12)</f>
        <v>0</v>
      </c>
      <c r="T13" s="41"/>
    </row>
    <row r="14" spans="1:21" s="37" customFormat="1" ht="12" x14ac:dyDescent="0.2">
      <c r="A14" s="45"/>
      <c r="C14" s="49" t="s">
        <v>171</v>
      </c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8"/>
      <c r="R14" s="41"/>
      <c r="S14" s="332"/>
      <c r="T14" s="41"/>
    </row>
    <row r="15" spans="1:21" s="37" customFormat="1" ht="12" x14ac:dyDescent="0.2">
      <c r="A15" s="45"/>
      <c r="C15" s="199">
        <v>3115</v>
      </c>
      <c r="D15" s="37" t="s">
        <v>5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68">
        <v>0</v>
      </c>
      <c r="R15" s="41"/>
      <c r="S15" s="332">
        <f t="shared" ref="S15:S21" si="3">SUM(E15:Q15)</f>
        <v>0</v>
      </c>
      <c r="T15" s="41"/>
    </row>
    <row r="16" spans="1:21" s="37" customFormat="1" ht="12" x14ac:dyDescent="0.2">
      <c r="A16" s="45"/>
      <c r="C16" s="199">
        <v>3200</v>
      </c>
      <c r="D16" s="37" t="s">
        <v>6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68">
        <v>0</v>
      </c>
      <c r="R16" s="41"/>
      <c r="S16" s="332">
        <f t="shared" si="3"/>
        <v>0</v>
      </c>
      <c r="T16" s="41"/>
    </row>
    <row r="17" spans="1:20" s="37" customFormat="1" ht="12" x14ac:dyDescent="0.2">
      <c r="A17" s="45"/>
      <c r="C17" s="38"/>
      <c r="E17" s="73">
        <f>SUBTOTAL(9,E15:E16)</f>
        <v>0</v>
      </c>
      <c r="F17" s="73">
        <f t="shared" ref="F17:S17" si="4">SUBTOTAL(9,F15:F16)</f>
        <v>0</v>
      </c>
      <c r="G17" s="73">
        <f t="shared" si="4"/>
        <v>0</v>
      </c>
      <c r="H17" s="73">
        <f t="shared" si="4"/>
        <v>0</v>
      </c>
      <c r="I17" s="73">
        <f t="shared" si="4"/>
        <v>0</v>
      </c>
      <c r="J17" s="73">
        <f t="shared" si="4"/>
        <v>0</v>
      </c>
      <c r="K17" s="73">
        <f t="shared" si="4"/>
        <v>0</v>
      </c>
      <c r="L17" s="73">
        <f t="shared" si="4"/>
        <v>0</v>
      </c>
      <c r="M17" s="73">
        <f t="shared" si="4"/>
        <v>0</v>
      </c>
      <c r="N17" s="73">
        <f t="shared" si="4"/>
        <v>0</v>
      </c>
      <c r="O17" s="73">
        <f t="shared" si="4"/>
        <v>0</v>
      </c>
      <c r="P17" s="73">
        <f t="shared" si="4"/>
        <v>0</v>
      </c>
      <c r="Q17" s="73">
        <f t="shared" si="4"/>
        <v>0</v>
      </c>
      <c r="R17" s="41"/>
      <c r="S17" s="333">
        <f t="shared" si="4"/>
        <v>0</v>
      </c>
      <c r="T17" s="41"/>
    </row>
    <row r="18" spans="1:20" s="37" customFormat="1" ht="12" x14ac:dyDescent="0.2">
      <c r="A18" s="45"/>
      <c r="C18" s="49" t="s">
        <v>149</v>
      </c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41"/>
      <c r="S18" s="332"/>
      <c r="T18" s="41"/>
    </row>
    <row r="19" spans="1:20" s="37" customFormat="1" ht="12" x14ac:dyDescent="0.2">
      <c r="A19" s="45"/>
      <c r="C19" s="199">
        <v>4500</v>
      </c>
      <c r="D19" s="37" t="s">
        <v>6</v>
      </c>
      <c r="E19" s="188">
        <v>0</v>
      </c>
      <c r="F19" s="188">
        <v>0</v>
      </c>
      <c r="G19" s="188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68">
        <v>0</v>
      </c>
      <c r="R19" s="41"/>
      <c r="S19" s="332">
        <f t="shared" si="3"/>
        <v>0</v>
      </c>
      <c r="T19" s="41"/>
    </row>
    <row r="20" spans="1:20" s="37" customFormat="1" ht="12" x14ac:dyDescent="0.2">
      <c r="A20" s="45"/>
      <c r="C20" s="199">
        <v>4571</v>
      </c>
      <c r="D20" s="37" t="s">
        <v>7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68">
        <v>0</v>
      </c>
      <c r="R20" s="41"/>
      <c r="S20" s="332">
        <f t="shared" si="3"/>
        <v>0</v>
      </c>
      <c r="T20" s="41"/>
    </row>
    <row r="21" spans="1:20" s="37" customFormat="1" ht="12" x14ac:dyDescent="0.2">
      <c r="A21" s="45"/>
      <c r="C21" s="38">
        <v>4703</v>
      </c>
      <c r="D21" s="37" t="s">
        <v>186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68">
        <v>0</v>
      </c>
      <c r="R21" s="41"/>
      <c r="S21" s="332">
        <f t="shared" si="3"/>
        <v>0</v>
      </c>
      <c r="T21" s="41"/>
    </row>
    <row r="22" spans="1:20" s="37" customFormat="1" ht="12" x14ac:dyDescent="0.2">
      <c r="A22" s="45"/>
      <c r="C22" s="38"/>
      <c r="E22" s="73">
        <f>SUBTOTAL(9,E19:E21)</f>
        <v>0</v>
      </c>
      <c r="F22" s="73">
        <f t="shared" ref="F22:P22" si="5">SUBTOTAL(9,F19:F21)</f>
        <v>0</v>
      </c>
      <c r="G22" s="73">
        <f t="shared" si="5"/>
        <v>0</v>
      </c>
      <c r="H22" s="73">
        <f t="shared" si="5"/>
        <v>0</v>
      </c>
      <c r="I22" s="73">
        <f t="shared" si="5"/>
        <v>0</v>
      </c>
      <c r="J22" s="73">
        <f t="shared" si="5"/>
        <v>0</v>
      </c>
      <c r="K22" s="73">
        <f t="shared" si="5"/>
        <v>0</v>
      </c>
      <c r="L22" s="73">
        <f t="shared" si="5"/>
        <v>0</v>
      </c>
      <c r="M22" s="73">
        <f t="shared" si="5"/>
        <v>0</v>
      </c>
      <c r="N22" s="73">
        <f t="shared" si="5"/>
        <v>0</v>
      </c>
      <c r="O22" s="73">
        <f t="shared" si="5"/>
        <v>0</v>
      </c>
      <c r="P22" s="73">
        <f t="shared" si="5"/>
        <v>0</v>
      </c>
      <c r="Q22" s="73">
        <f>SUBTOTAL(9,Q19:Q21)</f>
        <v>0</v>
      </c>
      <c r="R22" s="41"/>
      <c r="S22" s="333">
        <f>SUBTOTAL(9,S19:S21)</f>
        <v>0</v>
      </c>
      <c r="T22" s="41"/>
    </row>
    <row r="23" spans="1:20" s="37" customFormat="1" ht="12" x14ac:dyDescent="0.2">
      <c r="A23" s="45"/>
      <c r="C23" s="49" t="s">
        <v>150</v>
      </c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41"/>
      <c r="S23" s="334"/>
      <c r="T23" s="41"/>
    </row>
    <row r="24" spans="1:20" s="37" customFormat="1" ht="12" x14ac:dyDescent="0.2">
      <c r="A24" s="45"/>
      <c r="C24" s="199">
        <v>1790</v>
      </c>
      <c r="D24" s="37" t="s">
        <v>4</v>
      </c>
      <c r="E24" s="188">
        <v>0</v>
      </c>
      <c r="F24" s="188">
        <v>0</v>
      </c>
      <c r="G24" s="188">
        <v>0</v>
      </c>
      <c r="H24" s="188">
        <v>0</v>
      </c>
      <c r="I24" s="188">
        <v>0</v>
      </c>
      <c r="J24" s="188">
        <v>0</v>
      </c>
      <c r="K24" s="188">
        <v>0</v>
      </c>
      <c r="L24" s="188">
        <v>0</v>
      </c>
      <c r="M24" s="188">
        <v>0</v>
      </c>
      <c r="N24" s="188">
        <v>0</v>
      </c>
      <c r="O24" s="188">
        <v>0</v>
      </c>
      <c r="P24" s="188">
        <v>0</v>
      </c>
      <c r="Q24" s="68">
        <v>0</v>
      </c>
      <c r="R24" s="41"/>
      <c r="S24" s="332">
        <f>SUM(E24:Q24)</f>
        <v>0</v>
      </c>
      <c r="T24" s="41"/>
    </row>
    <row r="25" spans="1:20" s="37" customFormat="1" ht="12" x14ac:dyDescent="0.2">
      <c r="A25" s="45"/>
      <c r="C25" s="38"/>
      <c r="E25" s="73">
        <f>SUBTOTAL(9,E24)</f>
        <v>0</v>
      </c>
      <c r="F25" s="73">
        <f t="shared" ref="F25:S25" si="6">SUBTOTAL(9,F24)</f>
        <v>0</v>
      </c>
      <c r="G25" s="73">
        <f t="shared" si="6"/>
        <v>0</v>
      </c>
      <c r="H25" s="73">
        <f t="shared" si="6"/>
        <v>0</v>
      </c>
      <c r="I25" s="73">
        <f t="shared" si="6"/>
        <v>0</v>
      </c>
      <c r="J25" s="73">
        <f t="shared" si="6"/>
        <v>0</v>
      </c>
      <c r="K25" s="73">
        <f t="shared" si="6"/>
        <v>0</v>
      </c>
      <c r="L25" s="73">
        <f t="shared" si="6"/>
        <v>0</v>
      </c>
      <c r="M25" s="73">
        <f t="shared" si="6"/>
        <v>0</v>
      </c>
      <c r="N25" s="73">
        <f t="shared" si="6"/>
        <v>0</v>
      </c>
      <c r="O25" s="73">
        <f t="shared" si="6"/>
        <v>0</v>
      </c>
      <c r="P25" s="73">
        <f t="shared" si="6"/>
        <v>0</v>
      </c>
      <c r="Q25" s="73">
        <f t="shared" si="6"/>
        <v>0</v>
      </c>
      <c r="R25" s="41"/>
      <c r="S25" s="333">
        <f t="shared" si="6"/>
        <v>0</v>
      </c>
      <c r="T25" s="41"/>
    </row>
    <row r="26" spans="1:20" s="37" customFormat="1" ht="9" customHeight="1" x14ac:dyDescent="0.2">
      <c r="A26" s="45"/>
      <c r="C26" s="38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41"/>
      <c r="S26" s="332"/>
      <c r="T26" s="41"/>
    </row>
    <row r="27" spans="1:20" s="45" customFormat="1" ht="12" x14ac:dyDescent="0.2">
      <c r="A27" s="45" t="s">
        <v>105</v>
      </c>
      <c r="C27" s="46"/>
      <c r="E27" s="71">
        <f t="shared" ref="E27:Q27" si="7">SUBTOTAL(9,E8:E26)</f>
        <v>0</v>
      </c>
      <c r="F27" s="71">
        <f t="shared" si="7"/>
        <v>0</v>
      </c>
      <c r="G27" s="71">
        <f t="shared" si="7"/>
        <v>0</v>
      </c>
      <c r="H27" s="71">
        <f t="shared" si="7"/>
        <v>0</v>
      </c>
      <c r="I27" s="71">
        <f t="shared" si="7"/>
        <v>0</v>
      </c>
      <c r="J27" s="71">
        <f t="shared" si="7"/>
        <v>0</v>
      </c>
      <c r="K27" s="71">
        <f t="shared" si="7"/>
        <v>0</v>
      </c>
      <c r="L27" s="71">
        <f t="shared" si="7"/>
        <v>0</v>
      </c>
      <c r="M27" s="71">
        <f t="shared" si="7"/>
        <v>0</v>
      </c>
      <c r="N27" s="71">
        <f t="shared" si="7"/>
        <v>0</v>
      </c>
      <c r="O27" s="71">
        <f t="shared" si="7"/>
        <v>0</v>
      </c>
      <c r="P27" s="71">
        <f t="shared" si="7"/>
        <v>0</v>
      </c>
      <c r="Q27" s="69">
        <f t="shared" si="7"/>
        <v>0</v>
      </c>
      <c r="R27" s="48"/>
      <c r="S27" s="335">
        <f>SUBTOTAL(9,S8:S26)</f>
        <v>0</v>
      </c>
      <c r="T27" s="48"/>
    </row>
    <row r="28" spans="1:20" s="45" customFormat="1" ht="12" x14ac:dyDescent="0.2">
      <c r="C28" s="46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67"/>
      <c r="R28" s="48"/>
      <c r="S28" s="332"/>
      <c r="T28" s="48"/>
    </row>
    <row r="29" spans="1:20" s="37" customFormat="1" ht="12" x14ac:dyDescent="0.2">
      <c r="A29" s="45" t="s">
        <v>59</v>
      </c>
      <c r="C29" s="38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41"/>
      <c r="S29" s="332"/>
      <c r="T29" s="41"/>
    </row>
    <row r="30" spans="1:20" s="37" customFormat="1" ht="12" x14ac:dyDescent="0.2">
      <c r="C30" s="49" t="s">
        <v>8</v>
      </c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41"/>
      <c r="S30" s="332"/>
      <c r="T30" s="41"/>
    </row>
    <row r="31" spans="1:20" s="37" customFormat="1" ht="12" x14ac:dyDescent="0.2">
      <c r="C31" s="199">
        <v>6111</v>
      </c>
      <c r="D31" s="37" t="s">
        <v>192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68">
        <v>0</v>
      </c>
      <c r="R31" s="41"/>
      <c r="S31" s="332">
        <f t="shared" ref="S31:S40" si="8">SUM(E31:Q31)</f>
        <v>0</v>
      </c>
      <c r="T31" s="41"/>
    </row>
    <row r="32" spans="1:20" s="37" customFormat="1" ht="12" x14ac:dyDescent="0.2">
      <c r="C32" s="199">
        <v>6114</v>
      </c>
      <c r="D32" s="37" t="s">
        <v>193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68">
        <v>0</v>
      </c>
      <c r="R32" s="41"/>
      <c r="S32" s="332">
        <f t="shared" si="8"/>
        <v>0</v>
      </c>
      <c r="T32" s="41"/>
    </row>
    <row r="33" spans="3:20" s="37" customFormat="1" ht="12" x14ac:dyDescent="0.2">
      <c r="C33" s="199">
        <v>6117</v>
      </c>
      <c r="D33" s="37" t="s">
        <v>229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68">
        <v>0</v>
      </c>
      <c r="R33" s="41"/>
      <c r="S33" s="332">
        <f t="shared" si="8"/>
        <v>0</v>
      </c>
      <c r="T33" s="41"/>
    </row>
    <row r="34" spans="3:20" s="37" customFormat="1" ht="12" x14ac:dyDescent="0.2">
      <c r="C34" s="199">
        <v>6127</v>
      </c>
      <c r="D34" s="37" t="s">
        <v>230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188">
        <v>0</v>
      </c>
      <c r="P34" s="188">
        <v>0</v>
      </c>
      <c r="Q34" s="68">
        <v>0</v>
      </c>
      <c r="R34" s="41"/>
      <c r="S34" s="332">
        <f t="shared" si="8"/>
        <v>0</v>
      </c>
      <c r="T34" s="41"/>
    </row>
    <row r="35" spans="3:20" s="37" customFormat="1" ht="12" x14ac:dyDescent="0.2">
      <c r="C35" s="199">
        <v>6151</v>
      </c>
      <c r="D35" s="37" t="s">
        <v>190</v>
      </c>
      <c r="E35" s="188">
        <v>0</v>
      </c>
      <c r="F35" s="188">
        <v>0</v>
      </c>
      <c r="G35" s="188">
        <v>0</v>
      </c>
      <c r="H35" s="188">
        <v>0</v>
      </c>
      <c r="I35" s="188">
        <v>0</v>
      </c>
      <c r="J35" s="188">
        <v>0</v>
      </c>
      <c r="K35" s="188">
        <v>0</v>
      </c>
      <c r="L35" s="188">
        <v>0</v>
      </c>
      <c r="M35" s="188">
        <v>0</v>
      </c>
      <c r="N35" s="188">
        <v>0</v>
      </c>
      <c r="O35" s="188">
        <v>0</v>
      </c>
      <c r="P35" s="188">
        <v>0</v>
      </c>
      <c r="Q35" s="68">
        <v>0</v>
      </c>
      <c r="R35" s="41"/>
      <c r="S35" s="332">
        <f t="shared" si="8"/>
        <v>0</v>
      </c>
      <c r="T35" s="41"/>
    </row>
    <row r="36" spans="3:20" s="37" customFormat="1" ht="12" x14ac:dyDescent="0.2">
      <c r="C36" s="199">
        <v>6154</v>
      </c>
      <c r="D36" s="37" t="s">
        <v>191</v>
      </c>
      <c r="E36" s="188">
        <v>0</v>
      </c>
      <c r="F36" s="188">
        <v>0</v>
      </c>
      <c r="G36" s="188">
        <v>0</v>
      </c>
      <c r="H36" s="188">
        <v>0</v>
      </c>
      <c r="I36" s="188">
        <v>0</v>
      </c>
      <c r="J36" s="188">
        <v>0</v>
      </c>
      <c r="K36" s="188">
        <v>0</v>
      </c>
      <c r="L36" s="188">
        <v>0</v>
      </c>
      <c r="M36" s="188">
        <v>0</v>
      </c>
      <c r="N36" s="188">
        <v>0</v>
      </c>
      <c r="O36" s="188">
        <v>0</v>
      </c>
      <c r="P36" s="188">
        <v>0</v>
      </c>
      <c r="Q36" s="68">
        <v>0</v>
      </c>
      <c r="R36" s="41"/>
      <c r="S36" s="332">
        <f t="shared" si="8"/>
        <v>0</v>
      </c>
      <c r="T36" s="41"/>
    </row>
    <row r="37" spans="3:20" s="37" customFormat="1" ht="12" x14ac:dyDescent="0.2">
      <c r="C37" s="199">
        <v>6157</v>
      </c>
      <c r="D37" s="37" t="s">
        <v>231</v>
      </c>
      <c r="E37" s="188">
        <v>0</v>
      </c>
      <c r="F37" s="188">
        <v>0</v>
      </c>
      <c r="G37" s="188">
        <v>0</v>
      </c>
      <c r="H37" s="188">
        <v>0</v>
      </c>
      <c r="I37" s="188">
        <v>0</v>
      </c>
      <c r="J37" s="188">
        <v>0</v>
      </c>
      <c r="K37" s="188">
        <v>0</v>
      </c>
      <c r="L37" s="188">
        <v>0</v>
      </c>
      <c r="M37" s="188">
        <v>0</v>
      </c>
      <c r="N37" s="188">
        <v>0</v>
      </c>
      <c r="O37" s="188">
        <v>0</v>
      </c>
      <c r="P37" s="188">
        <v>0</v>
      </c>
      <c r="Q37" s="68">
        <v>0</v>
      </c>
      <c r="R37" s="41"/>
      <c r="S37" s="332">
        <f t="shared" si="8"/>
        <v>0</v>
      </c>
      <c r="T37" s="41"/>
    </row>
    <row r="38" spans="3:20" s="37" customFormat="1" ht="12" x14ac:dyDescent="0.2">
      <c r="C38" s="199">
        <v>6161</v>
      </c>
      <c r="D38" s="37" t="s">
        <v>97</v>
      </c>
      <c r="E38" s="188">
        <v>0</v>
      </c>
      <c r="F38" s="188">
        <v>0</v>
      </c>
      <c r="G38" s="188">
        <v>0</v>
      </c>
      <c r="H38" s="188">
        <v>0</v>
      </c>
      <c r="I38" s="188">
        <v>0</v>
      </c>
      <c r="J38" s="188">
        <v>0</v>
      </c>
      <c r="K38" s="188">
        <v>0</v>
      </c>
      <c r="L38" s="188">
        <v>0</v>
      </c>
      <c r="M38" s="188">
        <v>0</v>
      </c>
      <c r="N38" s="188">
        <v>0</v>
      </c>
      <c r="O38" s="188">
        <v>0</v>
      </c>
      <c r="P38" s="188">
        <v>0</v>
      </c>
      <c r="Q38" s="68">
        <v>0</v>
      </c>
      <c r="R38" s="41"/>
      <c r="S38" s="332">
        <f t="shared" si="8"/>
        <v>0</v>
      </c>
      <c r="T38" s="41"/>
    </row>
    <row r="39" spans="3:20" s="37" customFormat="1" ht="12" x14ac:dyDescent="0.2">
      <c r="C39" s="199">
        <v>6164</v>
      </c>
      <c r="D39" s="37" t="s">
        <v>98</v>
      </c>
      <c r="E39" s="188">
        <v>0</v>
      </c>
      <c r="F39" s="188">
        <v>0</v>
      </c>
      <c r="G39" s="188">
        <v>0</v>
      </c>
      <c r="H39" s="188">
        <v>0</v>
      </c>
      <c r="I39" s="188">
        <v>0</v>
      </c>
      <c r="J39" s="188">
        <v>0</v>
      </c>
      <c r="K39" s="188">
        <v>0</v>
      </c>
      <c r="L39" s="188">
        <v>0</v>
      </c>
      <c r="M39" s="188">
        <v>0</v>
      </c>
      <c r="N39" s="188">
        <v>0</v>
      </c>
      <c r="O39" s="188">
        <v>0</v>
      </c>
      <c r="P39" s="188">
        <v>0</v>
      </c>
      <c r="Q39" s="68">
        <v>0</v>
      </c>
      <c r="R39" s="41"/>
      <c r="S39" s="332">
        <f t="shared" si="8"/>
        <v>0</v>
      </c>
      <c r="T39" s="41"/>
    </row>
    <row r="40" spans="3:20" s="37" customFormat="1" ht="12" x14ac:dyDescent="0.2">
      <c r="C40" s="199">
        <v>6167</v>
      </c>
      <c r="D40" s="37" t="s">
        <v>232</v>
      </c>
      <c r="E40" s="188">
        <v>0</v>
      </c>
      <c r="F40" s="188">
        <v>0</v>
      </c>
      <c r="G40" s="188">
        <v>0</v>
      </c>
      <c r="H40" s="188">
        <v>0</v>
      </c>
      <c r="I40" s="188">
        <v>0</v>
      </c>
      <c r="J40" s="188">
        <v>0</v>
      </c>
      <c r="K40" s="188">
        <v>0</v>
      </c>
      <c r="L40" s="188">
        <v>0</v>
      </c>
      <c r="M40" s="188">
        <v>0</v>
      </c>
      <c r="N40" s="188">
        <v>0</v>
      </c>
      <c r="O40" s="188">
        <v>0</v>
      </c>
      <c r="P40" s="188">
        <v>0</v>
      </c>
      <c r="Q40" s="68">
        <v>0</v>
      </c>
      <c r="R40" s="41"/>
      <c r="S40" s="332">
        <f t="shared" si="8"/>
        <v>0</v>
      </c>
      <c r="T40" s="41"/>
    </row>
    <row r="41" spans="3:20" s="37" customFormat="1" ht="12" x14ac:dyDescent="0.2">
      <c r="C41" s="38"/>
      <c r="E41" s="73">
        <f t="shared" ref="E41:Q41" si="9">SUBTOTAL(9,E31:E40)</f>
        <v>0</v>
      </c>
      <c r="F41" s="73">
        <f t="shared" si="9"/>
        <v>0</v>
      </c>
      <c r="G41" s="73">
        <f t="shared" si="9"/>
        <v>0</v>
      </c>
      <c r="H41" s="73">
        <f t="shared" si="9"/>
        <v>0</v>
      </c>
      <c r="I41" s="73">
        <f t="shared" si="9"/>
        <v>0</v>
      </c>
      <c r="J41" s="73">
        <f t="shared" si="9"/>
        <v>0</v>
      </c>
      <c r="K41" s="73">
        <f t="shared" si="9"/>
        <v>0</v>
      </c>
      <c r="L41" s="73">
        <f t="shared" si="9"/>
        <v>0</v>
      </c>
      <c r="M41" s="73">
        <f t="shared" si="9"/>
        <v>0</v>
      </c>
      <c r="N41" s="73">
        <f t="shared" si="9"/>
        <v>0</v>
      </c>
      <c r="O41" s="73">
        <f t="shared" si="9"/>
        <v>0</v>
      </c>
      <c r="P41" s="73">
        <f t="shared" si="9"/>
        <v>0</v>
      </c>
      <c r="Q41" s="73">
        <f t="shared" si="9"/>
        <v>0</v>
      </c>
      <c r="R41" s="41"/>
      <c r="S41" s="333">
        <f>SUBTOTAL(9,S31:S40)</f>
        <v>0</v>
      </c>
      <c r="T41" s="41"/>
    </row>
    <row r="42" spans="3:20" s="37" customFormat="1" ht="12" x14ac:dyDescent="0.2">
      <c r="C42" s="49" t="s">
        <v>99</v>
      </c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41"/>
      <c r="S42" s="332"/>
      <c r="T42" s="41"/>
    </row>
    <row r="43" spans="3:20" s="37" customFormat="1" ht="12" x14ac:dyDescent="0.2">
      <c r="C43" s="199">
        <v>6211</v>
      </c>
      <c r="D43" s="37" t="s">
        <v>199</v>
      </c>
      <c r="E43" s="188">
        <v>0</v>
      </c>
      <c r="F43" s="188">
        <v>0</v>
      </c>
      <c r="G43" s="188">
        <v>0</v>
      </c>
      <c r="H43" s="188">
        <v>0</v>
      </c>
      <c r="I43" s="188">
        <v>0</v>
      </c>
      <c r="J43" s="188">
        <v>0</v>
      </c>
      <c r="K43" s="188">
        <v>0</v>
      </c>
      <c r="L43" s="188">
        <v>0</v>
      </c>
      <c r="M43" s="188">
        <v>0</v>
      </c>
      <c r="N43" s="188">
        <v>0</v>
      </c>
      <c r="O43" s="188">
        <v>0</v>
      </c>
      <c r="P43" s="188">
        <v>0</v>
      </c>
      <c r="Q43" s="68">
        <v>0</v>
      </c>
      <c r="R43" s="41"/>
      <c r="S43" s="332">
        <f>SUM(E43:Q43)</f>
        <v>0</v>
      </c>
      <c r="T43" s="41"/>
    </row>
    <row r="44" spans="3:20" s="37" customFormat="1" ht="12" x14ac:dyDescent="0.2">
      <c r="C44" s="199">
        <v>6214</v>
      </c>
      <c r="D44" s="37" t="s">
        <v>200</v>
      </c>
      <c r="E44" s="188">
        <v>0</v>
      </c>
      <c r="F44" s="188">
        <v>0</v>
      </c>
      <c r="G44" s="188">
        <v>0</v>
      </c>
      <c r="H44" s="188">
        <v>0</v>
      </c>
      <c r="I44" s="188">
        <v>0</v>
      </c>
      <c r="J44" s="188">
        <v>0</v>
      </c>
      <c r="K44" s="188">
        <v>0</v>
      </c>
      <c r="L44" s="188">
        <v>0</v>
      </c>
      <c r="M44" s="188">
        <v>0</v>
      </c>
      <c r="N44" s="188">
        <v>0</v>
      </c>
      <c r="O44" s="188">
        <v>0</v>
      </c>
      <c r="P44" s="188">
        <v>0</v>
      </c>
      <c r="Q44" s="68">
        <v>0</v>
      </c>
      <c r="R44" s="41"/>
      <c r="S44" s="332">
        <f t="shared" ref="S44:S61" si="10">SUM(E44:Q44)</f>
        <v>0</v>
      </c>
      <c r="T44" s="41"/>
    </row>
    <row r="45" spans="3:20" s="37" customFormat="1" ht="12" x14ac:dyDescent="0.2">
      <c r="C45" s="199">
        <v>6217</v>
      </c>
      <c r="D45" s="37" t="s">
        <v>223</v>
      </c>
      <c r="E45" s="188">
        <v>0</v>
      </c>
      <c r="F45" s="188">
        <v>0</v>
      </c>
      <c r="G45" s="188">
        <v>0</v>
      </c>
      <c r="H45" s="188">
        <v>0</v>
      </c>
      <c r="I45" s="188">
        <v>0</v>
      </c>
      <c r="J45" s="188">
        <v>0</v>
      </c>
      <c r="K45" s="188">
        <v>0</v>
      </c>
      <c r="L45" s="188">
        <v>0</v>
      </c>
      <c r="M45" s="188">
        <v>0</v>
      </c>
      <c r="N45" s="188">
        <v>0</v>
      </c>
      <c r="O45" s="188">
        <v>0</v>
      </c>
      <c r="P45" s="188">
        <v>0</v>
      </c>
      <c r="Q45" s="68">
        <v>0</v>
      </c>
      <c r="R45" s="41"/>
      <c r="S45" s="332">
        <f t="shared" si="10"/>
        <v>0</v>
      </c>
      <c r="T45" s="41"/>
    </row>
    <row r="46" spans="3:20" s="37" customFormat="1" ht="12" x14ac:dyDescent="0.2">
      <c r="C46" s="199">
        <v>6227</v>
      </c>
      <c r="D46" s="37" t="s">
        <v>222</v>
      </c>
      <c r="E46" s="188">
        <v>0</v>
      </c>
      <c r="F46" s="188">
        <v>0</v>
      </c>
      <c r="G46" s="188">
        <v>0</v>
      </c>
      <c r="H46" s="188">
        <v>0</v>
      </c>
      <c r="I46" s="188">
        <v>0</v>
      </c>
      <c r="J46" s="188">
        <v>0</v>
      </c>
      <c r="K46" s="188">
        <v>0</v>
      </c>
      <c r="L46" s="188">
        <v>0</v>
      </c>
      <c r="M46" s="188">
        <v>0</v>
      </c>
      <c r="N46" s="188">
        <v>0</v>
      </c>
      <c r="O46" s="188">
        <v>0</v>
      </c>
      <c r="P46" s="188">
        <v>0</v>
      </c>
      <c r="Q46" s="68">
        <v>0</v>
      </c>
      <c r="R46" s="41"/>
      <c r="S46" s="332">
        <f t="shared" si="10"/>
        <v>0</v>
      </c>
      <c r="T46" s="41"/>
    </row>
    <row r="47" spans="3:20" s="37" customFormat="1" ht="12" x14ac:dyDescent="0.2">
      <c r="C47" s="199">
        <v>6231</v>
      </c>
      <c r="D47" s="37" t="s">
        <v>206</v>
      </c>
      <c r="E47" s="188">
        <v>0</v>
      </c>
      <c r="F47" s="188">
        <v>0</v>
      </c>
      <c r="G47" s="188">
        <v>0</v>
      </c>
      <c r="H47" s="188">
        <v>0</v>
      </c>
      <c r="I47" s="188">
        <v>0</v>
      </c>
      <c r="J47" s="188">
        <v>0</v>
      </c>
      <c r="K47" s="188">
        <v>0</v>
      </c>
      <c r="L47" s="188">
        <v>0</v>
      </c>
      <c r="M47" s="188">
        <v>0</v>
      </c>
      <c r="N47" s="188">
        <v>0</v>
      </c>
      <c r="O47" s="188">
        <v>0</v>
      </c>
      <c r="P47" s="188">
        <v>0</v>
      </c>
      <c r="Q47" s="68">
        <v>0</v>
      </c>
      <c r="R47" s="41"/>
      <c r="S47" s="332">
        <f t="shared" si="10"/>
        <v>0</v>
      </c>
      <c r="T47" s="41"/>
    </row>
    <row r="48" spans="3:20" s="37" customFormat="1" ht="12" x14ac:dyDescent="0.2">
      <c r="C48" s="199">
        <v>6234</v>
      </c>
      <c r="D48" s="37" t="s">
        <v>207</v>
      </c>
      <c r="E48" s="188">
        <v>0</v>
      </c>
      <c r="F48" s="188">
        <v>0</v>
      </c>
      <c r="G48" s="188">
        <v>0</v>
      </c>
      <c r="H48" s="188">
        <v>0</v>
      </c>
      <c r="I48" s="188">
        <v>0</v>
      </c>
      <c r="J48" s="188">
        <v>0</v>
      </c>
      <c r="K48" s="188">
        <v>0</v>
      </c>
      <c r="L48" s="188">
        <v>0</v>
      </c>
      <c r="M48" s="188">
        <v>0</v>
      </c>
      <c r="N48" s="188">
        <v>0</v>
      </c>
      <c r="O48" s="188">
        <v>0</v>
      </c>
      <c r="P48" s="188">
        <v>0</v>
      </c>
      <c r="Q48" s="68">
        <v>0</v>
      </c>
      <c r="R48" s="41"/>
      <c r="S48" s="332">
        <f t="shared" si="10"/>
        <v>0</v>
      </c>
      <c r="T48" s="41"/>
    </row>
    <row r="49" spans="3:20" s="37" customFormat="1" ht="12" x14ac:dyDescent="0.2">
      <c r="C49" s="199">
        <v>6237</v>
      </c>
      <c r="D49" s="37" t="s">
        <v>224</v>
      </c>
      <c r="E49" s="188">
        <v>0</v>
      </c>
      <c r="F49" s="188">
        <v>0</v>
      </c>
      <c r="G49" s="188">
        <v>0</v>
      </c>
      <c r="H49" s="188">
        <v>0</v>
      </c>
      <c r="I49" s="188">
        <v>0</v>
      </c>
      <c r="J49" s="188">
        <v>0</v>
      </c>
      <c r="K49" s="188">
        <v>0</v>
      </c>
      <c r="L49" s="188">
        <v>0</v>
      </c>
      <c r="M49" s="188">
        <v>0</v>
      </c>
      <c r="N49" s="188">
        <v>0</v>
      </c>
      <c r="O49" s="188">
        <v>0</v>
      </c>
      <c r="P49" s="188">
        <v>0</v>
      </c>
      <c r="Q49" s="68">
        <v>0</v>
      </c>
      <c r="R49" s="41"/>
      <c r="S49" s="332">
        <f t="shared" si="10"/>
        <v>0</v>
      </c>
      <c r="T49" s="41"/>
    </row>
    <row r="50" spans="3:20" s="37" customFormat="1" ht="12" x14ac:dyDescent="0.2">
      <c r="C50" s="199">
        <v>6241</v>
      </c>
      <c r="D50" s="37" t="s">
        <v>197</v>
      </c>
      <c r="E50" s="188">
        <v>0</v>
      </c>
      <c r="F50" s="188">
        <v>0</v>
      </c>
      <c r="G50" s="188">
        <v>0</v>
      </c>
      <c r="H50" s="188">
        <v>0</v>
      </c>
      <c r="I50" s="188">
        <v>0</v>
      </c>
      <c r="J50" s="188">
        <v>0</v>
      </c>
      <c r="K50" s="188">
        <v>0</v>
      </c>
      <c r="L50" s="188">
        <v>0</v>
      </c>
      <c r="M50" s="188">
        <v>0</v>
      </c>
      <c r="N50" s="188">
        <v>0</v>
      </c>
      <c r="O50" s="188">
        <v>0</v>
      </c>
      <c r="P50" s="188">
        <v>0</v>
      </c>
      <c r="Q50" s="68">
        <v>0</v>
      </c>
      <c r="R50" s="41"/>
      <c r="S50" s="332">
        <f t="shared" si="10"/>
        <v>0</v>
      </c>
      <c r="T50" s="41"/>
    </row>
    <row r="51" spans="3:20" s="37" customFormat="1" ht="12" x14ac:dyDescent="0.2">
      <c r="C51" s="199">
        <v>6244</v>
      </c>
      <c r="D51" s="37" t="s">
        <v>198</v>
      </c>
      <c r="E51" s="188">
        <v>0</v>
      </c>
      <c r="F51" s="188">
        <v>0</v>
      </c>
      <c r="G51" s="188">
        <v>0</v>
      </c>
      <c r="H51" s="188">
        <v>0</v>
      </c>
      <c r="I51" s="188">
        <v>0</v>
      </c>
      <c r="J51" s="188">
        <v>0</v>
      </c>
      <c r="K51" s="188">
        <v>0</v>
      </c>
      <c r="L51" s="188">
        <v>0</v>
      </c>
      <c r="M51" s="188">
        <v>0</v>
      </c>
      <c r="N51" s="188">
        <v>0</v>
      </c>
      <c r="O51" s="188">
        <v>0</v>
      </c>
      <c r="P51" s="188">
        <v>0</v>
      </c>
      <c r="Q51" s="68">
        <v>0</v>
      </c>
      <c r="R51" s="41"/>
      <c r="S51" s="332">
        <f t="shared" si="10"/>
        <v>0</v>
      </c>
      <c r="T51" s="41"/>
    </row>
    <row r="52" spans="3:20" s="37" customFormat="1" ht="12" x14ac:dyDescent="0.2">
      <c r="C52" s="199">
        <v>6247</v>
      </c>
      <c r="D52" s="37" t="s">
        <v>225</v>
      </c>
      <c r="E52" s="188">
        <v>0</v>
      </c>
      <c r="F52" s="188">
        <v>0</v>
      </c>
      <c r="G52" s="188">
        <v>0</v>
      </c>
      <c r="H52" s="188">
        <v>0</v>
      </c>
      <c r="I52" s="188">
        <v>0</v>
      </c>
      <c r="J52" s="188">
        <v>0</v>
      </c>
      <c r="K52" s="188">
        <v>0</v>
      </c>
      <c r="L52" s="188">
        <v>0</v>
      </c>
      <c r="M52" s="188">
        <v>0</v>
      </c>
      <c r="N52" s="188">
        <v>0</v>
      </c>
      <c r="O52" s="188">
        <v>0</v>
      </c>
      <c r="P52" s="188">
        <v>0</v>
      </c>
      <c r="Q52" s="68">
        <v>0</v>
      </c>
      <c r="R52" s="41"/>
      <c r="S52" s="332">
        <f t="shared" si="10"/>
        <v>0</v>
      </c>
      <c r="T52" s="41"/>
    </row>
    <row r="53" spans="3:20" s="37" customFormat="1" ht="12" x14ac:dyDescent="0.2">
      <c r="C53" s="199">
        <v>6261</v>
      </c>
      <c r="D53" s="37" t="s">
        <v>208</v>
      </c>
      <c r="E53" s="188">
        <v>0</v>
      </c>
      <c r="F53" s="188">
        <v>0</v>
      </c>
      <c r="G53" s="188">
        <v>0</v>
      </c>
      <c r="H53" s="188">
        <v>0</v>
      </c>
      <c r="I53" s="188">
        <v>0</v>
      </c>
      <c r="J53" s="188">
        <v>0</v>
      </c>
      <c r="K53" s="188">
        <v>0</v>
      </c>
      <c r="L53" s="188">
        <v>0</v>
      </c>
      <c r="M53" s="188">
        <v>0</v>
      </c>
      <c r="N53" s="188">
        <v>0</v>
      </c>
      <c r="O53" s="188">
        <v>0</v>
      </c>
      <c r="P53" s="188">
        <v>0</v>
      </c>
      <c r="Q53" s="68">
        <v>0</v>
      </c>
      <c r="R53" s="41"/>
      <c r="S53" s="332">
        <f t="shared" si="10"/>
        <v>0</v>
      </c>
      <c r="T53" s="41"/>
    </row>
    <row r="54" spans="3:20" s="37" customFormat="1" ht="12" x14ac:dyDescent="0.2">
      <c r="C54" s="199">
        <v>6264</v>
      </c>
      <c r="D54" s="37" t="s">
        <v>209</v>
      </c>
      <c r="E54" s="188">
        <v>0</v>
      </c>
      <c r="F54" s="188">
        <v>0</v>
      </c>
      <c r="G54" s="188">
        <v>0</v>
      </c>
      <c r="H54" s="188">
        <v>0</v>
      </c>
      <c r="I54" s="188">
        <v>0</v>
      </c>
      <c r="J54" s="188">
        <v>0</v>
      </c>
      <c r="K54" s="188">
        <v>0</v>
      </c>
      <c r="L54" s="188">
        <v>0</v>
      </c>
      <c r="M54" s="188">
        <v>0</v>
      </c>
      <c r="N54" s="188">
        <v>0</v>
      </c>
      <c r="O54" s="188">
        <v>0</v>
      </c>
      <c r="P54" s="188">
        <v>0</v>
      </c>
      <c r="Q54" s="68">
        <v>0</v>
      </c>
      <c r="R54" s="41"/>
      <c r="S54" s="332">
        <f t="shared" si="10"/>
        <v>0</v>
      </c>
      <c r="T54" s="41"/>
    </row>
    <row r="55" spans="3:20" s="37" customFormat="1" ht="12" x14ac:dyDescent="0.2">
      <c r="C55" s="199">
        <v>6267</v>
      </c>
      <c r="D55" s="37" t="s">
        <v>226</v>
      </c>
      <c r="E55" s="188">
        <v>0</v>
      </c>
      <c r="F55" s="188">
        <v>0</v>
      </c>
      <c r="G55" s="188">
        <v>0</v>
      </c>
      <c r="H55" s="188">
        <v>0</v>
      </c>
      <c r="I55" s="188">
        <v>0</v>
      </c>
      <c r="J55" s="188">
        <v>0</v>
      </c>
      <c r="K55" s="188">
        <v>0</v>
      </c>
      <c r="L55" s="188">
        <v>0</v>
      </c>
      <c r="M55" s="188">
        <v>0</v>
      </c>
      <c r="N55" s="188">
        <v>0</v>
      </c>
      <c r="O55" s="188">
        <v>0</v>
      </c>
      <c r="P55" s="188">
        <v>0</v>
      </c>
      <c r="Q55" s="68">
        <v>0</v>
      </c>
      <c r="R55" s="41"/>
      <c r="S55" s="332">
        <f t="shared" si="10"/>
        <v>0</v>
      </c>
      <c r="T55" s="41"/>
    </row>
    <row r="56" spans="3:20" s="37" customFormat="1" ht="12" x14ac:dyDescent="0.2">
      <c r="C56" s="199">
        <v>6271</v>
      </c>
      <c r="D56" s="37" t="s">
        <v>210</v>
      </c>
      <c r="E56" s="188">
        <v>0</v>
      </c>
      <c r="F56" s="188">
        <v>0</v>
      </c>
      <c r="G56" s="188">
        <v>0</v>
      </c>
      <c r="H56" s="188">
        <v>0</v>
      </c>
      <c r="I56" s="188">
        <v>0</v>
      </c>
      <c r="J56" s="188">
        <v>0</v>
      </c>
      <c r="K56" s="188">
        <v>0</v>
      </c>
      <c r="L56" s="188">
        <v>0</v>
      </c>
      <c r="M56" s="188">
        <v>0</v>
      </c>
      <c r="N56" s="188">
        <v>0</v>
      </c>
      <c r="O56" s="188">
        <v>0</v>
      </c>
      <c r="P56" s="188">
        <v>0</v>
      </c>
      <c r="Q56" s="68">
        <v>0</v>
      </c>
      <c r="R56" s="41"/>
      <c r="S56" s="332">
        <f t="shared" si="10"/>
        <v>0</v>
      </c>
      <c r="T56" s="41"/>
    </row>
    <row r="57" spans="3:20" s="37" customFormat="1" ht="12" x14ac:dyDescent="0.2">
      <c r="C57" s="199">
        <v>6274</v>
      </c>
      <c r="D57" s="37" t="s">
        <v>211</v>
      </c>
      <c r="E57" s="188">
        <v>0</v>
      </c>
      <c r="F57" s="188">
        <v>0</v>
      </c>
      <c r="G57" s="188">
        <v>0</v>
      </c>
      <c r="H57" s="188">
        <v>0</v>
      </c>
      <c r="I57" s="188">
        <v>0</v>
      </c>
      <c r="J57" s="188">
        <v>0</v>
      </c>
      <c r="K57" s="188">
        <v>0</v>
      </c>
      <c r="L57" s="188">
        <v>0</v>
      </c>
      <c r="M57" s="188">
        <v>0</v>
      </c>
      <c r="N57" s="188">
        <v>0</v>
      </c>
      <c r="O57" s="188">
        <v>0</v>
      </c>
      <c r="P57" s="188">
        <v>0</v>
      </c>
      <c r="Q57" s="68">
        <v>0</v>
      </c>
      <c r="R57" s="41"/>
      <c r="S57" s="332">
        <f t="shared" si="10"/>
        <v>0</v>
      </c>
      <c r="T57" s="41"/>
    </row>
    <row r="58" spans="3:20" s="37" customFormat="1" ht="12" x14ac:dyDescent="0.2">
      <c r="C58" s="199">
        <v>6277</v>
      </c>
      <c r="D58" s="37" t="s">
        <v>227</v>
      </c>
      <c r="E58" s="188">
        <v>0</v>
      </c>
      <c r="F58" s="188">
        <v>0</v>
      </c>
      <c r="G58" s="188">
        <v>0</v>
      </c>
      <c r="H58" s="188">
        <v>0</v>
      </c>
      <c r="I58" s="188">
        <v>0</v>
      </c>
      <c r="J58" s="188">
        <v>0</v>
      </c>
      <c r="K58" s="188">
        <v>0</v>
      </c>
      <c r="L58" s="188">
        <v>0</v>
      </c>
      <c r="M58" s="188">
        <v>0</v>
      </c>
      <c r="N58" s="188">
        <v>0</v>
      </c>
      <c r="O58" s="188">
        <v>0</v>
      </c>
      <c r="P58" s="188">
        <v>0</v>
      </c>
      <c r="Q58" s="68">
        <v>0</v>
      </c>
      <c r="R58" s="41"/>
      <c r="S58" s="332">
        <f t="shared" si="10"/>
        <v>0</v>
      </c>
      <c r="T58" s="41"/>
    </row>
    <row r="59" spans="3:20" s="37" customFormat="1" ht="12" x14ac:dyDescent="0.2">
      <c r="C59" s="199">
        <v>6281</v>
      </c>
      <c r="D59" s="37" t="s">
        <v>194</v>
      </c>
      <c r="E59" s="188">
        <v>0</v>
      </c>
      <c r="F59" s="188">
        <v>0</v>
      </c>
      <c r="G59" s="188">
        <v>0</v>
      </c>
      <c r="H59" s="188">
        <v>0</v>
      </c>
      <c r="I59" s="188">
        <v>0</v>
      </c>
      <c r="J59" s="188">
        <v>0</v>
      </c>
      <c r="K59" s="188">
        <v>0</v>
      </c>
      <c r="L59" s="188">
        <v>0</v>
      </c>
      <c r="M59" s="188">
        <v>0</v>
      </c>
      <c r="N59" s="188">
        <v>0</v>
      </c>
      <c r="O59" s="188">
        <v>0</v>
      </c>
      <c r="P59" s="188">
        <v>0</v>
      </c>
      <c r="Q59" s="68">
        <v>0</v>
      </c>
      <c r="R59" s="41"/>
      <c r="S59" s="332">
        <f t="shared" si="10"/>
        <v>0</v>
      </c>
      <c r="T59" s="41"/>
    </row>
    <row r="60" spans="3:20" s="37" customFormat="1" ht="12" x14ac:dyDescent="0.2">
      <c r="C60" s="199">
        <v>6284</v>
      </c>
      <c r="D60" s="37" t="s">
        <v>195</v>
      </c>
      <c r="E60" s="188">
        <v>0</v>
      </c>
      <c r="F60" s="188">
        <v>0</v>
      </c>
      <c r="G60" s="188">
        <v>0</v>
      </c>
      <c r="H60" s="188">
        <v>0</v>
      </c>
      <c r="I60" s="188">
        <v>0</v>
      </c>
      <c r="J60" s="188">
        <v>0</v>
      </c>
      <c r="K60" s="188">
        <v>0</v>
      </c>
      <c r="L60" s="188">
        <v>0</v>
      </c>
      <c r="M60" s="188">
        <v>0</v>
      </c>
      <c r="N60" s="188">
        <v>0</v>
      </c>
      <c r="O60" s="188">
        <v>0</v>
      </c>
      <c r="P60" s="188">
        <v>0</v>
      </c>
      <c r="Q60" s="68">
        <v>0</v>
      </c>
      <c r="R60" s="41"/>
      <c r="S60" s="332">
        <f t="shared" si="10"/>
        <v>0</v>
      </c>
      <c r="T60" s="41"/>
    </row>
    <row r="61" spans="3:20" s="37" customFormat="1" ht="12" x14ac:dyDescent="0.2">
      <c r="C61" s="199">
        <v>6287</v>
      </c>
      <c r="D61" s="37" t="s">
        <v>228</v>
      </c>
      <c r="E61" s="188">
        <v>0</v>
      </c>
      <c r="F61" s="188">
        <v>0</v>
      </c>
      <c r="G61" s="188">
        <v>0</v>
      </c>
      <c r="H61" s="188">
        <v>0</v>
      </c>
      <c r="I61" s="188">
        <v>0</v>
      </c>
      <c r="J61" s="188">
        <v>0</v>
      </c>
      <c r="K61" s="188">
        <v>0</v>
      </c>
      <c r="L61" s="188">
        <v>0</v>
      </c>
      <c r="M61" s="188">
        <v>0</v>
      </c>
      <c r="N61" s="188">
        <v>0</v>
      </c>
      <c r="O61" s="188">
        <v>0</v>
      </c>
      <c r="P61" s="188">
        <v>0</v>
      </c>
      <c r="Q61" s="68">
        <v>0</v>
      </c>
      <c r="R61" s="41"/>
      <c r="S61" s="332">
        <f t="shared" si="10"/>
        <v>0</v>
      </c>
      <c r="T61" s="41"/>
    </row>
    <row r="62" spans="3:20" s="37" customFormat="1" ht="12" x14ac:dyDescent="0.2">
      <c r="C62" s="38"/>
      <c r="E62" s="73">
        <f t="shared" ref="E62:Q62" si="11">SUBTOTAL(9,E43:E61)</f>
        <v>0</v>
      </c>
      <c r="F62" s="73">
        <f t="shared" si="11"/>
        <v>0</v>
      </c>
      <c r="G62" s="73">
        <f t="shared" si="11"/>
        <v>0</v>
      </c>
      <c r="H62" s="73">
        <f t="shared" si="11"/>
        <v>0</v>
      </c>
      <c r="I62" s="73">
        <f t="shared" si="11"/>
        <v>0</v>
      </c>
      <c r="J62" s="73">
        <f t="shared" si="11"/>
        <v>0</v>
      </c>
      <c r="K62" s="73">
        <f t="shared" si="11"/>
        <v>0</v>
      </c>
      <c r="L62" s="73">
        <f t="shared" si="11"/>
        <v>0</v>
      </c>
      <c r="M62" s="73">
        <f t="shared" si="11"/>
        <v>0</v>
      </c>
      <c r="N62" s="73">
        <f t="shared" si="11"/>
        <v>0</v>
      </c>
      <c r="O62" s="73">
        <f t="shared" si="11"/>
        <v>0</v>
      </c>
      <c r="P62" s="73">
        <f t="shared" si="11"/>
        <v>0</v>
      </c>
      <c r="Q62" s="73">
        <f t="shared" si="11"/>
        <v>0</v>
      </c>
      <c r="R62" s="41"/>
      <c r="S62" s="333">
        <f>SUBTOTAL(9,S43:S61)</f>
        <v>0</v>
      </c>
      <c r="T62" s="41"/>
    </row>
    <row r="63" spans="3:20" s="37" customFormat="1" ht="12" x14ac:dyDescent="0.2">
      <c r="C63" s="49" t="s">
        <v>9</v>
      </c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41"/>
      <c r="S63" s="332"/>
      <c r="T63" s="41"/>
    </row>
    <row r="64" spans="3:20" s="37" customFormat="1" ht="12" x14ac:dyDescent="0.2">
      <c r="C64" s="199">
        <v>6300</v>
      </c>
      <c r="D64" s="37" t="s">
        <v>9</v>
      </c>
      <c r="E64" s="188">
        <v>0</v>
      </c>
      <c r="F64" s="188">
        <v>0</v>
      </c>
      <c r="G64" s="188">
        <v>0</v>
      </c>
      <c r="H64" s="188">
        <v>0</v>
      </c>
      <c r="I64" s="188">
        <v>0</v>
      </c>
      <c r="J64" s="188">
        <v>0</v>
      </c>
      <c r="K64" s="188">
        <v>0</v>
      </c>
      <c r="L64" s="188">
        <v>0</v>
      </c>
      <c r="M64" s="188">
        <v>0</v>
      </c>
      <c r="N64" s="188">
        <v>0</v>
      </c>
      <c r="O64" s="188">
        <v>0</v>
      </c>
      <c r="P64" s="188">
        <v>0</v>
      </c>
      <c r="Q64" s="68">
        <v>0</v>
      </c>
      <c r="R64" s="41"/>
      <c r="S64" s="332">
        <f t="shared" ref="S64:S73" si="12">SUM(E64:Q64)</f>
        <v>0</v>
      </c>
      <c r="T64" s="41"/>
    </row>
    <row r="65" spans="3:20" s="37" customFormat="1" ht="12" x14ac:dyDescent="0.2">
      <c r="C65" s="199">
        <v>6320</v>
      </c>
      <c r="D65" s="37" t="s">
        <v>10</v>
      </c>
      <c r="E65" s="188">
        <v>0</v>
      </c>
      <c r="F65" s="188">
        <v>0</v>
      </c>
      <c r="G65" s="188">
        <v>0</v>
      </c>
      <c r="H65" s="188">
        <v>0</v>
      </c>
      <c r="I65" s="188">
        <v>0</v>
      </c>
      <c r="J65" s="188">
        <v>0</v>
      </c>
      <c r="K65" s="188">
        <v>0</v>
      </c>
      <c r="L65" s="188">
        <v>0</v>
      </c>
      <c r="M65" s="188">
        <v>0</v>
      </c>
      <c r="N65" s="188">
        <v>0</v>
      </c>
      <c r="O65" s="188">
        <v>0</v>
      </c>
      <c r="P65" s="188">
        <v>0</v>
      </c>
      <c r="Q65" s="68">
        <v>0</v>
      </c>
      <c r="R65" s="41"/>
      <c r="S65" s="332">
        <f t="shared" si="12"/>
        <v>0</v>
      </c>
      <c r="T65" s="41"/>
    </row>
    <row r="66" spans="3:20" s="37" customFormat="1" ht="12" x14ac:dyDescent="0.2">
      <c r="C66" s="199">
        <v>6331</v>
      </c>
      <c r="D66" s="37" t="s">
        <v>11</v>
      </c>
      <c r="E66" s="188">
        <v>0</v>
      </c>
      <c r="F66" s="188">
        <v>0</v>
      </c>
      <c r="G66" s="188">
        <v>0</v>
      </c>
      <c r="H66" s="188">
        <v>0</v>
      </c>
      <c r="I66" s="188">
        <v>0</v>
      </c>
      <c r="J66" s="188">
        <v>0</v>
      </c>
      <c r="K66" s="188">
        <v>0</v>
      </c>
      <c r="L66" s="188">
        <v>0</v>
      </c>
      <c r="M66" s="188">
        <v>0</v>
      </c>
      <c r="N66" s="188">
        <v>0</v>
      </c>
      <c r="O66" s="188">
        <v>0</v>
      </c>
      <c r="P66" s="188">
        <v>0</v>
      </c>
      <c r="Q66" s="68">
        <v>0</v>
      </c>
      <c r="R66" s="41"/>
      <c r="S66" s="332">
        <f t="shared" si="12"/>
        <v>0</v>
      </c>
      <c r="T66" s="41"/>
    </row>
    <row r="67" spans="3:20" s="37" customFormat="1" ht="12" x14ac:dyDescent="0.2">
      <c r="C67" s="199">
        <v>6334</v>
      </c>
      <c r="D67" s="37" t="s">
        <v>12</v>
      </c>
      <c r="E67" s="188">
        <v>0</v>
      </c>
      <c r="F67" s="188">
        <v>0</v>
      </c>
      <c r="G67" s="188">
        <v>0</v>
      </c>
      <c r="H67" s="188">
        <v>0</v>
      </c>
      <c r="I67" s="188">
        <v>0</v>
      </c>
      <c r="J67" s="188">
        <v>0</v>
      </c>
      <c r="K67" s="188">
        <v>0</v>
      </c>
      <c r="L67" s="188">
        <v>0</v>
      </c>
      <c r="M67" s="188">
        <v>0</v>
      </c>
      <c r="N67" s="188">
        <v>0</v>
      </c>
      <c r="O67" s="188">
        <v>0</v>
      </c>
      <c r="P67" s="188">
        <v>0</v>
      </c>
      <c r="Q67" s="68">
        <v>0</v>
      </c>
      <c r="R67" s="41"/>
      <c r="S67" s="332">
        <f t="shared" si="12"/>
        <v>0</v>
      </c>
      <c r="T67" s="41"/>
    </row>
    <row r="68" spans="3:20" s="37" customFormat="1" ht="12" x14ac:dyDescent="0.2">
      <c r="C68" s="199">
        <v>6336</v>
      </c>
      <c r="D68" s="37" t="s">
        <v>13</v>
      </c>
      <c r="E68" s="188">
        <v>0</v>
      </c>
      <c r="F68" s="188">
        <v>0</v>
      </c>
      <c r="G68" s="188">
        <v>0</v>
      </c>
      <c r="H68" s="188">
        <v>0</v>
      </c>
      <c r="I68" s="188">
        <v>0</v>
      </c>
      <c r="J68" s="188">
        <v>0</v>
      </c>
      <c r="K68" s="188">
        <v>0</v>
      </c>
      <c r="L68" s="188">
        <v>0</v>
      </c>
      <c r="M68" s="188">
        <v>0</v>
      </c>
      <c r="N68" s="188">
        <v>0</v>
      </c>
      <c r="O68" s="188">
        <v>0</v>
      </c>
      <c r="P68" s="188">
        <v>0</v>
      </c>
      <c r="Q68" s="68">
        <v>0</v>
      </c>
      <c r="R68" s="41"/>
      <c r="S68" s="332">
        <f t="shared" si="12"/>
        <v>0</v>
      </c>
      <c r="T68" s="41"/>
    </row>
    <row r="69" spans="3:20" s="37" customFormat="1" ht="12" x14ac:dyDescent="0.2">
      <c r="C69" s="199">
        <v>6337</v>
      </c>
      <c r="D69" s="37" t="s">
        <v>14</v>
      </c>
      <c r="E69" s="188">
        <v>0</v>
      </c>
      <c r="F69" s="188">
        <v>0</v>
      </c>
      <c r="G69" s="188">
        <v>0</v>
      </c>
      <c r="H69" s="188">
        <v>0</v>
      </c>
      <c r="I69" s="188">
        <v>0</v>
      </c>
      <c r="J69" s="188">
        <v>0</v>
      </c>
      <c r="K69" s="188">
        <v>0</v>
      </c>
      <c r="L69" s="188">
        <v>0</v>
      </c>
      <c r="M69" s="188">
        <v>0</v>
      </c>
      <c r="N69" s="188">
        <v>0</v>
      </c>
      <c r="O69" s="188">
        <v>0</v>
      </c>
      <c r="P69" s="188">
        <v>0</v>
      </c>
      <c r="Q69" s="68">
        <v>0</v>
      </c>
      <c r="R69" s="41"/>
      <c r="S69" s="332">
        <f t="shared" si="12"/>
        <v>0</v>
      </c>
      <c r="T69" s="41"/>
    </row>
    <row r="70" spans="3:20" s="37" customFormat="1" ht="12" x14ac:dyDescent="0.2">
      <c r="C70" s="199">
        <v>6340</v>
      </c>
      <c r="D70" s="37" t="s">
        <v>15</v>
      </c>
      <c r="E70" s="188">
        <v>0</v>
      </c>
      <c r="F70" s="188">
        <v>0</v>
      </c>
      <c r="G70" s="188">
        <v>0</v>
      </c>
      <c r="H70" s="188">
        <v>0</v>
      </c>
      <c r="I70" s="188">
        <v>0</v>
      </c>
      <c r="J70" s="188">
        <v>0</v>
      </c>
      <c r="K70" s="188">
        <v>0</v>
      </c>
      <c r="L70" s="188">
        <v>0</v>
      </c>
      <c r="M70" s="188">
        <v>0</v>
      </c>
      <c r="N70" s="188">
        <v>0</v>
      </c>
      <c r="O70" s="188">
        <v>0</v>
      </c>
      <c r="P70" s="188">
        <v>0</v>
      </c>
      <c r="Q70" s="68">
        <v>0</v>
      </c>
      <c r="R70" s="41"/>
      <c r="S70" s="332">
        <f t="shared" si="12"/>
        <v>0</v>
      </c>
      <c r="T70" s="41"/>
    </row>
    <row r="71" spans="3:20" s="37" customFormat="1" ht="12" x14ac:dyDescent="0.2">
      <c r="C71" s="199">
        <v>6345</v>
      </c>
      <c r="D71" s="37" t="s">
        <v>16</v>
      </c>
      <c r="E71" s="188">
        <v>0</v>
      </c>
      <c r="F71" s="188">
        <v>0</v>
      </c>
      <c r="G71" s="188">
        <v>0</v>
      </c>
      <c r="H71" s="188">
        <v>0</v>
      </c>
      <c r="I71" s="188">
        <v>0</v>
      </c>
      <c r="J71" s="188">
        <v>0</v>
      </c>
      <c r="K71" s="188">
        <v>0</v>
      </c>
      <c r="L71" s="188">
        <v>0</v>
      </c>
      <c r="M71" s="188">
        <v>0</v>
      </c>
      <c r="N71" s="188">
        <v>0</v>
      </c>
      <c r="O71" s="188">
        <v>0</v>
      </c>
      <c r="P71" s="188">
        <v>0</v>
      </c>
      <c r="Q71" s="68">
        <v>0</v>
      </c>
      <c r="R71" s="41"/>
      <c r="S71" s="332">
        <f t="shared" si="12"/>
        <v>0</v>
      </c>
      <c r="T71" s="41"/>
    </row>
    <row r="72" spans="3:20" s="37" customFormat="1" ht="12" x14ac:dyDescent="0.2">
      <c r="C72" s="199">
        <v>6350</v>
      </c>
      <c r="D72" s="37" t="s">
        <v>17</v>
      </c>
      <c r="E72" s="188">
        <v>0</v>
      </c>
      <c r="F72" s="188">
        <v>0</v>
      </c>
      <c r="G72" s="188">
        <v>0</v>
      </c>
      <c r="H72" s="188">
        <v>0</v>
      </c>
      <c r="I72" s="188">
        <v>0</v>
      </c>
      <c r="J72" s="188">
        <v>0</v>
      </c>
      <c r="K72" s="188">
        <v>0</v>
      </c>
      <c r="L72" s="188">
        <v>0</v>
      </c>
      <c r="M72" s="188">
        <v>0</v>
      </c>
      <c r="N72" s="188">
        <v>0</v>
      </c>
      <c r="O72" s="188">
        <v>0</v>
      </c>
      <c r="P72" s="188">
        <v>0</v>
      </c>
      <c r="Q72" s="68">
        <v>0</v>
      </c>
      <c r="R72" s="41"/>
      <c r="S72" s="332">
        <f t="shared" si="12"/>
        <v>0</v>
      </c>
      <c r="T72" s="41"/>
    </row>
    <row r="73" spans="3:20" s="37" customFormat="1" ht="12" x14ac:dyDescent="0.2">
      <c r="C73" s="199">
        <v>6351</v>
      </c>
      <c r="D73" s="37" t="s">
        <v>18</v>
      </c>
      <c r="E73" s="188">
        <v>0</v>
      </c>
      <c r="F73" s="188">
        <v>0</v>
      </c>
      <c r="G73" s="188">
        <v>0</v>
      </c>
      <c r="H73" s="188">
        <v>0</v>
      </c>
      <c r="I73" s="188">
        <v>0</v>
      </c>
      <c r="J73" s="188">
        <v>0</v>
      </c>
      <c r="K73" s="188">
        <v>0</v>
      </c>
      <c r="L73" s="188">
        <v>0</v>
      </c>
      <c r="M73" s="188">
        <v>0</v>
      </c>
      <c r="N73" s="188">
        <v>0</v>
      </c>
      <c r="O73" s="188">
        <v>0</v>
      </c>
      <c r="P73" s="188">
        <v>0</v>
      </c>
      <c r="Q73" s="68">
        <v>0</v>
      </c>
      <c r="R73" s="41"/>
      <c r="S73" s="332">
        <f t="shared" si="12"/>
        <v>0</v>
      </c>
      <c r="T73" s="41"/>
    </row>
    <row r="74" spans="3:20" s="37" customFormat="1" ht="12" x14ac:dyDescent="0.2">
      <c r="C74" s="38"/>
      <c r="E74" s="73">
        <f>SUBTOTAL(9,E64:E73)</f>
        <v>0</v>
      </c>
      <c r="F74" s="73">
        <f t="shared" ref="F74:S74" si="13">SUBTOTAL(9,F64:F73)</f>
        <v>0</v>
      </c>
      <c r="G74" s="73">
        <f t="shared" si="13"/>
        <v>0</v>
      </c>
      <c r="H74" s="73">
        <f t="shared" si="13"/>
        <v>0</v>
      </c>
      <c r="I74" s="73">
        <f t="shared" si="13"/>
        <v>0</v>
      </c>
      <c r="J74" s="73">
        <f t="shared" si="13"/>
        <v>0</v>
      </c>
      <c r="K74" s="73">
        <f t="shared" si="13"/>
        <v>0</v>
      </c>
      <c r="L74" s="73">
        <f t="shared" si="13"/>
        <v>0</v>
      </c>
      <c r="M74" s="73">
        <f t="shared" si="13"/>
        <v>0</v>
      </c>
      <c r="N74" s="73">
        <f t="shared" si="13"/>
        <v>0</v>
      </c>
      <c r="O74" s="73">
        <f t="shared" si="13"/>
        <v>0</v>
      </c>
      <c r="P74" s="73">
        <f t="shared" si="13"/>
        <v>0</v>
      </c>
      <c r="Q74" s="73">
        <f t="shared" si="13"/>
        <v>0</v>
      </c>
      <c r="R74" s="41"/>
      <c r="S74" s="333">
        <f t="shared" si="13"/>
        <v>0</v>
      </c>
      <c r="T74" s="41"/>
    </row>
    <row r="75" spans="3:20" s="37" customFormat="1" ht="12" x14ac:dyDescent="0.2">
      <c r="C75" s="49" t="s">
        <v>100</v>
      </c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41"/>
      <c r="S75" s="332"/>
      <c r="T75" s="41"/>
    </row>
    <row r="76" spans="3:20" s="37" customFormat="1" ht="12" x14ac:dyDescent="0.2">
      <c r="C76" s="199">
        <v>6410</v>
      </c>
      <c r="D76" s="37" t="s">
        <v>19</v>
      </c>
      <c r="E76" s="188">
        <v>0</v>
      </c>
      <c r="F76" s="188">
        <v>0</v>
      </c>
      <c r="G76" s="188">
        <v>0</v>
      </c>
      <c r="H76" s="188">
        <v>0</v>
      </c>
      <c r="I76" s="188">
        <v>0</v>
      </c>
      <c r="J76" s="188">
        <v>0</v>
      </c>
      <c r="K76" s="188">
        <v>0</v>
      </c>
      <c r="L76" s="188">
        <v>0</v>
      </c>
      <c r="M76" s="188">
        <v>0</v>
      </c>
      <c r="N76" s="188">
        <v>0</v>
      </c>
      <c r="O76" s="188">
        <v>0</v>
      </c>
      <c r="P76" s="188">
        <v>0</v>
      </c>
      <c r="Q76" s="68">
        <v>0</v>
      </c>
      <c r="R76" s="41"/>
      <c r="S76" s="332">
        <f t="shared" ref="S76:S79" si="14">SUM(E76:Q76)</f>
        <v>0</v>
      </c>
      <c r="T76" s="41"/>
    </row>
    <row r="77" spans="3:20" s="37" customFormat="1" ht="12" x14ac:dyDescent="0.2">
      <c r="C77" s="199">
        <v>6420</v>
      </c>
      <c r="D77" s="37" t="s">
        <v>20</v>
      </c>
      <c r="E77" s="188">
        <v>0</v>
      </c>
      <c r="F77" s="188">
        <v>0</v>
      </c>
      <c r="G77" s="188">
        <v>0</v>
      </c>
      <c r="H77" s="188">
        <v>0</v>
      </c>
      <c r="I77" s="188">
        <v>0</v>
      </c>
      <c r="J77" s="188">
        <v>0</v>
      </c>
      <c r="K77" s="188">
        <v>0</v>
      </c>
      <c r="L77" s="188">
        <v>0</v>
      </c>
      <c r="M77" s="188">
        <v>0</v>
      </c>
      <c r="N77" s="188">
        <v>0</v>
      </c>
      <c r="O77" s="188">
        <v>0</v>
      </c>
      <c r="P77" s="188">
        <v>0</v>
      </c>
      <c r="Q77" s="68">
        <v>0</v>
      </c>
      <c r="R77" s="41"/>
      <c r="S77" s="332">
        <f t="shared" si="14"/>
        <v>0</v>
      </c>
      <c r="T77" s="41"/>
    </row>
    <row r="78" spans="3:20" s="37" customFormat="1" ht="12" x14ac:dyDescent="0.2">
      <c r="C78" s="199">
        <v>6430</v>
      </c>
      <c r="D78" s="37" t="s">
        <v>21</v>
      </c>
      <c r="E78" s="188">
        <v>0</v>
      </c>
      <c r="F78" s="188">
        <v>0</v>
      </c>
      <c r="G78" s="188">
        <v>0</v>
      </c>
      <c r="H78" s="188">
        <v>0</v>
      </c>
      <c r="I78" s="188">
        <v>0</v>
      </c>
      <c r="J78" s="188">
        <v>0</v>
      </c>
      <c r="K78" s="188">
        <v>0</v>
      </c>
      <c r="L78" s="188">
        <v>0</v>
      </c>
      <c r="M78" s="188">
        <v>0</v>
      </c>
      <c r="N78" s="188">
        <v>0</v>
      </c>
      <c r="O78" s="188">
        <v>0</v>
      </c>
      <c r="P78" s="188">
        <v>0</v>
      </c>
      <c r="Q78" s="68">
        <v>0</v>
      </c>
      <c r="R78" s="41"/>
      <c r="S78" s="332">
        <f t="shared" si="14"/>
        <v>0</v>
      </c>
      <c r="T78" s="41"/>
    </row>
    <row r="79" spans="3:20" s="37" customFormat="1" ht="12" x14ac:dyDescent="0.2">
      <c r="C79" s="199">
        <v>6441</v>
      </c>
      <c r="D79" s="37" t="s">
        <v>22</v>
      </c>
      <c r="E79" s="188">
        <v>0</v>
      </c>
      <c r="F79" s="188">
        <v>0</v>
      </c>
      <c r="G79" s="188">
        <v>0</v>
      </c>
      <c r="H79" s="188">
        <v>0</v>
      </c>
      <c r="I79" s="188">
        <v>0</v>
      </c>
      <c r="J79" s="188">
        <v>0</v>
      </c>
      <c r="K79" s="188">
        <v>0</v>
      </c>
      <c r="L79" s="188">
        <v>0</v>
      </c>
      <c r="M79" s="188">
        <v>0</v>
      </c>
      <c r="N79" s="188">
        <v>0</v>
      </c>
      <c r="O79" s="188">
        <v>0</v>
      </c>
      <c r="P79" s="188">
        <v>0</v>
      </c>
      <c r="Q79" s="68">
        <v>0</v>
      </c>
      <c r="R79" s="41"/>
      <c r="S79" s="332">
        <f t="shared" si="14"/>
        <v>0</v>
      </c>
      <c r="T79" s="41"/>
    </row>
    <row r="80" spans="3:20" s="37" customFormat="1" ht="12" x14ac:dyDescent="0.2">
      <c r="C80" s="38"/>
      <c r="E80" s="73">
        <f>SUBTOTAL(9,E76:E79)</f>
        <v>0</v>
      </c>
      <c r="F80" s="73">
        <f t="shared" ref="F80:S80" si="15">SUBTOTAL(9,F76:F79)</f>
        <v>0</v>
      </c>
      <c r="G80" s="73">
        <f t="shared" si="15"/>
        <v>0</v>
      </c>
      <c r="H80" s="73">
        <f t="shared" si="15"/>
        <v>0</v>
      </c>
      <c r="I80" s="73">
        <f t="shared" si="15"/>
        <v>0</v>
      </c>
      <c r="J80" s="73">
        <f t="shared" si="15"/>
        <v>0</v>
      </c>
      <c r="K80" s="73">
        <f t="shared" si="15"/>
        <v>0</v>
      </c>
      <c r="L80" s="73">
        <f t="shared" si="15"/>
        <v>0</v>
      </c>
      <c r="M80" s="73">
        <f t="shared" si="15"/>
        <v>0</v>
      </c>
      <c r="N80" s="73">
        <f t="shared" si="15"/>
        <v>0</v>
      </c>
      <c r="O80" s="73">
        <f t="shared" si="15"/>
        <v>0</v>
      </c>
      <c r="P80" s="73">
        <f t="shared" si="15"/>
        <v>0</v>
      </c>
      <c r="Q80" s="73">
        <f t="shared" si="15"/>
        <v>0</v>
      </c>
      <c r="R80" s="41"/>
      <c r="S80" s="333">
        <f t="shared" si="15"/>
        <v>0</v>
      </c>
      <c r="T80" s="41"/>
    </row>
    <row r="81" spans="3:20" s="37" customFormat="1" ht="12" x14ac:dyDescent="0.2">
      <c r="C81" s="49" t="s">
        <v>101</v>
      </c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41"/>
      <c r="S81" s="332"/>
      <c r="T81" s="41"/>
    </row>
    <row r="82" spans="3:20" s="37" customFormat="1" ht="12" x14ac:dyDescent="0.2">
      <c r="C82" s="199">
        <v>6519</v>
      </c>
      <c r="D82" s="37" t="s">
        <v>235</v>
      </c>
      <c r="E82" s="188">
        <v>0</v>
      </c>
      <c r="F82" s="188">
        <v>0</v>
      </c>
      <c r="G82" s="188">
        <v>0</v>
      </c>
      <c r="H82" s="188">
        <v>0</v>
      </c>
      <c r="I82" s="188">
        <v>0</v>
      </c>
      <c r="J82" s="188">
        <v>0</v>
      </c>
      <c r="K82" s="188">
        <v>0</v>
      </c>
      <c r="L82" s="188">
        <v>0</v>
      </c>
      <c r="M82" s="188">
        <v>0</v>
      </c>
      <c r="N82" s="188">
        <v>0</v>
      </c>
      <c r="O82" s="188">
        <v>0</v>
      </c>
      <c r="P82" s="188">
        <v>0</v>
      </c>
      <c r="Q82" s="68">
        <v>0</v>
      </c>
      <c r="R82" s="41"/>
      <c r="S82" s="332">
        <f t="shared" ref="S82:S93" si="16">SUM(E82:Q82)</f>
        <v>0</v>
      </c>
      <c r="T82" s="41"/>
    </row>
    <row r="83" spans="3:20" s="37" customFormat="1" ht="12" x14ac:dyDescent="0.2">
      <c r="C83" s="199">
        <v>6521</v>
      </c>
      <c r="D83" s="37" t="s">
        <v>24</v>
      </c>
      <c r="E83" s="188">
        <v>0</v>
      </c>
      <c r="F83" s="188">
        <v>0</v>
      </c>
      <c r="G83" s="188">
        <v>0</v>
      </c>
      <c r="H83" s="188">
        <v>0</v>
      </c>
      <c r="I83" s="188">
        <v>0</v>
      </c>
      <c r="J83" s="188">
        <v>0</v>
      </c>
      <c r="K83" s="188">
        <v>0</v>
      </c>
      <c r="L83" s="188">
        <v>0</v>
      </c>
      <c r="M83" s="188">
        <v>0</v>
      </c>
      <c r="N83" s="188">
        <v>0</v>
      </c>
      <c r="O83" s="188">
        <v>0</v>
      </c>
      <c r="P83" s="188">
        <v>0</v>
      </c>
      <c r="Q83" s="68">
        <v>0</v>
      </c>
      <c r="R83" s="41"/>
      <c r="S83" s="332">
        <f t="shared" si="16"/>
        <v>0</v>
      </c>
      <c r="T83" s="41"/>
    </row>
    <row r="84" spans="3:20" s="37" customFormat="1" ht="12" x14ac:dyDescent="0.2">
      <c r="C84" s="199">
        <v>6522</v>
      </c>
      <c r="D84" s="37" t="s">
        <v>25</v>
      </c>
      <c r="E84" s="188">
        <v>0</v>
      </c>
      <c r="F84" s="188">
        <v>0</v>
      </c>
      <c r="G84" s="188">
        <v>0</v>
      </c>
      <c r="H84" s="188">
        <v>0</v>
      </c>
      <c r="I84" s="188">
        <v>0</v>
      </c>
      <c r="J84" s="188">
        <v>0</v>
      </c>
      <c r="K84" s="188">
        <v>0</v>
      </c>
      <c r="L84" s="188">
        <v>0</v>
      </c>
      <c r="M84" s="188">
        <v>0</v>
      </c>
      <c r="N84" s="188">
        <v>0</v>
      </c>
      <c r="O84" s="188">
        <v>0</v>
      </c>
      <c r="P84" s="188">
        <v>0</v>
      </c>
      <c r="Q84" s="68">
        <v>0</v>
      </c>
      <c r="R84" s="41"/>
      <c r="S84" s="332">
        <f t="shared" si="16"/>
        <v>0</v>
      </c>
      <c r="T84" s="41"/>
    </row>
    <row r="85" spans="3:20" s="37" customFormat="1" ht="12" x14ac:dyDescent="0.2">
      <c r="C85" s="199">
        <v>6523</v>
      </c>
      <c r="D85" s="37" t="s">
        <v>26</v>
      </c>
      <c r="E85" s="188">
        <v>0</v>
      </c>
      <c r="F85" s="188">
        <v>0</v>
      </c>
      <c r="G85" s="188">
        <v>0</v>
      </c>
      <c r="H85" s="188">
        <v>0</v>
      </c>
      <c r="I85" s="188">
        <v>0</v>
      </c>
      <c r="J85" s="188">
        <v>0</v>
      </c>
      <c r="K85" s="188">
        <v>0</v>
      </c>
      <c r="L85" s="188">
        <v>0</v>
      </c>
      <c r="M85" s="188">
        <v>0</v>
      </c>
      <c r="N85" s="188">
        <v>0</v>
      </c>
      <c r="O85" s="188">
        <v>0</v>
      </c>
      <c r="P85" s="188">
        <v>0</v>
      </c>
      <c r="Q85" s="68">
        <v>0</v>
      </c>
      <c r="R85" s="41"/>
      <c r="S85" s="332">
        <f t="shared" si="16"/>
        <v>0</v>
      </c>
      <c r="T85" s="41"/>
    </row>
    <row r="86" spans="3:20" s="37" customFormat="1" ht="12" x14ac:dyDescent="0.2">
      <c r="C86" s="199">
        <v>6531</v>
      </c>
      <c r="D86" s="37" t="s">
        <v>27</v>
      </c>
      <c r="E86" s="188">
        <v>0</v>
      </c>
      <c r="F86" s="188">
        <v>0</v>
      </c>
      <c r="G86" s="188">
        <v>0</v>
      </c>
      <c r="H86" s="188">
        <v>0</v>
      </c>
      <c r="I86" s="188">
        <v>0</v>
      </c>
      <c r="J86" s="188">
        <v>0</v>
      </c>
      <c r="K86" s="188">
        <v>0</v>
      </c>
      <c r="L86" s="188">
        <v>0</v>
      </c>
      <c r="M86" s="188">
        <v>0</v>
      </c>
      <c r="N86" s="188">
        <v>0</v>
      </c>
      <c r="O86" s="188">
        <v>0</v>
      </c>
      <c r="P86" s="188">
        <v>0</v>
      </c>
      <c r="Q86" s="68">
        <v>0</v>
      </c>
      <c r="R86" s="41"/>
      <c r="S86" s="332">
        <f t="shared" si="16"/>
        <v>0</v>
      </c>
      <c r="T86" s="41"/>
    </row>
    <row r="87" spans="3:20" s="37" customFormat="1" ht="12" x14ac:dyDescent="0.2">
      <c r="C87" s="199">
        <v>6534</v>
      </c>
      <c r="D87" s="37" t="s">
        <v>28</v>
      </c>
      <c r="E87" s="188">
        <v>0</v>
      </c>
      <c r="F87" s="188">
        <v>0</v>
      </c>
      <c r="G87" s="188">
        <v>0</v>
      </c>
      <c r="H87" s="188">
        <v>0</v>
      </c>
      <c r="I87" s="188">
        <v>0</v>
      </c>
      <c r="J87" s="188">
        <v>0</v>
      </c>
      <c r="K87" s="188">
        <v>0</v>
      </c>
      <c r="L87" s="188">
        <v>0</v>
      </c>
      <c r="M87" s="188">
        <v>0</v>
      </c>
      <c r="N87" s="188">
        <v>0</v>
      </c>
      <c r="O87" s="188">
        <v>0</v>
      </c>
      <c r="P87" s="188">
        <v>0</v>
      </c>
      <c r="Q87" s="68">
        <v>0</v>
      </c>
      <c r="R87" s="41"/>
      <c r="S87" s="332">
        <f t="shared" si="16"/>
        <v>0</v>
      </c>
      <c r="T87" s="41"/>
    </row>
    <row r="88" spans="3:20" s="37" customFormat="1" ht="12" x14ac:dyDescent="0.2">
      <c r="C88" s="199">
        <v>6535</v>
      </c>
      <c r="D88" s="37" t="s">
        <v>236</v>
      </c>
      <c r="E88" s="188">
        <v>0</v>
      </c>
      <c r="F88" s="188">
        <v>0</v>
      </c>
      <c r="G88" s="188">
        <v>0</v>
      </c>
      <c r="H88" s="188">
        <v>0</v>
      </c>
      <c r="I88" s="188">
        <v>0</v>
      </c>
      <c r="J88" s="188">
        <v>0</v>
      </c>
      <c r="K88" s="188">
        <v>0</v>
      </c>
      <c r="L88" s="188">
        <v>0</v>
      </c>
      <c r="M88" s="188">
        <v>0</v>
      </c>
      <c r="N88" s="188">
        <v>0</v>
      </c>
      <c r="O88" s="188">
        <v>0</v>
      </c>
      <c r="P88" s="188">
        <v>0</v>
      </c>
      <c r="Q88" s="68">
        <v>0</v>
      </c>
      <c r="R88" s="41"/>
      <c r="S88" s="332">
        <f t="shared" si="16"/>
        <v>0</v>
      </c>
      <c r="T88" s="41"/>
    </row>
    <row r="89" spans="3:20" s="37" customFormat="1" ht="12" x14ac:dyDescent="0.2">
      <c r="C89" s="199">
        <v>6540</v>
      </c>
      <c r="D89" s="37" t="s">
        <v>30</v>
      </c>
      <c r="E89" s="188">
        <v>0</v>
      </c>
      <c r="F89" s="188">
        <v>0</v>
      </c>
      <c r="G89" s="188">
        <v>0</v>
      </c>
      <c r="H89" s="188">
        <v>0</v>
      </c>
      <c r="I89" s="188">
        <v>0</v>
      </c>
      <c r="J89" s="188">
        <v>0</v>
      </c>
      <c r="K89" s="188">
        <v>0</v>
      </c>
      <c r="L89" s="188">
        <v>0</v>
      </c>
      <c r="M89" s="188">
        <v>0</v>
      </c>
      <c r="N89" s="188">
        <v>0</v>
      </c>
      <c r="O89" s="188">
        <v>0</v>
      </c>
      <c r="P89" s="188">
        <v>0</v>
      </c>
      <c r="Q89" s="68">
        <v>0</v>
      </c>
      <c r="R89" s="41"/>
      <c r="S89" s="332">
        <f t="shared" si="16"/>
        <v>0</v>
      </c>
      <c r="T89" s="41"/>
    </row>
    <row r="90" spans="3:20" s="37" customFormat="1" ht="12" x14ac:dyDescent="0.2">
      <c r="C90" s="199">
        <v>6550</v>
      </c>
      <c r="D90" s="37" t="s">
        <v>31</v>
      </c>
      <c r="E90" s="188">
        <v>0</v>
      </c>
      <c r="F90" s="188">
        <v>0</v>
      </c>
      <c r="G90" s="188">
        <v>0</v>
      </c>
      <c r="H90" s="188">
        <v>0</v>
      </c>
      <c r="I90" s="188">
        <v>0</v>
      </c>
      <c r="J90" s="188">
        <v>0</v>
      </c>
      <c r="K90" s="188">
        <v>0</v>
      </c>
      <c r="L90" s="188">
        <v>0</v>
      </c>
      <c r="M90" s="188">
        <v>0</v>
      </c>
      <c r="N90" s="188">
        <v>0</v>
      </c>
      <c r="O90" s="188">
        <v>0</v>
      </c>
      <c r="P90" s="188">
        <v>0</v>
      </c>
      <c r="Q90" s="68">
        <v>0</v>
      </c>
      <c r="R90" s="41"/>
      <c r="S90" s="332">
        <f t="shared" si="16"/>
        <v>0</v>
      </c>
      <c r="T90" s="41"/>
    </row>
    <row r="91" spans="3:20" s="37" customFormat="1" ht="12" x14ac:dyDescent="0.2">
      <c r="C91" s="206">
        <v>6568</v>
      </c>
      <c r="D91" s="37" t="s">
        <v>187</v>
      </c>
      <c r="E91" s="188">
        <v>0</v>
      </c>
      <c r="F91" s="188">
        <v>0</v>
      </c>
      <c r="G91" s="188">
        <v>0</v>
      </c>
      <c r="H91" s="188">
        <v>0</v>
      </c>
      <c r="I91" s="188">
        <v>0</v>
      </c>
      <c r="J91" s="188">
        <v>0</v>
      </c>
      <c r="K91" s="188">
        <v>0</v>
      </c>
      <c r="L91" s="188">
        <v>0</v>
      </c>
      <c r="M91" s="188">
        <v>0</v>
      </c>
      <c r="N91" s="188">
        <v>0</v>
      </c>
      <c r="O91" s="188">
        <v>0</v>
      </c>
      <c r="P91" s="188">
        <v>0</v>
      </c>
      <c r="Q91" s="68">
        <v>0</v>
      </c>
      <c r="R91" s="41"/>
      <c r="S91" s="332">
        <f t="shared" si="16"/>
        <v>0</v>
      </c>
      <c r="T91" s="41"/>
    </row>
    <row r="92" spans="3:20" s="37" customFormat="1" ht="12" x14ac:dyDescent="0.2">
      <c r="C92" s="199">
        <v>6569</v>
      </c>
      <c r="D92" s="37" t="s">
        <v>32</v>
      </c>
      <c r="E92" s="188">
        <v>0</v>
      </c>
      <c r="F92" s="188">
        <v>0</v>
      </c>
      <c r="G92" s="188">
        <v>0</v>
      </c>
      <c r="H92" s="188">
        <v>0</v>
      </c>
      <c r="I92" s="188">
        <v>0</v>
      </c>
      <c r="J92" s="188">
        <v>0</v>
      </c>
      <c r="K92" s="188">
        <v>0</v>
      </c>
      <c r="L92" s="188">
        <v>0</v>
      </c>
      <c r="M92" s="188">
        <v>0</v>
      </c>
      <c r="N92" s="188">
        <v>0</v>
      </c>
      <c r="O92" s="188">
        <v>0</v>
      </c>
      <c r="P92" s="188">
        <v>0</v>
      </c>
      <c r="Q92" s="68">
        <v>0</v>
      </c>
      <c r="R92" s="41"/>
      <c r="S92" s="332">
        <f t="shared" si="16"/>
        <v>0</v>
      </c>
      <c r="T92" s="41"/>
    </row>
    <row r="93" spans="3:20" s="37" customFormat="1" ht="12" x14ac:dyDescent="0.2">
      <c r="C93" s="199">
        <v>6580</v>
      </c>
      <c r="D93" s="37" t="s">
        <v>33</v>
      </c>
      <c r="E93" s="188">
        <v>0</v>
      </c>
      <c r="F93" s="188">
        <v>0</v>
      </c>
      <c r="G93" s="188">
        <v>0</v>
      </c>
      <c r="H93" s="188">
        <v>0</v>
      </c>
      <c r="I93" s="188">
        <v>0</v>
      </c>
      <c r="J93" s="188">
        <v>0</v>
      </c>
      <c r="K93" s="188">
        <v>0</v>
      </c>
      <c r="L93" s="188">
        <v>0</v>
      </c>
      <c r="M93" s="188">
        <v>0</v>
      </c>
      <c r="N93" s="188">
        <v>0</v>
      </c>
      <c r="O93" s="188">
        <v>0</v>
      </c>
      <c r="P93" s="188">
        <v>0</v>
      </c>
      <c r="Q93" s="68">
        <v>0</v>
      </c>
      <c r="R93" s="41"/>
      <c r="S93" s="332">
        <f t="shared" si="16"/>
        <v>0</v>
      </c>
      <c r="T93" s="41"/>
    </row>
    <row r="94" spans="3:20" s="37" customFormat="1" ht="12" x14ac:dyDescent="0.2">
      <c r="C94" s="38"/>
      <c r="E94" s="73">
        <f>SUBTOTAL(9,E82:E93)</f>
        <v>0</v>
      </c>
      <c r="F94" s="73">
        <f t="shared" ref="F94:P94" si="17">SUBTOTAL(9,F82:F93)</f>
        <v>0</v>
      </c>
      <c r="G94" s="73">
        <f t="shared" si="17"/>
        <v>0</v>
      </c>
      <c r="H94" s="73">
        <f t="shared" si="17"/>
        <v>0</v>
      </c>
      <c r="I94" s="73">
        <f t="shared" si="17"/>
        <v>0</v>
      </c>
      <c r="J94" s="73">
        <f t="shared" si="17"/>
        <v>0</v>
      </c>
      <c r="K94" s="73">
        <f t="shared" si="17"/>
        <v>0</v>
      </c>
      <c r="L94" s="73">
        <f t="shared" si="17"/>
        <v>0</v>
      </c>
      <c r="M94" s="73">
        <f t="shared" si="17"/>
        <v>0</v>
      </c>
      <c r="N94" s="73">
        <f t="shared" si="17"/>
        <v>0</v>
      </c>
      <c r="O94" s="73">
        <f t="shared" si="17"/>
        <v>0</v>
      </c>
      <c r="P94" s="73">
        <f t="shared" si="17"/>
        <v>0</v>
      </c>
      <c r="Q94" s="73">
        <f>SUBTOTAL(9,Q82:Q93)</f>
        <v>0</v>
      </c>
      <c r="R94" s="41"/>
      <c r="S94" s="333">
        <f>SUBTOTAL(9,S82:S93)</f>
        <v>0</v>
      </c>
      <c r="T94" s="41"/>
    </row>
    <row r="95" spans="3:20" s="37" customFormat="1" ht="12" x14ac:dyDescent="0.2">
      <c r="C95" s="49" t="s">
        <v>102</v>
      </c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41"/>
      <c r="S95" s="332"/>
      <c r="T95" s="41"/>
    </row>
    <row r="96" spans="3:20" s="37" customFormat="1" ht="12" x14ac:dyDescent="0.2">
      <c r="C96" s="199">
        <v>6610</v>
      </c>
      <c r="D96" s="37" t="s">
        <v>34</v>
      </c>
      <c r="E96" s="188">
        <v>0</v>
      </c>
      <c r="F96" s="188">
        <v>0</v>
      </c>
      <c r="G96" s="188">
        <v>0</v>
      </c>
      <c r="H96" s="188">
        <v>0</v>
      </c>
      <c r="I96" s="188">
        <v>0</v>
      </c>
      <c r="J96" s="188">
        <v>0</v>
      </c>
      <c r="K96" s="188">
        <v>0</v>
      </c>
      <c r="L96" s="188">
        <v>0</v>
      </c>
      <c r="M96" s="188">
        <v>0</v>
      </c>
      <c r="N96" s="188">
        <v>0</v>
      </c>
      <c r="O96" s="188">
        <v>0</v>
      </c>
      <c r="P96" s="188">
        <v>0</v>
      </c>
      <c r="Q96" s="68">
        <v>0</v>
      </c>
      <c r="R96" s="41"/>
      <c r="S96" s="332">
        <f t="shared" ref="S96:S102" si="18">SUM(E96:Q96)</f>
        <v>0</v>
      </c>
      <c r="T96" s="41"/>
    </row>
    <row r="97" spans="3:20" s="37" customFormat="1" ht="12" x14ac:dyDescent="0.2">
      <c r="C97" s="199">
        <v>6612</v>
      </c>
      <c r="D97" s="37" t="s">
        <v>35</v>
      </c>
      <c r="E97" s="188">
        <v>0</v>
      </c>
      <c r="F97" s="188">
        <v>0</v>
      </c>
      <c r="G97" s="188">
        <v>0</v>
      </c>
      <c r="H97" s="188">
        <v>0</v>
      </c>
      <c r="I97" s="188">
        <v>0</v>
      </c>
      <c r="J97" s="188">
        <v>0</v>
      </c>
      <c r="K97" s="188">
        <v>0</v>
      </c>
      <c r="L97" s="188">
        <v>0</v>
      </c>
      <c r="M97" s="188">
        <v>0</v>
      </c>
      <c r="N97" s="188">
        <v>0</v>
      </c>
      <c r="O97" s="188">
        <v>0</v>
      </c>
      <c r="P97" s="188">
        <v>0</v>
      </c>
      <c r="Q97" s="68">
        <v>0</v>
      </c>
      <c r="R97" s="41"/>
      <c r="S97" s="332">
        <f t="shared" si="18"/>
        <v>0</v>
      </c>
      <c r="T97" s="41"/>
    </row>
    <row r="98" spans="3:20" s="37" customFormat="1" ht="12" x14ac:dyDescent="0.2">
      <c r="C98" s="199">
        <v>6622</v>
      </c>
      <c r="D98" s="37" t="s">
        <v>36</v>
      </c>
      <c r="E98" s="188">
        <v>0</v>
      </c>
      <c r="F98" s="188">
        <v>0</v>
      </c>
      <c r="G98" s="188">
        <v>0</v>
      </c>
      <c r="H98" s="188">
        <v>0</v>
      </c>
      <c r="I98" s="188">
        <v>0</v>
      </c>
      <c r="J98" s="188">
        <v>0</v>
      </c>
      <c r="K98" s="188">
        <v>0</v>
      </c>
      <c r="L98" s="188">
        <v>0</v>
      </c>
      <c r="M98" s="188">
        <v>0</v>
      </c>
      <c r="N98" s="188">
        <v>0</v>
      </c>
      <c r="O98" s="188">
        <v>0</v>
      </c>
      <c r="P98" s="188">
        <v>0</v>
      </c>
      <c r="Q98" s="68">
        <v>0</v>
      </c>
      <c r="R98" s="41"/>
      <c r="S98" s="332">
        <f t="shared" si="18"/>
        <v>0</v>
      </c>
      <c r="T98" s="41"/>
    </row>
    <row r="99" spans="3:20" s="37" customFormat="1" ht="12" x14ac:dyDescent="0.2">
      <c r="C99" s="199">
        <v>6641</v>
      </c>
      <c r="D99" s="37" t="s">
        <v>37</v>
      </c>
      <c r="E99" s="188">
        <v>0</v>
      </c>
      <c r="F99" s="188">
        <v>0</v>
      </c>
      <c r="G99" s="188">
        <v>0</v>
      </c>
      <c r="H99" s="188">
        <v>0</v>
      </c>
      <c r="I99" s="188">
        <v>0</v>
      </c>
      <c r="J99" s="188">
        <v>0</v>
      </c>
      <c r="K99" s="188">
        <v>0</v>
      </c>
      <c r="L99" s="188">
        <v>0</v>
      </c>
      <c r="M99" s="188">
        <v>0</v>
      </c>
      <c r="N99" s="188">
        <v>0</v>
      </c>
      <c r="O99" s="188">
        <v>0</v>
      </c>
      <c r="P99" s="188">
        <v>0</v>
      </c>
      <c r="Q99" s="68">
        <v>0</v>
      </c>
      <c r="R99" s="41"/>
      <c r="S99" s="332">
        <f t="shared" si="18"/>
        <v>0</v>
      </c>
      <c r="T99" s="41"/>
    </row>
    <row r="100" spans="3:20" s="37" customFormat="1" ht="12" x14ac:dyDescent="0.2">
      <c r="C100" s="199">
        <v>6642</v>
      </c>
      <c r="D100" s="37" t="s">
        <v>38</v>
      </c>
      <c r="E100" s="188">
        <v>0</v>
      </c>
      <c r="F100" s="188">
        <v>0</v>
      </c>
      <c r="G100" s="188">
        <v>0</v>
      </c>
      <c r="H100" s="188">
        <v>0</v>
      </c>
      <c r="I100" s="188">
        <v>0</v>
      </c>
      <c r="J100" s="188">
        <v>0</v>
      </c>
      <c r="K100" s="188">
        <v>0</v>
      </c>
      <c r="L100" s="188">
        <v>0</v>
      </c>
      <c r="M100" s="188">
        <v>0</v>
      </c>
      <c r="N100" s="188">
        <v>0</v>
      </c>
      <c r="O100" s="188">
        <v>0</v>
      </c>
      <c r="P100" s="188">
        <v>0</v>
      </c>
      <c r="Q100" s="68">
        <v>0</v>
      </c>
      <c r="R100" s="41"/>
      <c r="S100" s="332">
        <f t="shared" si="18"/>
        <v>0</v>
      </c>
      <c r="T100" s="41"/>
    </row>
    <row r="101" spans="3:20" s="37" customFormat="1" ht="12" x14ac:dyDescent="0.2">
      <c r="C101" s="199">
        <v>6651</v>
      </c>
      <c r="D101" s="37" t="s">
        <v>39</v>
      </c>
      <c r="E101" s="188">
        <v>0</v>
      </c>
      <c r="F101" s="188">
        <v>0</v>
      </c>
      <c r="G101" s="188">
        <v>0</v>
      </c>
      <c r="H101" s="188">
        <v>0</v>
      </c>
      <c r="I101" s="188">
        <v>0</v>
      </c>
      <c r="J101" s="188">
        <v>0</v>
      </c>
      <c r="K101" s="188">
        <v>0</v>
      </c>
      <c r="L101" s="188">
        <v>0</v>
      </c>
      <c r="M101" s="188">
        <v>0</v>
      </c>
      <c r="N101" s="188">
        <v>0</v>
      </c>
      <c r="O101" s="188">
        <v>0</v>
      </c>
      <c r="P101" s="188">
        <v>0</v>
      </c>
      <c r="Q101" s="68">
        <v>0</v>
      </c>
      <c r="R101" s="41"/>
      <c r="S101" s="332">
        <f t="shared" si="18"/>
        <v>0</v>
      </c>
      <c r="T101" s="41"/>
    </row>
    <row r="102" spans="3:20" s="37" customFormat="1" ht="12" x14ac:dyDescent="0.2">
      <c r="C102" s="199">
        <v>6652</v>
      </c>
      <c r="D102" s="37" t="s">
        <v>40</v>
      </c>
      <c r="E102" s="188">
        <v>0</v>
      </c>
      <c r="F102" s="188">
        <v>0</v>
      </c>
      <c r="G102" s="188">
        <v>0</v>
      </c>
      <c r="H102" s="188">
        <v>0</v>
      </c>
      <c r="I102" s="188">
        <v>0</v>
      </c>
      <c r="J102" s="188">
        <v>0</v>
      </c>
      <c r="K102" s="188">
        <v>0</v>
      </c>
      <c r="L102" s="188">
        <v>0</v>
      </c>
      <c r="M102" s="188">
        <v>0</v>
      </c>
      <c r="N102" s="188">
        <v>0</v>
      </c>
      <c r="O102" s="188">
        <v>0</v>
      </c>
      <c r="P102" s="188">
        <v>0</v>
      </c>
      <c r="Q102" s="68">
        <v>0</v>
      </c>
      <c r="R102" s="41"/>
      <c r="S102" s="332">
        <f t="shared" si="18"/>
        <v>0</v>
      </c>
      <c r="T102" s="41"/>
    </row>
    <row r="103" spans="3:20" s="37" customFormat="1" ht="12" x14ac:dyDescent="0.2">
      <c r="C103" s="38"/>
      <c r="E103" s="73">
        <f>SUBTOTAL(9,E96:E102)</f>
        <v>0</v>
      </c>
      <c r="F103" s="73">
        <f t="shared" ref="F103:S103" si="19">SUBTOTAL(9,F96:F102)</f>
        <v>0</v>
      </c>
      <c r="G103" s="73">
        <f t="shared" si="19"/>
        <v>0</v>
      </c>
      <c r="H103" s="73">
        <f t="shared" si="19"/>
        <v>0</v>
      </c>
      <c r="I103" s="73">
        <f t="shared" si="19"/>
        <v>0</v>
      </c>
      <c r="J103" s="73">
        <f t="shared" si="19"/>
        <v>0</v>
      </c>
      <c r="K103" s="73">
        <f t="shared" si="19"/>
        <v>0</v>
      </c>
      <c r="L103" s="73">
        <f t="shared" si="19"/>
        <v>0</v>
      </c>
      <c r="M103" s="73">
        <f t="shared" si="19"/>
        <v>0</v>
      </c>
      <c r="N103" s="73">
        <f t="shared" si="19"/>
        <v>0</v>
      </c>
      <c r="O103" s="73">
        <f t="shared" si="19"/>
        <v>0</v>
      </c>
      <c r="P103" s="73">
        <f t="shared" si="19"/>
        <v>0</v>
      </c>
      <c r="Q103" s="73">
        <f t="shared" si="19"/>
        <v>0</v>
      </c>
      <c r="R103" s="41"/>
      <c r="S103" s="333">
        <f t="shared" si="19"/>
        <v>0</v>
      </c>
      <c r="T103" s="41"/>
    </row>
    <row r="104" spans="3:20" s="37" customFormat="1" ht="12" x14ac:dyDescent="0.2">
      <c r="C104" s="49" t="s">
        <v>103</v>
      </c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41"/>
      <c r="S104" s="332"/>
      <c r="T104" s="41"/>
    </row>
    <row r="105" spans="3:20" s="37" customFormat="1" ht="12" x14ac:dyDescent="0.2">
      <c r="C105" s="199">
        <v>6734</v>
      </c>
      <c r="D105" s="37" t="s">
        <v>41</v>
      </c>
      <c r="E105" s="188">
        <v>0</v>
      </c>
      <c r="F105" s="188">
        <v>0</v>
      </c>
      <c r="G105" s="188">
        <v>0</v>
      </c>
      <c r="H105" s="188">
        <v>0</v>
      </c>
      <c r="I105" s="188">
        <v>0</v>
      </c>
      <c r="J105" s="188">
        <v>0</v>
      </c>
      <c r="K105" s="188">
        <v>0</v>
      </c>
      <c r="L105" s="188">
        <v>0</v>
      </c>
      <c r="M105" s="188">
        <v>0</v>
      </c>
      <c r="N105" s="188">
        <v>0</v>
      </c>
      <c r="O105" s="188">
        <v>0</v>
      </c>
      <c r="P105" s="188">
        <v>0</v>
      </c>
      <c r="Q105" s="68">
        <v>0</v>
      </c>
      <c r="R105" s="41"/>
      <c r="S105" s="332">
        <f t="shared" ref="S105" si="20">SUM(E105:Q105)</f>
        <v>0</v>
      </c>
      <c r="T105" s="41"/>
    </row>
    <row r="106" spans="3:20" s="37" customFormat="1" ht="12" x14ac:dyDescent="0.2">
      <c r="C106" s="38"/>
      <c r="E106" s="73">
        <f>SUBTOTAL(9,E105)</f>
        <v>0</v>
      </c>
      <c r="F106" s="73">
        <f t="shared" ref="F106:S106" si="21">SUBTOTAL(9,F105)</f>
        <v>0</v>
      </c>
      <c r="G106" s="73">
        <f t="shared" si="21"/>
        <v>0</v>
      </c>
      <c r="H106" s="73">
        <f t="shared" si="21"/>
        <v>0</v>
      </c>
      <c r="I106" s="73">
        <f t="shared" si="21"/>
        <v>0</v>
      </c>
      <c r="J106" s="73">
        <f t="shared" si="21"/>
        <v>0</v>
      </c>
      <c r="K106" s="73">
        <f t="shared" si="21"/>
        <v>0</v>
      </c>
      <c r="L106" s="73">
        <f t="shared" si="21"/>
        <v>0</v>
      </c>
      <c r="M106" s="73">
        <f t="shared" si="21"/>
        <v>0</v>
      </c>
      <c r="N106" s="73">
        <f t="shared" si="21"/>
        <v>0</v>
      </c>
      <c r="O106" s="73">
        <f t="shared" si="21"/>
        <v>0</v>
      </c>
      <c r="P106" s="73">
        <f t="shared" si="21"/>
        <v>0</v>
      </c>
      <c r="Q106" s="73">
        <f t="shared" si="21"/>
        <v>0</v>
      </c>
      <c r="R106" s="41"/>
      <c r="S106" s="333">
        <f t="shared" si="21"/>
        <v>0</v>
      </c>
      <c r="T106" s="41"/>
    </row>
    <row r="107" spans="3:20" s="37" customFormat="1" ht="12" x14ac:dyDescent="0.2">
      <c r="C107" s="49" t="s">
        <v>104</v>
      </c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41"/>
      <c r="S107" s="332"/>
      <c r="T107" s="41"/>
    </row>
    <row r="108" spans="3:20" s="37" customFormat="1" ht="12" x14ac:dyDescent="0.2">
      <c r="C108" s="199">
        <v>6810</v>
      </c>
      <c r="D108" s="37" t="s">
        <v>42</v>
      </c>
      <c r="E108" s="188">
        <v>0</v>
      </c>
      <c r="F108" s="188">
        <v>0</v>
      </c>
      <c r="G108" s="188">
        <v>0</v>
      </c>
      <c r="H108" s="188">
        <v>0</v>
      </c>
      <c r="I108" s="188">
        <v>0</v>
      </c>
      <c r="J108" s="188">
        <v>0</v>
      </c>
      <c r="K108" s="188">
        <v>0</v>
      </c>
      <c r="L108" s="188">
        <v>0</v>
      </c>
      <c r="M108" s="188">
        <v>0</v>
      </c>
      <c r="N108" s="188">
        <v>0</v>
      </c>
      <c r="O108" s="188">
        <v>0</v>
      </c>
      <c r="P108" s="188">
        <v>0</v>
      </c>
      <c r="Q108" s="68">
        <v>0</v>
      </c>
      <c r="R108" s="41"/>
      <c r="S108" s="332">
        <f t="shared" ref="S108" si="22">SUM(E108:Q108)</f>
        <v>0</v>
      </c>
      <c r="T108" s="41"/>
    </row>
    <row r="109" spans="3:20" s="37" customFormat="1" ht="12" x14ac:dyDescent="0.2">
      <c r="C109" s="38"/>
      <c r="E109" s="73">
        <f>SUBTOTAL(9,E108)</f>
        <v>0</v>
      </c>
      <c r="F109" s="73">
        <f t="shared" ref="F109:Q109" si="23">SUBTOTAL(9,F108)</f>
        <v>0</v>
      </c>
      <c r="G109" s="73">
        <f t="shared" si="23"/>
        <v>0</v>
      </c>
      <c r="H109" s="73">
        <f t="shared" si="23"/>
        <v>0</v>
      </c>
      <c r="I109" s="73">
        <f t="shared" si="23"/>
        <v>0</v>
      </c>
      <c r="J109" s="73">
        <f t="shared" si="23"/>
        <v>0</v>
      </c>
      <c r="K109" s="73">
        <f t="shared" si="23"/>
        <v>0</v>
      </c>
      <c r="L109" s="73">
        <f t="shared" si="23"/>
        <v>0</v>
      </c>
      <c r="M109" s="73">
        <f t="shared" si="23"/>
        <v>0</v>
      </c>
      <c r="N109" s="73">
        <f t="shared" si="23"/>
        <v>0</v>
      </c>
      <c r="O109" s="73">
        <f t="shared" si="23"/>
        <v>0</v>
      </c>
      <c r="P109" s="73">
        <f t="shared" si="23"/>
        <v>0</v>
      </c>
      <c r="Q109" s="73">
        <f t="shared" si="23"/>
        <v>0</v>
      </c>
      <c r="R109" s="41"/>
      <c r="S109" s="333">
        <f t="shared" ref="S109" si="24">SUBTOTAL(9,S108)</f>
        <v>0</v>
      </c>
      <c r="T109" s="41"/>
    </row>
    <row r="110" spans="3:20" s="45" customFormat="1" ht="12" x14ac:dyDescent="0.2">
      <c r="C110" s="49" t="s">
        <v>43</v>
      </c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5"/>
      <c r="R110" s="48"/>
      <c r="S110" s="334"/>
      <c r="T110" s="48"/>
    </row>
    <row r="111" spans="3:20" s="37" customFormat="1" ht="12" x14ac:dyDescent="0.2">
      <c r="C111" s="199">
        <v>7306</v>
      </c>
      <c r="D111" s="37" t="s">
        <v>43</v>
      </c>
      <c r="E111" s="67">
        <f t="shared" ref="E111:P112" si="25">$U111/12</f>
        <v>0</v>
      </c>
      <c r="F111" s="67">
        <f t="shared" si="25"/>
        <v>0</v>
      </c>
      <c r="G111" s="67">
        <f t="shared" si="25"/>
        <v>0</v>
      </c>
      <c r="H111" s="67">
        <f t="shared" si="25"/>
        <v>0</v>
      </c>
      <c r="I111" s="67">
        <f t="shared" si="25"/>
        <v>0</v>
      </c>
      <c r="J111" s="67">
        <f t="shared" si="25"/>
        <v>0</v>
      </c>
      <c r="K111" s="67">
        <f t="shared" si="25"/>
        <v>0</v>
      </c>
      <c r="L111" s="67">
        <f t="shared" si="25"/>
        <v>0</v>
      </c>
      <c r="M111" s="67">
        <f t="shared" si="25"/>
        <v>0</v>
      </c>
      <c r="N111" s="67">
        <f t="shared" si="25"/>
        <v>0</v>
      </c>
      <c r="O111" s="67">
        <f t="shared" si="25"/>
        <v>0</v>
      </c>
      <c r="P111" s="67">
        <f t="shared" si="25"/>
        <v>0</v>
      </c>
      <c r="Q111" s="68">
        <v>0</v>
      </c>
      <c r="R111" s="41"/>
      <c r="S111" s="334">
        <f t="shared" ref="S111:S112" si="26">SUM(E111:Q111)</f>
        <v>0</v>
      </c>
      <c r="T111" s="41"/>
    </row>
    <row r="112" spans="3:20" s="37" customFormat="1" ht="12" x14ac:dyDescent="0.2">
      <c r="C112" s="38">
        <v>7901</v>
      </c>
      <c r="D112" s="37" t="s">
        <v>178</v>
      </c>
      <c r="E112" s="67">
        <f t="shared" si="25"/>
        <v>0</v>
      </c>
      <c r="F112" s="67">
        <f t="shared" si="25"/>
        <v>0</v>
      </c>
      <c r="G112" s="67">
        <f t="shared" si="25"/>
        <v>0</v>
      </c>
      <c r="H112" s="67">
        <f t="shared" si="25"/>
        <v>0</v>
      </c>
      <c r="I112" s="67">
        <f t="shared" si="25"/>
        <v>0</v>
      </c>
      <c r="J112" s="67">
        <f t="shared" si="25"/>
        <v>0</v>
      </c>
      <c r="K112" s="67">
        <f t="shared" si="25"/>
        <v>0</v>
      </c>
      <c r="L112" s="67">
        <f t="shared" si="25"/>
        <v>0</v>
      </c>
      <c r="M112" s="67">
        <f t="shared" si="25"/>
        <v>0</v>
      </c>
      <c r="N112" s="67">
        <f t="shared" si="25"/>
        <v>0</v>
      </c>
      <c r="O112" s="67">
        <f t="shared" si="25"/>
        <v>0</v>
      </c>
      <c r="P112" s="67">
        <f t="shared" si="25"/>
        <v>0</v>
      </c>
      <c r="Q112" s="70">
        <v>0</v>
      </c>
      <c r="R112" s="41"/>
      <c r="S112" s="334">
        <f t="shared" si="26"/>
        <v>0</v>
      </c>
      <c r="T112" s="41"/>
    </row>
    <row r="113" spans="1:20" s="37" customFormat="1" ht="12" x14ac:dyDescent="0.2">
      <c r="C113" s="38"/>
      <c r="E113" s="73">
        <f>SUBTOTAL(9,E111:E112)</f>
        <v>0</v>
      </c>
      <c r="F113" s="73">
        <f t="shared" ref="F113:P113" si="27">SUBTOTAL(9,F111:F112)</f>
        <v>0</v>
      </c>
      <c r="G113" s="73">
        <f t="shared" si="27"/>
        <v>0</v>
      </c>
      <c r="H113" s="73">
        <f t="shared" si="27"/>
        <v>0</v>
      </c>
      <c r="I113" s="73">
        <f t="shared" si="27"/>
        <v>0</v>
      </c>
      <c r="J113" s="73">
        <f t="shared" si="27"/>
        <v>0</v>
      </c>
      <c r="K113" s="73">
        <f t="shared" si="27"/>
        <v>0</v>
      </c>
      <c r="L113" s="73">
        <f t="shared" si="27"/>
        <v>0</v>
      </c>
      <c r="M113" s="73">
        <f t="shared" si="27"/>
        <v>0</v>
      </c>
      <c r="N113" s="73">
        <f t="shared" si="27"/>
        <v>0</v>
      </c>
      <c r="O113" s="73">
        <f t="shared" si="27"/>
        <v>0</v>
      </c>
      <c r="P113" s="73">
        <f t="shared" si="27"/>
        <v>0</v>
      </c>
      <c r="Q113" s="73">
        <f>SUBTOTAL(9,Q111:Q112)</f>
        <v>0</v>
      </c>
      <c r="R113" s="41"/>
      <c r="S113" s="333">
        <f>SUBTOTAL(9,S111:S112)</f>
        <v>0</v>
      </c>
      <c r="T113" s="41"/>
    </row>
    <row r="114" spans="1:20" s="37" customFormat="1" ht="9" customHeight="1" x14ac:dyDescent="0.2">
      <c r="C114" s="38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41"/>
      <c r="S114" s="332"/>
      <c r="T114" s="41"/>
    </row>
    <row r="115" spans="1:20" s="45" customFormat="1" ht="12" x14ac:dyDescent="0.2">
      <c r="A115" s="45" t="s">
        <v>107</v>
      </c>
      <c r="C115" s="46"/>
      <c r="E115" s="71">
        <f t="shared" ref="E115:Q115" si="28">SUBTOTAL(9,E30:E114)</f>
        <v>0</v>
      </c>
      <c r="F115" s="71">
        <f t="shared" si="28"/>
        <v>0</v>
      </c>
      <c r="G115" s="71">
        <f t="shared" si="28"/>
        <v>0</v>
      </c>
      <c r="H115" s="71">
        <f t="shared" si="28"/>
        <v>0</v>
      </c>
      <c r="I115" s="71">
        <f t="shared" si="28"/>
        <v>0</v>
      </c>
      <c r="J115" s="71">
        <f t="shared" si="28"/>
        <v>0</v>
      </c>
      <c r="K115" s="71">
        <f t="shared" si="28"/>
        <v>0</v>
      </c>
      <c r="L115" s="71">
        <f t="shared" si="28"/>
        <v>0</v>
      </c>
      <c r="M115" s="71">
        <f t="shared" si="28"/>
        <v>0</v>
      </c>
      <c r="N115" s="71">
        <f t="shared" si="28"/>
        <v>0</v>
      </c>
      <c r="O115" s="71">
        <f t="shared" si="28"/>
        <v>0</v>
      </c>
      <c r="P115" s="71">
        <f t="shared" si="28"/>
        <v>0</v>
      </c>
      <c r="Q115" s="69">
        <f t="shared" si="28"/>
        <v>0</v>
      </c>
      <c r="R115" s="48"/>
      <c r="S115" s="335">
        <f>SUBTOTAL(9,S30:S114)</f>
        <v>0</v>
      </c>
      <c r="T115" s="48"/>
    </row>
    <row r="116" spans="1:20" s="37" customFormat="1" ht="12" x14ac:dyDescent="0.2">
      <c r="C116" s="38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41"/>
      <c r="S116" s="332"/>
      <c r="T116" s="41"/>
    </row>
    <row r="117" spans="1:20" s="45" customFormat="1" ht="12.75" thickBot="1" x14ac:dyDescent="0.25">
      <c r="A117" s="45" t="s">
        <v>108</v>
      </c>
      <c r="C117" s="46"/>
      <c r="E117" s="193">
        <f t="shared" ref="E117:Q117" si="29">E27-E115</f>
        <v>0</v>
      </c>
      <c r="F117" s="193">
        <f t="shared" si="29"/>
        <v>0</v>
      </c>
      <c r="G117" s="193">
        <f t="shared" si="29"/>
        <v>0</v>
      </c>
      <c r="H117" s="193">
        <f t="shared" si="29"/>
        <v>0</v>
      </c>
      <c r="I117" s="193">
        <f t="shared" si="29"/>
        <v>0</v>
      </c>
      <c r="J117" s="193">
        <f t="shared" si="29"/>
        <v>0</v>
      </c>
      <c r="K117" s="193">
        <f t="shared" si="29"/>
        <v>0</v>
      </c>
      <c r="L117" s="193">
        <f t="shared" si="29"/>
        <v>0</v>
      </c>
      <c r="M117" s="193">
        <f t="shared" si="29"/>
        <v>0</v>
      </c>
      <c r="N117" s="193">
        <f t="shared" si="29"/>
        <v>0</v>
      </c>
      <c r="O117" s="193">
        <f t="shared" si="29"/>
        <v>0</v>
      </c>
      <c r="P117" s="193">
        <f t="shared" si="29"/>
        <v>0</v>
      </c>
      <c r="Q117" s="193">
        <f t="shared" si="29"/>
        <v>0</v>
      </c>
      <c r="R117" s="191"/>
      <c r="S117" s="336">
        <f>S27-S115</f>
        <v>0</v>
      </c>
      <c r="T117" s="191"/>
    </row>
    <row r="118" spans="1:20" s="37" customFormat="1" ht="12.75" thickTop="1" x14ac:dyDescent="0.2">
      <c r="C118" s="38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41"/>
      <c r="S118" s="337"/>
      <c r="T118" s="41"/>
    </row>
    <row r="119" spans="1:20" s="37" customFormat="1" ht="12" x14ac:dyDescent="0.2">
      <c r="A119" s="53" t="s">
        <v>109</v>
      </c>
      <c r="B119" s="54"/>
      <c r="C119" s="54"/>
      <c r="D119" s="54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41"/>
      <c r="S119" s="337"/>
      <c r="T119" s="41"/>
    </row>
    <row r="120" spans="1:20" s="37" customFormat="1" ht="12" x14ac:dyDescent="0.2">
      <c r="A120" s="53"/>
      <c r="B120" s="53"/>
      <c r="C120" s="54" t="s">
        <v>110</v>
      </c>
      <c r="D120" s="54"/>
      <c r="E120" s="67">
        <f>E117</f>
        <v>0</v>
      </c>
      <c r="F120" s="67">
        <f t="shared" ref="F120:Q120" si="30">F117</f>
        <v>0</v>
      </c>
      <c r="G120" s="67">
        <f t="shared" si="30"/>
        <v>0</v>
      </c>
      <c r="H120" s="67">
        <f t="shared" si="30"/>
        <v>0</v>
      </c>
      <c r="I120" s="67">
        <f t="shared" si="30"/>
        <v>0</v>
      </c>
      <c r="J120" s="67">
        <f t="shared" si="30"/>
        <v>0</v>
      </c>
      <c r="K120" s="67">
        <f t="shared" si="30"/>
        <v>0</v>
      </c>
      <c r="L120" s="67">
        <f t="shared" si="30"/>
        <v>0</v>
      </c>
      <c r="M120" s="67">
        <f t="shared" si="30"/>
        <v>0</v>
      </c>
      <c r="N120" s="67">
        <f t="shared" si="30"/>
        <v>0</v>
      </c>
      <c r="O120" s="67">
        <f t="shared" si="30"/>
        <v>0</v>
      </c>
      <c r="P120" s="67">
        <f t="shared" si="30"/>
        <v>0</v>
      </c>
      <c r="Q120" s="67">
        <f t="shared" si="30"/>
        <v>0</v>
      </c>
      <c r="R120" s="41"/>
      <c r="S120" s="337"/>
      <c r="T120" s="41"/>
    </row>
    <row r="121" spans="1:20" s="37" customFormat="1" ht="12" x14ac:dyDescent="0.2">
      <c r="A121" s="54"/>
      <c r="B121" s="54" t="s">
        <v>111</v>
      </c>
      <c r="C121" s="54" t="s">
        <v>112</v>
      </c>
      <c r="D121" s="54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41"/>
      <c r="S121" s="337"/>
      <c r="T121" s="41"/>
    </row>
    <row r="122" spans="1:20" s="37" customFormat="1" ht="12" x14ac:dyDescent="0.2">
      <c r="A122" s="54"/>
      <c r="B122" s="54" t="s">
        <v>111</v>
      </c>
      <c r="C122" s="54"/>
      <c r="D122" s="55" t="s">
        <v>113</v>
      </c>
      <c r="E122" s="67">
        <v>0</v>
      </c>
      <c r="F122" s="67">
        <v>0</v>
      </c>
      <c r="G122" s="67">
        <v>0</v>
      </c>
      <c r="H122" s="67">
        <v>0</v>
      </c>
      <c r="I122" s="67">
        <v>0</v>
      </c>
      <c r="J122" s="67">
        <v>0</v>
      </c>
      <c r="K122" s="67">
        <v>0</v>
      </c>
      <c r="L122" s="67">
        <v>0</v>
      </c>
      <c r="M122" s="67">
        <v>0</v>
      </c>
      <c r="N122" s="67">
        <v>0</v>
      </c>
      <c r="O122" s="67">
        <v>0</v>
      </c>
      <c r="P122" s="67">
        <v>0</v>
      </c>
      <c r="Q122" s="67">
        <v>0</v>
      </c>
      <c r="R122" s="41"/>
      <c r="S122" s="337"/>
      <c r="T122" s="41"/>
    </row>
    <row r="123" spans="1:20" s="37" customFormat="1" ht="12" x14ac:dyDescent="0.2">
      <c r="A123" s="54"/>
      <c r="B123" s="54" t="s">
        <v>111</v>
      </c>
      <c r="C123" s="54"/>
      <c r="D123" s="55" t="s">
        <v>114</v>
      </c>
      <c r="E123" s="67">
        <v>0</v>
      </c>
      <c r="F123" s="67">
        <v>0</v>
      </c>
      <c r="G123" s="67">
        <v>0</v>
      </c>
      <c r="H123" s="67">
        <v>0</v>
      </c>
      <c r="I123" s="67">
        <v>0</v>
      </c>
      <c r="J123" s="67">
        <v>0</v>
      </c>
      <c r="K123" s="67">
        <v>0</v>
      </c>
      <c r="L123" s="67">
        <v>0</v>
      </c>
      <c r="M123" s="67">
        <v>0</v>
      </c>
      <c r="N123" s="67">
        <v>0</v>
      </c>
      <c r="O123" s="67">
        <v>0</v>
      </c>
      <c r="P123" s="67">
        <v>0</v>
      </c>
      <c r="Q123" s="67">
        <v>-2.6800000000062028</v>
      </c>
      <c r="R123" s="41"/>
      <c r="S123" s="337"/>
      <c r="T123" s="41"/>
    </row>
    <row r="124" spans="1:20" s="37" customFormat="1" ht="12" x14ac:dyDescent="0.2">
      <c r="A124" s="54"/>
      <c r="B124" s="54" t="s">
        <v>111</v>
      </c>
      <c r="C124" s="54"/>
      <c r="D124" s="55" t="s">
        <v>115</v>
      </c>
      <c r="E124" s="67">
        <v>0</v>
      </c>
      <c r="F124" s="67">
        <v>0</v>
      </c>
      <c r="G124" s="67">
        <v>0</v>
      </c>
      <c r="H124" s="67">
        <v>0</v>
      </c>
      <c r="I124" s="67">
        <v>0</v>
      </c>
      <c r="J124" s="67">
        <v>0</v>
      </c>
      <c r="K124" s="67">
        <v>0</v>
      </c>
      <c r="L124" s="67">
        <v>0</v>
      </c>
      <c r="M124" s="67">
        <v>0</v>
      </c>
      <c r="N124" s="67">
        <v>0</v>
      </c>
      <c r="O124" s="67">
        <v>0</v>
      </c>
      <c r="P124" s="67">
        <v>0</v>
      </c>
      <c r="Q124" s="67">
        <v>0</v>
      </c>
      <c r="R124" s="41"/>
      <c r="S124" s="337"/>
      <c r="T124" s="41"/>
    </row>
    <row r="125" spans="1:20" s="37" customFormat="1" ht="12" x14ac:dyDescent="0.2">
      <c r="A125" s="54"/>
      <c r="B125" s="54" t="s">
        <v>111</v>
      </c>
      <c r="C125" s="54"/>
      <c r="D125" s="55" t="s">
        <v>116</v>
      </c>
      <c r="E125" s="67">
        <v>0</v>
      </c>
      <c r="F125" s="67">
        <v>0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67">
        <v>0</v>
      </c>
      <c r="M125" s="67">
        <v>0</v>
      </c>
      <c r="N125" s="67">
        <v>0</v>
      </c>
      <c r="O125" s="67">
        <v>0</v>
      </c>
      <c r="P125" s="67">
        <v>0</v>
      </c>
      <c r="Q125" s="67">
        <v>0</v>
      </c>
      <c r="R125" s="41"/>
      <c r="S125" s="337"/>
      <c r="T125" s="41"/>
    </row>
    <row r="126" spans="1:20" s="37" customFormat="1" ht="12" x14ac:dyDescent="0.2">
      <c r="A126" s="54"/>
      <c r="B126" s="54" t="s">
        <v>111</v>
      </c>
      <c r="C126" s="54"/>
      <c r="D126" s="55" t="s">
        <v>117</v>
      </c>
      <c r="E126" s="67">
        <v>0</v>
      </c>
      <c r="F126" s="67">
        <v>0</v>
      </c>
      <c r="G126" s="67">
        <v>0</v>
      </c>
      <c r="H126" s="67">
        <v>0</v>
      </c>
      <c r="I126" s="67">
        <v>0</v>
      </c>
      <c r="J126" s="67">
        <v>0</v>
      </c>
      <c r="K126" s="67">
        <v>0</v>
      </c>
      <c r="L126" s="67">
        <v>0</v>
      </c>
      <c r="M126" s="67">
        <v>0</v>
      </c>
      <c r="N126" s="67">
        <v>0</v>
      </c>
      <c r="O126" s="67">
        <v>0</v>
      </c>
      <c r="P126" s="67">
        <v>0</v>
      </c>
      <c r="Q126" s="67">
        <v>0</v>
      </c>
      <c r="R126" s="41"/>
      <c r="S126" s="337"/>
      <c r="T126" s="41"/>
    </row>
    <row r="127" spans="1:20" s="37" customFormat="1" ht="12" x14ac:dyDescent="0.2">
      <c r="A127" s="54"/>
      <c r="B127" s="54" t="s">
        <v>111</v>
      </c>
      <c r="C127" s="54"/>
      <c r="D127" s="55" t="s">
        <v>118</v>
      </c>
      <c r="E127" s="67">
        <v>0</v>
      </c>
      <c r="F127" s="67">
        <v>0</v>
      </c>
      <c r="G127" s="67">
        <v>0</v>
      </c>
      <c r="H127" s="67">
        <v>0</v>
      </c>
      <c r="I127" s="67">
        <v>0</v>
      </c>
      <c r="J127" s="67">
        <v>0</v>
      </c>
      <c r="K127" s="67">
        <v>0</v>
      </c>
      <c r="L127" s="67">
        <v>0</v>
      </c>
      <c r="M127" s="67">
        <v>0</v>
      </c>
      <c r="N127" s="67">
        <v>0</v>
      </c>
      <c r="O127" s="67">
        <v>0</v>
      </c>
      <c r="P127" s="67">
        <v>0</v>
      </c>
      <c r="Q127" s="67">
        <v>0</v>
      </c>
      <c r="R127" s="41"/>
      <c r="S127" s="337"/>
      <c r="T127" s="41"/>
    </row>
    <row r="128" spans="1:20" s="37" customFormat="1" ht="12" x14ac:dyDescent="0.2">
      <c r="A128" s="54"/>
      <c r="B128" s="54" t="s">
        <v>111</v>
      </c>
      <c r="C128" s="54"/>
      <c r="D128" s="55" t="s">
        <v>119</v>
      </c>
      <c r="E128" s="67">
        <v>0</v>
      </c>
      <c r="F128" s="67">
        <v>0</v>
      </c>
      <c r="G128" s="67">
        <v>0</v>
      </c>
      <c r="H128" s="67">
        <v>0</v>
      </c>
      <c r="I128" s="67">
        <v>0</v>
      </c>
      <c r="J128" s="67">
        <v>0</v>
      </c>
      <c r="K128" s="67">
        <v>0</v>
      </c>
      <c r="L128" s="67">
        <v>0</v>
      </c>
      <c r="M128" s="67">
        <v>0</v>
      </c>
      <c r="N128" s="67">
        <v>0</v>
      </c>
      <c r="O128" s="67">
        <v>0</v>
      </c>
      <c r="P128" s="67">
        <v>0</v>
      </c>
      <c r="Q128" s="67">
        <v>0</v>
      </c>
      <c r="R128" s="41"/>
      <c r="S128" s="337"/>
      <c r="T128" s="41"/>
    </row>
    <row r="129" spans="1:20" s="37" customFormat="1" ht="12" x14ac:dyDescent="0.2">
      <c r="A129" s="54"/>
      <c r="B129" s="54" t="s">
        <v>111</v>
      </c>
      <c r="C129" s="54"/>
      <c r="D129" s="55" t="s">
        <v>120</v>
      </c>
      <c r="E129" s="67">
        <v>0</v>
      </c>
      <c r="F129" s="67">
        <v>0</v>
      </c>
      <c r="G129" s="67">
        <v>0</v>
      </c>
      <c r="H129" s="67">
        <v>0</v>
      </c>
      <c r="I129" s="67">
        <v>0</v>
      </c>
      <c r="J129" s="67">
        <v>0</v>
      </c>
      <c r="K129" s="67">
        <v>0</v>
      </c>
      <c r="L129" s="67">
        <v>0</v>
      </c>
      <c r="M129" s="67">
        <v>0</v>
      </c>
      <c r="N129" s="67">
        <v>0</v>
      </c>
      <c r="O129" s="67">
        <v>0</v>
      </c>
      <c r="P129" s="67">
        <v>0</v>
      </c>
      <c r="Q129" s="67">
        <v>0</v>
      </c>
      <c r="R129" s="41"/>
      <c r="S129" s="337"/>
      <c r="T129" s="41"/>
    </row>
    <row r="130" spans="1:20" s="37" customFormat="1" ht="12" x14ac:dyDescent="0.2">
      <c r="A130" s="54"/>
      <c r="B130" s="54" t="s">
        <v>111</v>
      </c>
      <c r="C130" s="54"/>
      <c r="D130" s="55" t="s">
        <v>121</v>
      </c>
      <c r="E130" s="67">
        <v>0</v>
      </c>
      <c r="F130" s="67">
        <v>0</v>
      </c>
      <c r="G130" s="67">
        <v>0</v>
      </c>
      <c r="H130" s="67">
        <v>0</v>
      </c>
      <c r="I130" s="67">
        <v>0</v>
      </c>
      <c r="J130" s="67">
        <v>0</v>
      </c>
      <c r="K130" s="67">
        <v>0</v>
      </c>
      <c r="L130" s="67">
        <v>0</v>
      </c>
      <c r="M130" s="67">
        <v>0</v>
      </c>
      <c r="N130" s="67">
        <v>0</v>
      </c>
      <c r="O130" s="67">
        <v>0</v>
      </c>
      <c r="P130" s="67">
        <v>0</v>
      </c>
      <c r="Q130" s="67">
        <v>0</v>
      </c>
      <c r="R130" s="41"/>
      <c r="S130" s="337"/>
      <c r="T130" s="41"/>
    </row>
    <row r="131" spans="1:20" s="37" customFormat="1" ht="12" x14ac:dyDescent="0.2">
      <c r="A131" s="54"/>
      <c r="B131" s="54" t="s">
        <v>111</v>
      </c>
      <c r="C131" s="54" t="s">
        <v>122</v>
      </c>
      <c r="D131" s="55"/>
      <c r="E131" s="67">
        <v>0</v>
      </c>
      <c r="F131" s="67">
        <v>0</v>
      </c>
      <c r="G131" s="67">
        <v>0</v>
      </c>
      <c r="H131" s="67">
        <v>0</v>
      </c>
      <c r="I131" s="67">
        <v>0</v>
      </c>
      <c r="J131" s="67">
        <v>0</v>
      </c>
      <c r="K131" s="67">
        <v>0</v>
      </c>
      <c r="L131" s="67">
        <v>0</v>
      </c>
      <c r="M131" s="67">
        <v>0</v>
      </c>
      <c r="N131" s="67">
        <v>0</v>
      </c>
      <c r="O131" s="67">
        <v>0</v>
      </c>
      <c r="P131" s="67">
        <v>0</v>
      </c>
      <c r="Q131" s="67">
        <v>0</v>
      </c>
      <c r="R131" s="41"/>
      <c r="S131" s="337"/>
      <c r="T131" s="41"/>
    </row>
    <row r="132" spans="1:20" s="37" customFormat="1" ht="12" x14ac:dyDescent="0.2">
      <c r="A132" s="54"/>
      <c r="B132" s="54" t="s">
        <v>111</v>
      </c>
      <c r="C132" s="54"/>
      <c r="D132" s="55" t="s">
        <v>123</v>
      </c>
      <c r="E132" s="67">
        <v>0</v>
      </c>
      <c r="F132" s="67">
        <v>0</v>
      </c>
      <c r="G132" s="67">
        <v>0</v>
      </c>
      <c r="H132" s="67">
        <v>0</v>
      </c>
      <c r="I132" s="67">
        <v>0</v>
      </c>
      <c r="J132" s="67">
        <v>0</v>
      </c>
      <c r="K132" s="67">
        <v>0</v>
      </c>
      <c r="L132" s="67">
        <v>0</v>
      </c>
      <c r="M132" s="67">
        <v>0</v>
      </c>
      <c r="N132" s="67">
        <v>0</v>
      </c>
      <c r="O132" s="67">
        <v>0</v>
      </c>
      <c r="P132" s="67">
        <v>0</v>
      </c>
      <c r="Q132" s="67">
        <v>0</v>
      </c>
      <c r="R132" s="41"/>
      <c r="S132" s="337"/>
      <c r="T132" s="41"/>
    </row>
    <row r="133" spans="1:20" s="37" customFormat="1" ht="12" x14ac:dyDescent="0.2">
      <c r="A133" s="54"/>
      <c r="B133" s="54"/>
      <c r="C133" s="54"/>
      <c r="D133" s="54" t="s">
        <v>124</v>
      </c>
      <c r="E133" s="67">
        <v>0</v>
      </c>
      <c r="F133" s="67">
        <v>0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67">
        <v>0</v>
      </c>
      <c r="M133" s="67">
        <v>0</v>
      </c>
      <c r="N133" s="67">
        <v>0</v>
      </c>
      <c r="O133" s="67">
        <v>0</v>
      </c>
      <c r="P133" s="67">
        <v>0</v>
      </c>
      <c r="Q133" s="67">
        <v>0</v>
      </c>
      <c r="R133" s="41"/>
      <c r="S133" s="337"/>
      <c r="T133" s="41"/>
    </row>
    <row r="134" spans="1:20" s="37" customFormat="1" ht="12" x14ac:dyDescent="0.2">
      <c r="A134" s="54"/>
      <c r="B134" s="54"/>
      <c r="C134" s="54" t="s">
        <v>125</v>
      </c>
      <c r="D134" s="54"/>
      <c r="E134" s="67">
        <v>0</v>
      </c>
      <c r="F134" s="67">
        <v>0</v>
      </c>
      <c r="G134" s="67">
        <v>0</v>
      </c>
      <c r="H134" s="67">
        <v>0</v>
      </c>
      <c r="I134" s="67">
        <v>0</v>
      </c>
      <c r="J134" s="67">
        <v>0</v>
      </c>
      <c r="K134" s="67">
        <v>0</v>
      </c>
      <c r="L134" s="67">
        <v>0</v>
      </c>
      <c r="M134" s="67">
        <v>0</v>
      </c>
      <c r="N134" s="67">
        <v>0</v>
      </c>
      <c r="O134" s="67">
        <v>0</v>
      </c>
      <c r="P134" s="67">
        <v>0</v>
      </c>
      <c r="Q134" s="67">
        <v>0</v>
      </c>
      <c r="R134" s="41"/>
      <c r="S134" s="337"/>
      <c r="T134" s="41"/>
    </row>
    <row r="135" spans="1:20" s="37" customFormat="1" ht="12" x14ac:dyDescent="0.2">
      <c r="A135" s="54"/>
      <c r="B135" s="54"/>
      <c r="C135" s="54"/>
      <c r="D135" s="54" t="s">
        <v>129</v>
      </c>
      <c r="E135" s="67">
        <v>0</v>
      </c>
      <c r="F135" s="67">
        <v>0</v>
      </c>
      <c r="G135" s="67">
        <v>0</v>
      </c>
      <c r="H135" s="67">
        <v>0</v>
      </c>
      <c r="I135" s="67">
        <v>0</v>
      </c>
      <c r="J135" s="67">
        <v>0</v>
      </c>
      <c r="K135" s="67">
        <v>0</v>
      </c>
      <c r="L135" s="67">
        <v>0</v>
      </c>
      <c r="M135" s="67">
        <v>0</v>
      </c>
      <c r="N135" s="67">
        <v>0</v>
      </c>
      <c r="O135" s="67">
        <v>0</v>
      </c>
      <c r="P135" s="67">
        <v>0</v>
      </c>
      <c r="Q135" s="67">
        <v>0</v>
      </c>
      <c r="R135" s="41"/>
      <c r="S135" s="337"/>
      <c r="T135" s="41"/>
    </row>
    <row r="136" spans="1:20" s="37" customFormat="1" ht="12" x14ac:dyDescent="0.2">
      <c r="A136" s="54"/>
      <c r="B136" s="54"/>
      <c r="C136" s="54"/>
      <c r="D136" s="54" t="s">
        <v>130</v>
      </c>
      <c r="E136" s="69">
        <v>0</v>
      </c>
      <c r="F136" s="69">
        <v>0</v>
      </c>
      <c r="G136" s="69">
        <v>0</v>
      </c>
      <c r="H136" s="69">
        <v>0</v>
      </c>
      <c r="I136" s="69">
        <v>0</v>
      </c>
      <c r="J136" s="69">
        <v>0</v>
      </c>
      <c r="K136" s="69">
        <v>0</v>
      </c>
      <c r="L136" s="69">
        <v>0</v>
      </c>
      <c r="M136" s="69">
        <v>0</v>
      </c>
      <c r="N136" s="69">
        <v>0</v>
      </c>
      <c r="O136" s="69">
        <v>0</v>
      </c>
      <c r="P136" s="69">
        <v>0</v>
      </c>
      <c r="Q136" s="69">
        <v>0</v>
      </c>
      <c r="R136" s="41"/>
      <c r="S136" s="337"/>
      <c r="T136" s="41"/>
    </row>
    <row r="137" spans="1:20" s="37" customFormat="1" ht="12" x14ac:dyDescent="0.2">
      <c r="A137" s="54"/>
      <c r="B137" s="54"/>
      <c r="C137" s="54"/>
      <c r="D137" s="54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39"/>
      <c r="R137" s="41"/>
      <c r="S137" s="337"/>
      <c r="T137" s="41"/>
    </row>
    <row r="138" spans="1:20" s="37" customFormat="1" ht="12" x14ac:dyDescent="0.2">
      <c r="A138" s="54"/>
      <c r="B138" s="54" t="s">
        <v>126</v>
      </c>
      <c r="C138" s="54"/>
      <c r="D138" s="54"/>
      <c r="E138" s="67">
        <f>SUM(E120:E136)</f>
        <v>0</v>
      </c>
      <c r="F138" s="67">
        <f>SUM(F120:F136)</f>
        <v>0</v>
      </c>
      <c r="G138" s="67">
        <f t="shared" ref="G138:P138" si="31">SUM(G120:G136)</f>
        <v>0</v>
      </c>
      <c r="H138" s="67">
        <f t="shared" si="31"/>
        <v>0</v>
      </c>
      <c r="I138" s="67">
        <f t="shared" si="31"/>
        <v>0</v>
      </c>
      <c r="J138" s="67">
        <f t="shared" si="31"/>
        <v>0</v>
      </c>
      <c r="K138" s="67">
        <f t="shared" si="31"/>
        <v>0</v>
      </c>
      <c r="L138" s="67">
        <f t="shared" si="31"/>
        <v>0</v>
      </c>
      <c r="M138" s="67">
        <f t="shared" si="31"/>
        <v>0</v>
      </c>
      <c r="N138" s="67">
        <f t="shared" si="31"/>
        <v>0</v>
      </c>
      <c r="O138" s="67">
        <f t="shared" si="31"/>
        <v>0</v>
      </c>
      <c r="P138" s="67">
        <f t="shared" si="31"/>
        <v>0</v>
      </c>
      <c r="Q138" s="39"/>
      <c r="R138" s="41"/>
      <c r="S138" s="337"/>
      <c r="T138" s="41"/>
    </row>
    <row r="139" spans="1:20" s="37" customFormat="1" ht="12" x14ac:dyDescent="0.2">
      <c r="A139" s="54"/>
      <c r="B139" s="54" t="s">
        <v>127</v>
      </c>
      <c r="C139" s="54"/>
      <c r="D139" s="54"/>
      <c r="E139" s="69">
        <f>'FY21'!E139</f>
        <v>0</v>
      </c>
      <c r="F139" s="69">
        <f>E141</f>
        <v>0</v>
      </c>
      <c r="G139" s="69">
        <f t="shared" ref="G139:P139" si="32">F141</f>
        <v>0</v>
      </c>
      <c r="H139" s="69">
        <f t="shared" si="32"/>
        <v>0</v>
      </c>
      <c r="I139" s="69">
        <f t="shared" si="32"/>
        <v>0</v>
      </c>
      <c r="J139" s="69">
        <f t="shared" si="32"/>
        <v>0</v>
      </c>
      <c r="K139" s="69">
        <f t="shared" si="32"/>
        <v>0</v>
      </c>
      <c r="L139" s="69">
        <f t="shared" si="32"/>
        <v>0</v>
      </c>
      <c r="M139" s="69">
        <f t="shared" si="32"/>
        <v>0</v>
      </c>
      <c r="N139" s="69">
        <f t="shared" si="32"/>
        <v>0</v>
      </c>
      <c r="O139" s="69">
        <f t="shared" si="32"/>
        <v>0</v>
      </c>
      <c r="P139" s="69">
        <f t="shared" si="32"/>
        <v>0</v>
      </c>
      <c r="Q139" s="39"/>
      <c r="R139" s="41"/>
      <c r="S139" s="337"/>
      <c r="T139" s="41"/>
    </row>
    <row r="140" spans="1:20" s="37" customFormat="1" ht="12" x14ac:dyDescent="0.2">
      <c r="A140" s="54"/>
      <c r="B140" s="54"/>
      <c r="C140" s="54"/>
      <c r="D140" s="54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39"/>
      <c r="R140" s="41"/>
      <c r="S140" s="337"/>
      <c r="T140" s="41"/>
    </row>
    <row r="141" spans="1:20" s="37" customFormat="1" ht="12.75" thickBot="1" x14ac:dyDescent="0.25">
      <c r="A141" s="53"/>
      <c r="B141" s="53" t="s">
        <v>128</v>
      </c>
      <c r="C141" s="53"/>
      <c r="D141" s="53"/>
      <c r="E141" s="195">
        <f t="shared" ref="E141:P141" si="33">SUM(E138:E140)</f>
        <v>0</v>
      </c>
      <c r="F141" s="195">
        <f t="shared" si="33"/>
        <v>0</v>
      </c>
      <c r="G141" s="195">
        <f t="shared" si="33"/>
        <v>0</v>
      </c>
      <c r="H141" s="195">
        <f t="shared" si="33"/>
        <v>0</v>
      </c>
      <c r="I141" s="195">
        <f t="shared" si="33"/>
        <v>0</v>
      </c>
      <c r="J141" s="195">
        <f t="shared" si="33"/>
        <v>0</v>
      </c>
      <c r="K141" s="195">
        <f t="shared" si="33"/>
        <v>0</v>
      </c>
      <c r="L141" s="195">
        <f t="shared" si="33"/>
        <v>0</v>
      </c>
      <c r="M141" s="195">
        <f t="shared" si="33"/>
        <v>0</v>
      </c>
      <c r="N141" s="195">
        <f t="shared" si="33"/>
        <v>0</v>
      </c>
      <c r="O141" s="195">
        <f t="shared" si="33"/>
        <v>0</v>
      </c>
      <c r="P141" s="195">
        <f t="shared" si="33"/>
        <v>0</v>
      </c>
      <c r="Q141" s="39"/>
      <c r="R141" s="41"/>
      <c r="S141" s="337"/>
      <c r="T141" s="41"/>
    </row>
    <row r="142" spans="1:20" s="37" customFormat="1" ht="12.75" thickTop="1" x14ac:dyDescent="0.2">
      <c r="C142" s="38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41"/>
      <c r="S142" s="337"/>
      <c r="T142" s="41"/>
    </row>
    <row r="143" spans="1:20" s="37" customFormat="1" ht="12.75" thickBot="1" x14ac:dyDescent="0.25">
      <c r="C143" s="38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41"/>
      <c r="S143" s="337"/>
      <c r="T143" s="41"/>
    </row>
    <row r="144" spans="1:20" s="37" customFormat="1" ht="12.75" thickBot="1" x14ac:dyDescent="0.25">
      <c r="C144" s="38"/>
      <c r="E144" s="711" t="s">
        <v>169</v>
      </c>
      <c r="F144" s="712"/>
      <c r="G144" s="712"/>
      <c r="H144" s="712"/>
      <c r="I144" s="712"/>
      <c r="J144" s="712"/>
      <c r="K144" s="712"/>
      <c r="L144" s="712"/>
      <c r="M144" s="712"/>
      <c r="N144" s="712"/>
      <c r="O144" s="712"/>
      <c r="P144" s="713"/>
      <c r="Q144" s="39"/>
      <c r="R144" s="41"/>
      <c r="S144" s="337"/>
      <c r="T144" s="41"/>
    </row>
    <row r="145" spans="3:20" s="37" customFormat="1" ht="12" x14ac:dyDescent="0.2">
      <c r="C145" s="38"/>
      <c r="E145" s="177" t="s">
        <v>156</v>
      </c>
      <c r="F145" s="177" t="s">
        <v>157</v>
      </c>
      <c r="G145" s="177" t="s">
        <v>158</v>
      </c>
      <c r="H145" s="177" t="s">
        <v>159</v>
      </c>
      <c r="I145" s="177" t="s">
        <v>160</v>
      </c>
      <c r="J145" s="177" t="s">
        <v>161</v>
      </c>
      <c r="K145" s="177" t="s">
        <v>162</v>
      </c>
      <c r="L145" s="177" t="s">
        <v>163</v>
      </c>
      <c r="M145" s="177" t="s">
        <v>164</v>
      </c>
      <c r="N145" s="177" t="s">
        <v>165</v>
      </c>
      <c r="O145" s="177" t="s">
        <v>166</v>
      </c>
      <c r="P145" s="177" t="s">
        <v>167</v>
      </c>
      <c r="Q145" s="39"/>
      <c r="R145" s="41"/>
      <c r="S145" s="337"/>
      <c r="T145" s="41"/>
    </row>
    <row r="146" spans="3:20" s="37" customFormat="1" ht="12" hidden="1" x14ac:dyDescent="0.2">
      <c r="C146" s="38"/>
      <c r="D146" s="201" t="s">
        <v>63</v>
      </c>
      <c r="E146" s="178">
        <f>'Rev &amp; Enroll'!Q10</f>
        <v>0</v>
      </c>
      <c r="F146" s="178">
        <f>'Rev &amp; Enroll'!R10</f>
        <v>0</v>
      </c>
      <c r="G146" s="178">
        <f>'Rev &amp; Enroll'!S10</f>
        <v>0</v>
      </c>
      <c r="H146" s="178">
        <f>'Rev &amp; Enroll'!T10</f>
        <v>0</v>
      </c>
      <c r="I146" s="178">
        <f>'Rev &amp; Enroll'!U10</f>
        <v>0</v>
      </c>
      <c r="J146" s="178">
        <f>'Rev &amp; Enroll'!V10</f>
        <v>0</v>
      </c>
      <c r="K146" s="178">
        <f>'Rev &amp; Enroll'!W10</f>
        <v>0</v>
      </c>
      <c r="L146" s="178">
        <f>'Rev &amp; Enroll'!X10</f>
        <v>0</v>
      </c>
      <c r="M146" s="178">
        <f>'Rev &amp; Enroll'!Y10</f>
        <v>0</v>
      </c>
      <c r="N146" s="178">
        <f>'Rev &amp; Enroll'!Z10</f>
        <v>0</v>
      </c>
      <c r="O146" s="178">
        <f>'Rev &amp; Enroll'!AA10</f>
        <v>0</v>
      </c>
      <c r="P146" s="178">
        <f>'Rev &amp; Enroll'!AB10</f>
        <v>0</v>
      </c>
      <c r="Q146" s="39"/>
      <c r="R146" s="41"/>
      <c r="S146" s="337"/>
      <c r="T146" s="41"/>
    </row>
    <row r="147" spans="3:20" s="37" customFormat="1" ht="12" hidden="1" x14ac:dyDescent="0.2">
      <c r="C147" s="38"/>
      <c r="D147" s="201" t="s">
        <v>64</v>
      </c>
      <c r="E147" s="178">
        <f>'Rev &amp; Enroll'!Q11</f>
        <v>0</v>
      </c>
      <c r="F147" s="178">
        <f>'Rev &amp; Enroll'!R11</f>
        <v>0</v>
      </c>
      <c r="G147" s="178">
        <f>'Rev &amp; Enroll'!S11</f>
        <v>0</v>
      </c>
      <c r="H147" s="178">
        <f>'Rev &amp; Enroll'!T11</f>
        <v>0</v>
      </c>
      <c r="I147" s="178">
        <f>'Rev &amp; Enroll'!U11</f>
        <v>0</v>
      </c>
      <c r="J147" s="178">
        <f>'Rev &amp; Enroll'!V11</f>
        <v>0</v>
      </c>
      <c r="K147" s="178">
        <f>'Rev &amp; Enroll'!W11</f>
        <v>0</v>
      </c>
      <c r="L147" s="178">
        <f>'Rev &amp; Enroll'!X11</f>
        <v>0</v>
      </c>
      <c r="M147" s="178">
        <f>'Rev &amp; Enroll'!Y11</f>
        <v>0</v>
      </c>
      <c r="N147" s="178">
        <f>'Rev &amp; Enroll'!Z11</f>
        <v>0</v>
      </c>
      <c r="O147" s="178">
        <f>'Rev &amp; Enroll'!AA11</f>
        <v>0</v>
      </c>
      <c r="P147" s="178">
        <f>'Rev &amp; Enroll'!AB11</f>
        <v>0</v>
      </c>
      <c r="Q147" s="39"/>
      <c r="R147" s="41"/>
      <c r="S147" s="337"/>
      <c r="T147" s="41"/>
    </row>
    <row r="148" spans="3:20" s="37" customFormat="1" ht="12" hidden="1" x14ac:dyDescent="0.2">
      <c r="C148" s="38"/>
      <c r="D148" s="201">
        <v>1</v>
      </c>
      <c r="E148" s="178">
        <f>'Rev &amp; Enroll'!Q12</f>
        <v>0</v>
      </c>
      <c r="F148" s="178">
        <f>'Rev &amp; Enroll'!R12</f>
        <v>0</v>
      </c>
      <c r="G148" s="178">
        <f>'Rev &amp; Enroll'!S12</f>
        <v>0</v>
      </c>
      <c r="H148" s="178">
        <f>'Rev &amp; Enroll'!T12</f>
        <v>0</v>
      </c>
      <c r="I148" s="178">
        <f>'Rev &amp; Enroll'!U12</f>
        <v>0</v>
      </c>
      <c r="J148" s="178">
        <f>'Rev &amp; Enroll'!V12</f>
        <v>0</v>
      </c>
      <c r="K148" s="178">
        <f>'Rev &amp; Enroll'!W12</f>
        <v>0</v>
      </c>
      <c r="L148" s="178">
        <f>'Rev &amp; Enroll'!X12</f>
        <v>0</v>
      </c>
      <c r="M148" s="178">
        <f>'Rev &amp; Enroll'!Y12</f>
        <v>0</v>
      </c>
      <c r="N148" s="178">
        <f>'Rev &amp; Enroll'!Z12</f>
        <v>0</v>
      </c>
      <c r="O148" s="178">
        <f>'Rev &amp; Enroll'!AA12</f>
        <v>0</v>
      </c>
      <c r="P148" s="178">
        <f>'Rev &amp; Enroll'!AB12</f>
        <v>0</v>
      </c>
      <c r="Q148" s="39"/>
      <c r="R148" s="41"/>
      <c r="S148" s="337"/>
      <c r="T148" s="41"/>
    </row>
    <row r="149" spans="3:20" s="37" customFormat="1" ht="12" hidden="1" x14ac:dyDescent="0.2">
      <c r="C149" s="38"/>
      <c r="D149" s="201">
        <v>2</v>
      </c>
      <c r="E149" s="178">
        <f>'Rev &amp; Enroll'!Q13</f>
        <v>0</v>
      </c>
      <c r="F149" s="178">
        <f>'Rev &amp; Enroll'!R13</f>
        <v>0</v>
      </c>
      <c r="G149" s="178">
        <f>'Rev &amp; Enroll'!S13</f>
        <v>0</v>
      </c>
      <c r="H149" s="178">
        <f>'Rev &amp; Enroll'!T13</f>
        <v>0</v>
      </c>
      <c r="I149" s="178">
        <f>'Rev &amp; Enroll'!U13</f>
        <v>0</v>
      </c>
      <c r="J149" s="178">
        <f>'Rev &amp; Enroll'!V13</f>
        <v>0</v>
      </c>
      <c r="K149" s="178">
        <f>'Rev &amp; Enroll'!W13</f>
        <v>0</v>
      </c>
      <c r="L149" s="178">
        <f>'Rev &amp; Enroll'!X13</f>
        <v>0</v>
      </c>
      <c r="M149" s="178">
        <f>'Rev &amp; Enroll'!Y13</f>
        <v>0</v>
      </c>
      <c r="N149" s="178">
        <f>'Rev &amp; Enroll'!Z13</f>
        <v>0</v>
      </c>
      <c r="O149" s="178">
        <f>'Rev &amp; Enroll'!AA13</f>
        <v>0</v>
      </c>
      <c r="P149" s="178">
        <f>'Rev &amp; Enroll'!AB13</f>
        <v>0</v>
      </c>
      <c r="Q149" s="39"/>
      <c r="R149" s="41"/>
      <c r="S149" s="337"/>
      <c r="T149" s="41"/>
    </row>
    <row r="150" spans="3:20" s="37" customFormat="1" ht="12" hidden="1" x14ac:dyDescent="0.2">
      <c r="C150" s="38"/>
      <c r="D150" s="201">
        <v>3</v>
      </c>
      <c r="E150" s="178">
        <f>'Rev &amp; Enroll'!Q14</f>
        <v>0</v>
      </c>
      <c r="F150" s="178">
        <f>'Rev &amp; Enroll'!R14</f>
        <v>0</v>
      </c>
      <c r="G150" s="178">
        <f>'Rev &amp; Enroll'!S14</f>
        <v>0</v>
      </c>
      <c r="H150" s="178">
        <f>'Rev &amp; Enroll'!T14</f>
        <v>0</v>
      </c>
      <c r="I150" s="178">
        <f>'Rev &amp; Enroll'!U14</f>
        <v>0</v>
      </c>
      <c r="J150" s="178">
        <f>'Rev &amp; Enroll'!V14</f>
        <v>0</v>
      </c>
      <c r="K150" s="178">
        <f>'Rev &amp; Enroll'!W14</f>
        <v>0</v>
      </c>
      <c r="L150" s="178">
        <f>'Rev &amp; Enroll'!X14</f>
        <v>0</v>
      </c>
      <c r="M150" s="178">
        <f>'Rev &amp; Enroll'!Y14</f>
        <v>0</v>
      </c>
      <c r="N150" s="178">
        <f>'Rev &amp; Enroll'!Z14</f>
        <v>0</v>
      </c>
      <c r="O150" s="178">
        <f>'Rev &amp; Enroll'!AA14</f>
        <v>0</v>
      </c>
      <c r="P150" s="178">
        <f>'Rev &amp; Enroll'!AB14</f>
        <v>0</v>
      </c>
      <c r="Q150" s="39"/>
      <c r="R150" s="41"/>
      <c r="S150" s="337"/>
      <c r="T150" s="41"/>
    </row>
    <row r="151" spans="3:20" s="37" customFormat="1" ht="12" hidden="1" x14ac:dyDescent="0.2">
      <c r="C151" s="38"/>
      <c r="D151" s="201">
        <v>4</v>
      </c>
      <c r="E151" s="178">
        <f>'Rev &amp; Enroll'!Q15</f>
        <v>0</v>
      </c>
      <c r="F151" s="178">
        <f>'Rev &amp; Enroll'!R15</f>
        <v>0</v>
      </c>
      <c r="G151" s="178">
        <f>'Rev &amp; Enroll'!S15</f>
        <v>0</v>
      </c>
      <c r="H151" s="178">
        <f>'Rev &amp; Enroll'!T15</f>
        <v>0</v>
      </c>
      <c r="I151" s="178">
        <f>'Rev &amp; Enroll'!U15</f>
        <v>0</v>
      </c>
      <c r="J151" s="178">
        <f>'Rev &amp; Enroll'!V15</f>
        <v>0</v>
      </c>
      <c r="K151" s="178">
        <f>'Rev &amp; Enroll'!W15</f>
        <v>0</v>
      </c>
      <c r="L151" s="178">
        <f>'Rev &amp; Enroll'!X15</f>
        <v>0</v>
      </c>
      <c r="M151" s="178">
        <f>'Rev &amp; Enroll'!Y15</f>
        <v>0</v>
      </c>
      <c r="N151" s="178">
        <f>'Rev &amp; Enroll'!Z15</f>
        <v>0</v>
      </c>
      <c r="O151" s="178">
        <f>'Rev &amp; Enroll'!AA15</f>
        <v>0</v>
      </c>
      <c r="P151" s="178">
        <f>'Rev &amp; Enroll'!AB15</f>
        <v>0</v>
      </c>
      <c r="Q151" s="39"/>
      <c r="R151" s="41"/>
      <c r="S151" s="337"/>
      <c r="T151" s="41"/>
    </row>
    <row r="152" spans="3:20" s="37" customFormat="1" ht="12" hidden="1" x14ac:dyDescent="0.2">
      <c r="C152" s="38"/>
      <c r="D152" s="201">
        <v>5</v>
      </c>
      <c r="E152" s="178">
        <f>'Rev &amp; Enroll'!Q16</f>
        <v>0</v>
      </c>
      <c r="F152" s="178">
        <f>'Rev &amp; Enroll'!R16</f>
        <v>0</v>
      </c>
      <c r="G152" s="178">
        <f>'Rev &amp; Enroll'!S16</f>
        <v>0</v>
      </c>
      <c r="H152" s="178">
        <f>'Rev &amp; Enroll'!T16</f>
        <v>0</v>
      </c>
      <c r="I152" s="178">
        <f>'Rev &amp; Enroll'!U16</f>
        <v>0</v>
      </c>
      <c r="J152" s="178">
        <f>'Rev &amp; Enroll'!V16</f>
        <v>0</v>
      </c>
      <c r="K152" s="178">
        <f>'Rev &amp; Enroll'!W16</f>
        <v>0</v>
      </c>
      <c r="L152" s="178">
        <f>'Rev &amp; Enroll'!X16</f>
        <v>0</v>
      </c>
      <c r="M152" s="178">
        <f>'Rev &amp; Enroll'!Y16</f>
        <v>0</v>
      </c>
      <c r="N152" s="178">
        <f>'Rev &amp; Enroll'!Z16</f>
        <v>0</v>
      </c>
      <c r="O152" s="178">
        <f>'Rev &amp; Enroll'!AA16</f>
        <v>0</v>
      </c>
      <c r="P152" s="178">
        <f>'Rev &amp; Enroll'!AB16</f>
        <v>0</v>
      </c>
      <c r="Q152" s="39"/>
      <c r="R152" s="41"/>
      <c r="S152" s="337"/>
      <c r="T152" s="41"/>
    </row>
    <row r="153" spans="3:20" s="37" customFormat="1" ht="12" hidden="1" x14ac:dyDescent="0.2">
      <c r="C153" s="38"/>
      <c r="D153" s="201">
        <v>6</v>
      </c>
      <c r="E153" s="178">
        <f>'Rev &amp; Enroll'!Q17</f>
        <v>0</v>
      </c>
      <c r="F153" s="178">
        <f>'Rev &amp; Enroll'!R17</f>
        <v>0</v>
      </c>
      <c r="G153" s="178">
        <f>'Rev &amp; Enroll'!S17</f>
        <v>0</v>
      </c>
      <c r="H153" s="178">
        <f>'Rev &amp; Enroll'!T17</f>
        <v>0</v>
      </c>
      <c r="I153" s="178">
        <f>'Rev &amp; Enroll'!U17</f>
        <v>0</v>
      </c>
      <c r="J153" s="178">
        <f>'Rev &amp; Enroll'!V17</f>
        <v>0</v>
      </c>
      <c r="K153" s="178">
        <f>'Rev &amp; Enroll'!W17</f>
        <v>0</v>
      </c>
      <c r="L153" s="178">
        <f>'Rev &amp; Enroll'!X17</f>
        <v>0</v>
      </c>
      <c r="M153" s="178">
        <f>'Rev &amp; Enroll'!Y17</f>
        <v>0</v>
      </c>
      <c r="N153" s="178">
        <f>'Rev &amp; Enroll'!Z17</f>
        <v>0</v>
      </c>
      <c r="O153" s="178">
        <f>'Rev &amp; Enroll'!AA17</f>
        <v>0</v>
      </c>
      <c r="P153" s="178">
        <f>'Rev &amp; Enroll'!AB17</f>
        <v>0</v>
      </c>
      <c r="Q153" s="39"/>
      <c r="R153" s="41"/>
      <c r="S153" s="337"/>
      <c r="T153" s="41"/>
    </row>
    <row r="154" spans="3:20" s="37" customFormat="1" ht="12" hidden="1" x14ac:dyDescent="0.2">
      <c r="C154" s="38"/>
      <c r="D154" s="201">
        <v>7</v>
      </c>
      <c r="E154" s="178">
        <f>'Rev &amp; Enroll'!Q18</f>
        <v>0</v>
      </c>
      <c r="F154" s="178">
        <f>'Rev &amp; Enroll'!R18</f>
        <v>0</v>
      </c>
      <c r="G154" s="178">
        <f>'Rev &amp; Enroll'!S18</f>
        <v>0</v>
      </c>
      <c r="H154" s="178">
        <f>'Rev &amp; Enroll'!T18</f>
        <v>0</v>
      </c>
      <c r="I154" s="178">
        <f>'Rev &amp; Enroll'!U18</f>
        <v>0</v>
      </c>
      <c r="J154" s="178">
        <f>'Rev &amp; Enroll'!V18</f>
        <v>0</v>
      </c>
      <c r="K154" s="178">
        <f>'Rev &amp; Enroll'!W18</f>
        <v>0</v>
      </c>
      <c r="L154" s="178">
        <f>'Rev &amp; Enroll'!X18</f>
        <v>0</v>
      </c>
      <c r="M154" s="178">
        <f>'Rev &amp; Enroll'!Y18</f>
        <v>0</v>
      </c>
      <c r="N154" s="178">
        <f>'Rev &amp; Enroll'!Z18</f>
        <v>0</v>
      </c>
      <c r="O154" s="178">
        <f>'Rev &amp; Enroll'!AA18</f>
        <v>0</v>
      </c>
      <c r="P154" s="178">
        <f>'Rev &amp; Enroll'!AB18</f>
        <v>0</v>
      </c>
      <c r="Q154" s="39"/>
      <c r="R154" s="41"/>
      <c r="S154" s="337"/>
      <c r="T154" s="41"/>
    </row>
    <row r="155" spans="3:20" s="37" customFormat="1" ht="12" hidden="1" x14ac:dyDescent="0.2">
      <c r="C155" s="38"/>
      <c r="D155" s="201">
        <v>8</v>
      </c>
      <c r="E155" s="178">
        <f>'Rev &amp; Enroll'!Q19</f>
        <v>0</v>
      </c>
      <c r="F155" s="178">
        <f>'Rev &amp; Enroll'!R19</f>
        <v>0</v>
      </c>
      <c r="G155" s="178">
        <f>'Rev &amp; Enroll'!S19</f>
        <v>0</v>
      </c>
      <c r="H155" s="178">
        <f>'Rev &amp; Enroll'!T19</f>
        <v>0</v>
      </c>
      <c r="I155" s="178">
        <f>'Rev &amp; Enroll'!U19</f>
        <v>0</v>
      </c>
      <c r="J155" s="178">
        <f>'Rev &amp; Enroll'!V19</f>
        <v>0</v>
      </c>
      <c r="K155" s="178">
        <f>'Rev &amp; Enroll'!W19</f>
        <v>0</v>
      </c>
      <c r="L155" s="178">
        <f>'Rev &amp; Enroll'!X19</f>
        <v>0</v>
      </c>
      <c r="M155" s="178">
        <f>'Rev &amp; Enroll'!Y19</f>
        <v>0</v>
      </c>
      <c r="N155" s="178">
        <f>'Rev &amp; Enroll'!Z19</f>
        <v>0</v>
      </c>
      <c r="O155" s="178">
        <f>'Rev &amp; Enroll'!AA19</f>
        <v>0</v>
      </c>
      <c r="P155" s="178">
        <f>'Rev &amp; Enroll'!AB19</f>
        <v>0</v>
      </c>
      <c r="Q155" s="39"/>
      <c r="R155" s="41"/>
      <c r="S155" s="337"/>
      <c r="T155" s="41"/>
    </row>
    <row r="156" spans="3:20" s="37" customFormat="1" ht="12" hidden="1" x14ac:dyDescent="0.2">
      <c r="C156" s="38"/>
      <c r="D156" s="201">
        <v>9</v>
      </c>
      <c r="E156" s="178">
        <f>'Rev &amp; Enroll'!Q20</f>
        <v>0</v>
      </c>
      <c r="F156" s="178">
        <f>'Rev &amp; Enroll'!R20</f>
        <v>0</v>
      </c>
      <c r="G156" s="178">
        <f>'Rev &amp; Enroll'!S20</f>
        <v>0</v>
      </c>
      <c r="H156" s="178">
        <f>'Rev &amp; Enroll'!T20</f>
        <v>0</v>
      </c>
      <c r="I156" s="178">
        <f>'Rev &amp; Enroll'!U20</f>
        <v>0</v>
      </c>
      <c r="J156" s="178">
        <f>'Rev &amp; Enroll'!V20</f>
        <v>0</v>
      </c>
      <c r="K156" s="178">
        <f>'Rev &amp; Enroll'!W20</f>
        <v>0</v>
      </c>
      <c r="L156" s="178">
        <f>'Rev &amp; Enroll'!X20</f>
        <v>0</v>
      </c>
      <c r="M156" s="178">
        <f>'Rev &amp; Enroll'!Y20</f>
        <v>0</v>
      </c>
      <c r="N156" s="178">
        <f>'Rev &amp; Enroll'!Z20</f>
        <v>0</v>
      </c>
      <c r="O156" s="178">
        <f>'Rev &amp; Enroll'!AA20</f>
        <v>0</v>
      </c>
      <c r="P156" s="178">
        <f>'Rev &amp; Enroll'!AB20</f>
        <v>0</v>
      </c>
      <c r="Q156" s="39"/>
      <c r="R156" s="41"/>
      <c r="S156" s="337"/>
      <c r="T156" s="41"/>
    </row>
    <row r="157" spans="3:20" s="37" customFormat="1" ht="12" hidden="1" x14ac:dyDescent="0.2">
      <c r="C157" s="38"/>
      <c r="D157" s="201">
        <v>10</v>
      </c>
      <c r="E157" s="178">
        <f>'Rev &amp; Enroll'!Q21</f>
        <v>0</v>
      </c>
      <c r="F157" s="178">
        <f>'Rev &amp; Enroll'!R21</f>
        <v>0</v>
      </c>
      <c r="G157" s="178">
        <f>'Rev &amp; Enroll'!S21</f>
        <v>0</v>
      </c>
      <c r="H157" s="178">
        <f>'Rev &amp; Enroll'!T21</f>
        <v>0</v>
      </c>
      <c r="I157" s="178">
        <f>'Rev &amp; Enroll'!U21</f>
        <v>0</v>
      </c>
      <c r="J157" s="178">
        <f>'Rev &amp; Enroll'!V21</f>
        <v>0</v>
      </c>
      <c r="K157" s="178">
        <f>'Rev &amp; Enroll'!W21</f>
        <v>0</v>
      </c>
      <c r="L157" s="178">
        <f>'Rev &amp; Enroll'!X21</f>
        <v>0</v>
      </c>
      <c r="M157" s="178">
        <f>'Rev &amp; Enroll'!Y21</f>
        <v>0</v>
      </c>
      <c r="N157" s="178">
        <f>'Rev &amp; Enroll'!Z21</f>
        <v>0</v>
      </c>
      <c r="O157" s="178">
        <f>'Rev &amp; Enroll'!AA21</f>
        <v>0</v>
      </c>
      <c r="P157" s="178">
        <f>'Rev &amp; Enroll'!AB21</f>
        <v>0</v>
      </c>
      <c r="Q157" s="39"/>
      <c r="R157" s="41"/>
      <c r="S157" s="337"/>
      <c r="T157" s="41"/>
    </row>
    <row r="158" spans="3:20" s="37" customFormat="1" ht="12" x14ac:dyDescent="0.2">
      <c r="C158" s="38"/>
      <c r="D158" s="201">
        <v>11</v>
      </c>
      <c r="E158" s="178">
        <v>0</v>
      </c>
      <c r="F158" s="178">
        <v>0</v>
      </c>
      <c r="G158" s="178">
        <v>0</v>
      </c>
      <c r="H158" s="178">
        <v>0</v>
      </c>
      <c r="I158" s="178">
        <v>0</v>
      </c>
      <c r="J158" s="178">
        <v>0</v>
      </c>
      <c r="K158" s="178">
        <v>0</v>
      </c>
      <c r="L158" s="178">
        <v>0</v>
      </c>
      <c r="M158" s="178">
        <v>0</v>
      </c>
      <c r="N158" s="178">
        <v>0</v>
      </c>
      <c r="O158" s="178">
        <v>0</v>
      </c>
      <c r="P158" s="178">
        <v>0</v>
      </c>
      <c r="Q158" s="39"/>
      <c r="R158" s="41"/>
      <c r="S158" s="337"/>
      <c r="T158" s="41"/>
    </row>
    <row r="159" spans="3:20" s="37" customFormat="1" ht="12" x14ac:dyDescent="0.2">
      <c r="C159" s="38"/>
      <c r="D159" s="201">
        <v>12</v>
      </c>
      <c r="E159" s="178">
        <v>0</v>
      </c>
      <c r="F159" s="178">
        <v>0</v>
      </c>
      <c r="G159" s="178">
        <v>0</v>
      </c>
      <c r="H159" s="178">
        <v>0</v>
      </c>
      <c r="I159" s="178">
        <v>0</v>
      </c>
      <c r="J159" s="178">
        <v>0</v>
      </c>
      <c r="K159" s="178">
        <v>0</v>
      </c>
      <c r="L159" s="178">
        <v>0</v>
      </c>
      <c r="M159" s="178">
        <v>0</v>
      </c>
      <c r="N159" s="178">
        <v>0</v>
      </c>
      <c r="O159" s="178">
        <v>0</v>
      </c>
      <c r="P159" s="178">
        <v>0</v>
      </c>
      <c r="Q159" s="200" t="s">
        <v>184</v>
      </c>
      <c r="R159" s="41"/>
      <c r="S159" s="337"/>
      <c r="T159" s="41"/>
    </row>
    <row r="160" spans="3:20" s="37" customFormat="1" ht="12" x14ac:dyDescent="0.2">
      <c r="C160" s="38"/>
      <c r="D160" s="202" t="s">
        <v>66</v>
      </c>
      <c r="E160" s="179">
        <f t="shared" ref="E160:P160" si="34">SUM(E146:E159)</f>
        <v>0</v>
      </c>
      <c r="F160" s="179">
        <f t="shared" si="34"/>
        <v>0</v>
      </c>
      <c r="G160" s="179">
        <f t="shared" si="34"/>
        <v>0</v>
      </c>
      <c r="H160" s="179">
        <f t="shared" si="34"/>
        <v>0</v>
      </c>
      <c r="I160" s="179">
        <f t="shared" si="34"/>
        <v>0</v>
      </c>
      <c r="J160" s="179">
        <f t="shared" si="34"/>
        <v>0</v>
      </c>
      <c r="K160" s="179">
        <f t="shared" si="34"/>
        <v>0</v>
      </c>
      <c r="L160" s="179">
        <f t="shared" si="34"/>
        <v>0</v>
      </c>
      <c r="M160" s="179">
        <f t="shared" si="34"/>
        <v>0</v>
      </c>
      <c r="N160" s="179">
        <f t="shared" si="34"/>
        <v>0</v>
      </c>
      <c r="O160" s="179">
        <f t="shared" si="34"/>
        <v>0</v>
      </c>
      <c r="P160" s="179">
        <f t="shared" si="34"/>
        <v>0</v>
      </c>
      <c r="Q160" s="200">
        <f>AVERAGE(E160:P160)</f>
        <v>0</v>
      </c>
      <c r="R160" s="41"/>
      <c r="S160" s="337"/>
      <c r="T160" s="41"/>
    </row>
    <row r="161" spans="3:20" s="37" customFormat="1" ht="12" x14ac:dyDescent="0.2">
      <c r="C161" s="38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41"/>
      <c r="S161" s="337"/>
      <c r="T161" s="41"/>
    </row>
    <row r="162" spans="3:20" s="37" customFormat="1" ht="12" x14ac:dyDescent="0.2">
      <c r="C162" s="38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41"/>
      <c r="S162" s="337"/>
      <c r="T162" s="41"/>
    </row>
    <row r="163" spans="3:20" s="37" customFormat="1" ht="12" x14ac:dyDescent="0.2">
      <c r="C163" s="38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41"/>
      <c r="S163" s="337"/>
      <c r="T163" s="41"/>
    </row>
    <row r="164" spans="3:20" s="37" customFormat="1" ht="12" x14ac:dyDescent="0.2">
      <c r="C164" s="38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41"/>
      <c r="S164" s="337"/>
      <c r="T164" s="41"/>
    </row>
    <row r="165" spans="3:20" s="37" customFormat="1" ht="12" x14ac:dyDescent="0.2">
      <c r="C165" s="38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41"/>
      <c r="S165" s="337"/>
      <c r="T165" s="41"/>
    </row>
    <row r="166" spans="3:20" s="37" customFormat="1" ht="12" x14ac:dyDescent="0.2">
      <c r="C166" s="38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41"/>
      <c r="S166" s="337"/>
      <c r="T166" s="41"/>
    </row>
    <row r="167" spans="3:20" s="37" customFormat="1" ht="12" x14ac:dyDescent="0.2">
      <c r="C167" s="38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41"/>
      <c r="S167" s="337"/>
      <c r="T167" s="41"/>
    </row>
    <row r="168" spans="3:20" s="37" customFormat="1" ht="12" x14ac:dyDescent="0.2">
      <c r="C168" s="38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41"/>
      <c r="S168" s="337"/>
      <c r="T168" s="41"/>
    </row>
    <row r="169" spans="3:20" s="37" customFormat="1" ht="12" x14ac:dyDescent="0.2">
      <c r="C169" s="38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41"/>
      <c r="S169" s="337"/>
      <c r="T169" s="41"/>
    </row>
    <row r="170" spans="3:20" s="37" customFormat="1" ht="12" x14ac:dyDescent="0.2">
      <c r="C170" s="38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41"/>
      <c r="S170" s="337"/>
      <c r="T170" s="41"/>
    </row>
    <row r="171" spans="3:20" s="37" customFormat="1" ht="12" x14ac:dyDescent="0.2">
      <c r="C171" s="38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41"/>
      <c r="S171" s="337"/>
      <c r="T171" s="41"/>
    </row>
    <row r="172" spans="3:20" s="37" customFormat="1" ht="12" x14ac:dyDescent="0.2">
      <c r="C172" s="38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41"/>
      <c r="S172" s="337"/>
      <c r="T172" s="41"/>
    </row>
    <row r="173" spans="3:20" s="37" customFormat="1" ht="12" x14ac:dyDescent="0.2">
      <c r="C173" s="38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41"/>
      <c r="S173" s="337"/>
      <c r="T173" s="41"/>
    </row>
    <row r="174" spans="3:20" s="37" customFormat="1" ht="12" x14ac:dyDescent="0.2">
      <c r="C174" s="38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41"/>
      <c r="S174" s="337"/>
      <c r="T174" s="41"/>
    </row>
    <row r="175" spans="3:20" s="37" customFormat="1" ht="12" x14ac:dyDescent="0.2">
      <c r="C175" s="38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41"/>
      <c r="S175" s="337"/>
      <c r="T175" s="41"/>
    </row>
    <row r="176" spans="3:20" s="37" customFormat="1" ht="12" x14ac:dyDescent="0.2">
      <c r="C176" s="38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41"/>
      <c r="S176" s="337"/>
      <c r="T176" s="41"/>
    </row>
    <row r="177" spans="3:20" s="37" customFormat="1" ht="12" x14ac:dyDescent="0.2">
      <c r="C177" s="38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41"/>
      <c r="S177" s="337"/>
      <c r="T177" s="41"/>
    </row>
    <row r="178" spans="3:20" s="37" customFormat="1" ht="12" x14ac:dyDescent="0.2">
      <c r="C178" s="38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41"/>
      <c r="S178" s="337"/>
      <c r="T178" s="41"/>
    </row>
    <row r="179" spans="3:20" s="37" customFormat="1" ht="12" x14ac:dyDescent="0.2">
      <c r="C179" s="38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41"/>
      <c r="S179" s="337"/>
      <c r="T179" s="41"/>
    </row>
    <row r="180" spans="3:20" s="37" customFormat="1" ht="12" x14ac:dyDescent="0.2">
      <c r="C180" s="38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41"/>
      <c r="S180" s="337"/>
      <c r="T180" s="41"/>
    </row>
    <row r="181" spans="3:20" s="37" customFormat="1" ht="12" x14ac:dyDescent="0.2">
      <c r="C181" s="38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41"/>
      <c r="S181" s="337"/>
      <c r="T181" s="41"/>
    </row>
    <row r="182" spans="3:20" s="37" customFormat="1" ht="12" x14ac:dyDescent="0.2">
      <c r="C182" s="38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41"/>
      <c r="S182" s="337"/>
      <c r="T182" s="41"/>
    </row>
    <row r="183" spans="3:20" s="37" customFormat="1" ht="12" x14ac:dyDescent="0.2">
      <c r="C183" s="38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41"/>
      <c r="S183" s="337"/>
      <c r="T183" s="41"/>
    </row>
    <row r="184" spans="3:20" s="37" customFormat="1" ht="12" x14ac:dyDescent="0.2">
      <c r="C184" s="38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41"/>
      <c r="S184" s="337"/>
      <c r="T184" s="41"/>
    </row>
    <row r="185" spans="3:20" s="37" customFormat="1" ht="12" x14ac:dyDescent="0.2">
      <c r="C185" s="38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41"/>
      <c r="S185" s="337"/>
      <c r="T185" s="41"/>
    </row>
    <row r="186" spans="3:20" s="37" customFormat="1" ht="12" x14ac:dyDescent="0.2">
      <c r="C186" s="38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41"/>
      <c r="S186" s="337"/>
      <c r="T186" s="41"/>
    </row>
    <row r="187" spans="3:20" s="37" customFormat="1" ht="12" x14ac:dyDescent="0.2">
      <c r="C187" s="38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41"/>
      <c r="S187" s="337"/>
      <c r="T187" s="41"/>
    </row>
    <row r="188" spans="3:20" s="37" customFormat="1" ht="12" x14ac:dyDescent="0.2">
      <c r="C188" s="38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41"/>
      <c r="S188" s="337"/>
      <c r="T188" s="41"/>
    </row>
    <row r="189" spans="3:20" s="37" customFormat="1" ht="12" x14ac:dyDescent="0.2">
      <c r="C189" s="38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41"/>
      <c r="S189" s="337"/>
      <c r="T189" s="41"/>
    </row>
    <row r="190" spans="3:20" s="37" customFormat="1" ht="12" x14ac:dyDescent="0.2">
      <c r="C190" s="38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41"/>
      <c r="S190" s="337"/>
      <c r="T190" s="41"/>
    </row>
    <row r="191" spans="3:20" s="37" customFormat="1" ht="12" x14ac:dyDescent="0.2">
      <c r="C191" s="38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41"/>
      <c r="S191" s="337"/>
      <c r="T191" s="41"/>
    </row>
    <row r="192" spans="3:20" s="37" customFormat="1" ht="12" x14ac:dyDescent="0.2">
      <c r="C192" s="38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41"/>
      <c r="S192" s="337"/>
      <c r="T192" s="41"/>
    </row>
    <row r="193" spans="3:20" s="37" customFormat="1" ht="12" x14ac:dyDescent="0.2">
      <c r="C193" s="38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41"/>
      <c r="S193" s="337"/>
      <c r="T193" s="41"/>
    </row>
    <row r="194" spans="3:20" s="37" customFormat="1" ht="12" x14ac:dyDescent="0.2">
      <c r="C194" s="38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41"/>
      <c r="S194" s="337"/>
      <c r="T194" s="41"/>
    </row>
    <row r="195" spans="3:20" s="37" customFormat="1" ht="12" x14ac:dyDescent="0.2">
      <c r="C195" s="38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41"/>
      <c r="S195" s="337"/>
      <c r="T195" s="41"/>
    </row>
    <row r="196" spans="3:20" s="37" customFormat="1" ht="12" x14ac:dyDescent="0.2">
      <c r="C196" s="38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41"/>
      <c r="S196" s="337"/>
      <c r="T196" s="41"/>
    </row>
    <row r="197" spans="3:20" s="37" customFormat="1" ht="12" x14ac:dyDescent="0.2">
      <c r="C197" s="38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41"/>
      <c r="S197" s="337"/>
      <c r="T197" s="41"/>
    </row>
    <row r="198" spans="3:20" s="37" customFormat="1" ht="12" x14ac:dyDescent="0.2">
      <c r="C198" s="38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41"/>
      <c r="S198" s="337"/>
      <c r="T198" s="41"/>
    </row>
    <row r="199" spans="3:20" s="37" customFormat="1" ht="12" x14ac:dyDescent="0.2">
      <c r="C199" s="38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41"/>
      <c r="S199" s="337"/>
      <c r="T199" s="41"/>
    </row>
    <row r="200" spans="3:20" s="37" customFormat="1" ht="12" x14ac:dyDescent="0.2">
      <c r="C200" s="38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41"/>
      <c r="S200" s="337"/>
      <c r="T200" s="41"/>
    </row>
    <row r="201" spans="3:20" s="37" customFormat="1" ht="12" x14ac:dyDescent="0.2">
      <c r="C201" s="38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41"/>
      <c r="S201" s="337"/>
      <c r="T201" s="41"/>
    </row>
    <row r="202" spans="3:20" s="37" customFormat="1" ht="12" x14ac:dyDescent="0.2">
      <c r="C202" s="38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41"/>
      <c r="S202" s="337"/>
      <c r="T202" s="41"/>
    </row>
    <row r="203" spans="3:20" s="37" customFormat="1" ht="12" x14ac:dyDescent="0.2">
      <c r="C203" s="38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41"/>
      <c r="S203" s="337"/>
      <c r="T203" s="41"/>
    </row>
    <row r="204" spans="3:20" s="37" customFormat="1" ht="12" x14ac:dyDescent="0.2">
      <c r="C204" s="38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41"/>
      <c r="S204" s="337"/>
      <c r="T204" s="41"/>
    </row>
    <row r="205" spans="3:20" s="37" customFormat="1" ht="12" x14ac:dyDescent="0.2">
      <c r="C205" s="38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41"/>
      <c r="S205" s="337"/>
      <c r="T205" s="41"/>
    </row>
    <row r="206" spans="3:20" s="37" customFormat="1" ht="12" x14ac:dyDescent="0.2">
      <c r="C206" s="38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41"/>
      <c r="S206" s="337"/>
      <c r="T206" s="41"/>
    </row>
    <row r="207" spans="3:20" s="37" customFormat="1" ht="12" x14ac:dyDescent="0.2">
      <c r="C207" s="38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41"/>
      <c r="S207" s="337"/>
      <c r="T207" s="41"/>
    </row>
    <row r="208" spans="3:20" s="37" customFormat="1" ht="12" x14ac:dyDescent="0.2">
      <c r="C208" s="38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41"/>
      <c r="S208" s="337"/>
      <c r="T208" s="41"/>
    </row>
    <row r="209" spans="3:20" s="37" customFormat="1" ht="12" x14ac:dyDescent="0.2">
      <c r="C209" s="38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41"/>
      <c r="S209" s="337"/>
      <c r="T209" s="41"/>
    </row>
    <row r="210" spans="3:20" s="37" customFormat="1" ht="12" x14ac:dyDescent="0.2">
      <c r="C210" s="38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41"/>
      <c r="S210" s="337"/>
      <c r="T210" s="41"/>
    </row>
    <row r="211" spans="3:20" s="37" customFormat="1" ht="12" x14ac:dyDescent="0.2">
      <c r="C211" s="38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41"/>
      <c r="S211" s="337"/>
      <c r="T211" s="41"/>
    </row>
    <row r="212" spans="3:20" s="37" customFormat="1" ht="12" x14ac:dyDescent="0.2">
      <c r="C212" s="38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41"/>
      <c r="S212" s="337"/>
      <c r="T212" s="41"/>
    </row>
    <row r="213" spans="3:20" s="37" customFormat="1" ht="12" x14ac:dyDescent="0.2">
      <c r="C213" s="38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41"/>
      <c r="S213" s="337"/>
      <c r="T213" s="41"/>
    </row>
    <row r="214" spans="3:20" s="37" customFormat="1" ht="12" x14ac:dyDescent="0.2">
      <c r="C214" s="38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41"/>
      <c r="S214" s="337"/>
      <c r="T214" s="41"/>
    </row>
    <row r="215" spans="3:20" s="37" customFormat="1" ht="12" x14ac:dyDescent="0.2">
      <c r="C215" s="38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41"/>
      <c r="S215" s="337"/>
      <c r="T215" s="41"/>
    </row>
    <row r="216" spans="3:20" s="37" customFormat="1" ht="12" x14ac:dyDescent="0.2">
      <c r="C216" s="38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41"/>
      <c r="S216" s="337"/>
      <c r="T216" s="41"/>
    </row>
    <row r="217" spans="3:20" s="37" customFormat="1" ht="12" x14ac:dyDescent="0.2">
      <c r="C217" s="38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41"/>
      <c r="S217" s="337"/>
      <c r="T217" s="41"/>
    </row>
    <row r="218" spans="3:20" s="37" customFormat="1" ht="12" x14ac:dyDescent="0.2">
      <c r="C218" s="38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41"/>
      <c r="S218" s="337"/>
      <c r="T218" s="41"/>
    </row>
    <row r="219" spans="3:20" s="37" customFormat="1" ht="12" x14ac:dyDescent="0.2">
      <c r="C219" s="38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41"/>
      <c r="S219" s="337"/>
      <c r="T219" s="41"/>
    </row>
    <row r="220" spans="3:20" s="37" customFormat="1" ht="12" x14ac:dyDescent="0.2">
      <c r="C220" s="38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41"/>
      <c r="S220" s="337"/>
      <c r="T220" s="41"/>
    </row>
    <row r="221" spans="3:20" s="37" customFormat="1" ht="12" x14ac:dyDescent="0.2">
      <c r="C221" s="38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41"/>
      <c r="S221" s="337"/>
      <c r="T221" s="41"/>
    </row>
    <row r="222" spans="3:20" s="37" customFormat="1" ht="12" x14ac:dyDescent="0.2">
      <c r="C222" s="38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41"/>
      <c r="S222" s="337"/>
      <c r="T222" s="41"/>
    </row>
    <row r="223" spans="3:20" s="37" customFormat="1" ht="12" x14ac:dyDescent="0.2">
      <c r="C223" s="38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41"/>
      <c r="S223" s="337"/>
      <c r="T223" s="41"/>
    </row>
    <row r="224" spans="3:20" s="37" customFormat="1" ht="12" x14ac:dyDescent="0.2">
      <c r="C224" s="38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41"/>
      <c r="S224" s="337"/>
      <c r="T224" s="41"/>
    </row>
    <row r="225" spans="3:20" s="37" customFormat="1" ht="12" x14ac:dyDescent="0.2">
      <c r="C225" s="38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41"/>
      <c r="S225" s="337"/>
      <c r="T225" s="41"/>
    </row>
    <row r="226" spans="3:20" s="37" customFormat="1" ht="12" x14ac:dyDescent="0.2">
      <c r="C226" s="38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41"/>
      <c r="S226" s="337"/>
      <c r="T226" s="41"/>
    </row>
    <row r="227" spans="3:20" s="37" customFormat="1" ht="12" x14ac:dyDescent="0.2">
      <c r="C227" s="38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41"/>
      <c r="S227" s="337"/>
      <c r="T227" s="41"/>
    </row>
    <row r="228" spans="3:20" s="37" customFormat="1" ht="12" x14ac:dyDescent="0.2">
      <c r="C228" s="38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41"/>
      <c r="S228" s="337"/>
      <c r="T228" s="41"/>
    </row>
    <row r="229" spans="3:20" s="37" customFormat="1" ht="12" x14ac:dyDescent="0.2">
      <c r="C229" s="38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41"/>
      <c r="S229" s="337"/>
      <c r="T229" s="41"/>
    </row>
    <row r="230" spans="3:20" s="37" customFormat="1" ht="12" x14ac:dyDescent="0.2">
      <c r="C230" s="38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41"/>
      <c r="S230" s="337"/>
      <c r="T230" s="41"/>
    </row>
    <row r="231" spans="3:20" s="37" customFormat="1" ht="12" x14ac:dyDescent="0.2">
      <c r="C231" s="38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41"/>
      <c r="S231" s="337"/>
      <c r="T231" s="41"/>
    </row>
    <row r="232" spans="3:20" s="37" customFormat="1" ht="12" x14ac:dyDescent="0.2">
      <c r="C232" s="38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41"/>
      <c r="S232" s="337"/>
      <c r="T232" s="41"/>
    </row>
    <row r="233" spans="3:20" s="37" customFormat="1" ht="12" x14ac:dyDescent="0.2">
      <c r="C233" s="38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41"/>
      <c r="S233" s="337"/>
      <c r="T233" s="41"/>
    </row>
    <row r="234" spans="3:20" s="37" customFormat="1" ht="12" x14ac:dyDescent="0.2">
      <c r="C234" s="38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41"/>
      <c r="S234" s="337"/>
      <c r="T234" s="41"/>
    </row>
    <row r="235" spans="3:20" s="37" customFormat="1" ht="12" x14ac:dyDescent="0.2">
      <c r="C235" s="38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41"/>
      <c r="S235" s="337"/>
      <c r="T235" s="41"/>
    </row>
    <row r="236" spans="3:20" s="37" customFormat="1" ht="12" x14ac:dyDescent="0.2">
      <c r="C236" s="38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41"/>
      <c r="S236" s="337"/>
      <c r="T236" s="41"/>
    </row>
    <row r="237" spans="3:20" s="37" customFormat="1" ht="12" x14ac:dyDescent="0.2">
      <c r="C237" s="38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41"/>
      <c r="S237" s="337"/>
      <c r="T237" s="41"/>
    </row>
    <row r="238" spans="3:20" s="37" customFormat="1" ht="12" x14ac:dyDescent="0.2">
      <c r="C238" s="38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41"/>
      <c r="S238" s="337"/>
      <c r="T238" s="41"/>
    </row>
    <row r="239" spans="3:20" s="37" customFormat="1" ht="12" x14ac:dyDescent="0.2">
      <c r="C239" s="38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41"/>
      <c r="S239" s="337"/>
      <c r="T239" s="41"/>
    </row>
    <row r="240" spans="3:20" s="37" customFormat="1" ht="12" x14ac:dyDescent="0.2">
      <c r="C240" s="38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41"/>
      <c r="S240" s="337"/>
      <c r="T240" s="41"/>
    </row>
    <row r="241" spans="3:20" s="37" customFormat="1" ht="12" x14ac:dyDescent="0.2">
      <c r="C241" s="38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41"/>
      <c r="S241" s="337"/>
      <c r="T241" s="41"/>
    </row>
    <row r="242" spans="3:20" s="37" customFormat="1" ht="12" x14ac:dyDescent="0.2">
      <c r="C242" s="38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41"/>
      <c r="S242" s="337"/>
      <c r="T242" s="41"/>
    </row>
    <row r="243" spans="3:20" s="37" customFormat="1" ht="12" x14ac:dyDescent="0.2">
      <c r="C243" s="38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41"/>
      <c r="S243" s="337"/>
      <c r="T243" s="41"/>
    </row>
    <row r="244" spans="3:20" s="37" customFormat="1" ht="12" x14ac:dyDescent="0.2">
      <c r="C244" s="38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41"/>
      <c r="S244" s="337"/>
      <c r="T244" s="41"/>
    </row>
    <row r="245" spans="3:20" s="37" customFormat="1" ht="12" x14ac:dyDescent="0.2">
      <c r="C245" s="38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41"/>
      <c r="S245" s="337"/>
      <c r="T245" s="41"/>
    </row>
    <row r="246" spans="3:20" s="37" customFormat="1" ht="12" x14ac:dyDescent="0.2">
      <c r="C246" s="38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41"/>
      <c r="S246" s="337"/>
      <c r="T246" s="41"/>
    </row>
    <row r="247" spans="3:20" s="37" customFormat="1" ht="12" x14ac:dyDescent="0.2">
      <c r="C247" s="38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41"/>
      <c r="S247" s="337"/>
      <c r="T247" s="41"/>
    </row>
    <row r="248" spans="3:20" s="37" customFormat="1" ht="12" x14ac:dyDescent="0.2">
      <c r="C248" s="38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41"/>
      <c r="S248" s="337"/>
      <c r="T248" s="41"/>
    </row>
    <row r="249" spans="3:20" s="37" customFormat="1" ht="12" x14ac:dyDescent="0.2">
      <c r="C249" s="38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41"/>
      <c r="S249" s="337"/>
      <c r="T249" s="41"/>
    </row>
    <row r="250" spans="3:20" s="37" customFormat="1" ht="12" x14ac:dyDescent="0.2">
      <c r="C250" s="38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41"/>
      <c r="S250" s="337"/>
      <c r="T250" s="41"/>
    </row>
    <row r="251" spans="3:20" s="37" customFormat="1" ht="12" x14ac:dyDescent="0.2">
      <c r="C251" s="38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41"/>
      <c r="S251" s="337"/>
      <c r="T251" s="41"/>
    </row>
    <row r="252" spans="3:20" s="37" customFormat="1" ht="12" x14ac:dyDescent="0.2">
      <c r="C252" s="38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41"/>
      <c r="S252" s="337"/>
      <c r="T252" s="41"/>
    </row>
    <row r="253" spans="3:20" s="37" customFormat="1" ht="12" x14ac:dyDescent="0.2">
      <c r="C253" s="38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41"/>
      <c r="S253" s="337"/>
      <c r="T253" s="41"/>
    </row>
    <row r="254" spans="3:20" s="37" customFormat="1" ht="12" x14ac:dyDescent="0.2">
      <c r="C254" s="38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41"/>
      <c r="S254" s="337"/>
      <c r="T254" s="41"/>
    </row>
    <row r="255" spans="3:20" s="37" customFormat="1" ht="12" x14ac:dyDescent="0.2">
      <c r="C255" s="38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41"/>
      <c r="S255" s="337"/>
      <c r="T255" s="41"/>
    </row>
    <row r="256" spans="3:20" s="37" customFormat="1" ht="12" x14ac:dyDescent="0.2">
      <c r="C256" s="38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41"/>
      <c r="S256" s="337"/>
      <c r="T256" s="41"/>
    </row>
    <row r="257" spans="3:20" s="37" customFormat="1" ht="12" x14ac:dyDescent="0.2">
      <c r="C257" s="38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41"/>
      <c r="S257" s="337"/>
      <c r="T257" s="41"/>
    </row>
    <row r="258" spans="3:20" s="37" customFormat="1" ht="12" x14ac:dyDescent="0.2">
      <c r="C258" s="38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41"/>
      <c r="S258" s="337"/>
      <c r="T258" s="41"/>
    </row>
    <row r="259" spans="3:20" s="37" customFormat="1" ht="12" x14ac:dyDescent="0.2">
      <c r="C259" s="38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41"/>
      <c r="S259" s="337"/>
      <c r="T259" s="41"/>
    </row>
    <row r="260" spans="3:20" s="37" customFormat="1" ht="12" x14ac:dyDescent="0.2">
      <c r="C260" s="38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41"/>
      <c r="S260" s="337"/>
      <c r="T260" s="41"/>
    </row>
    <row r="261" spans="3:20" s="37" customFormat="1" ht="12" x14ac:dyDescent="0.2">
      <c r="C261" s="38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41"/>
      <c r="S261" s="337"/>
      <c r="T261" s="41"/>
    </row>
    <row r="262" spans="3:20" s="37" customFormat="1" ht="12" x14ac:dyDescent="0.2">
      <c r="C262" s="38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41"/>
      <c r="S262" s="337"/>
      <c r="T262" s="41"/>
    </row>
    <row r="263" spans="3:20" s="37" customFormat="1" ht="12" x14ac:dyDescent="0.2">
      <c r="C263" s="38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41"/>
      <c r="S263" s="337"/>
      <c r="T263" s="41"/>
    </row>
    <row r="264" spans="3:20" s="37" customFormat="1" ht="12" x14ac:dyDescent="0.2">
      <c r="C264" s="38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41"/>
      <c r="S264" s="337"/>
      <c r="T264" s="41"/>
    </row>
    <row r="265" spans="3:20" s="37" customFormat="1" ht="12" x14ac:dyDescent="0.2">
      <c r="C265" s="38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41"/>
      <c r="S265" s="337"/>
      <c r="T265" s="41"/>
    </row>
    <row r="266" spans="3:20" s="37" customFormat="1" ht="12" x14ac:dyDescent="0.2">
      <c r="C266" s="38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41"/>
      <c r="S266" s="337"/>
      <c r="T266" s="41"/>
    </row>
    <row r="267" spans="3:20" s="37" customFormat="1" ht="12" x14ac:dyDescent="0.2">
      <c r="C267" s="38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41"/>
      <c r="S267" s="337"/>
      <c r="T267" s="41"/>
    </row>
    <row r="268" spans="3:20" s="37" customFormat="1" ht="12" x14ac:dyDescent="0.2">
      <c r="C268" s="38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41"/>
      <c r="S268" s="337"/>
      <c r="T268" s="41"/>
    </row>
    <row r="269" spans="3:20" s="37" customFormat="1" ht="12" x14ac:dyDescent="0.2">
      <c r="C269" s="38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41"/>
      <c r="S269" s="337"/>
      <c r="T269" s="41"/>
    </row>
    <row r="270" spans="3:20" s="37" customFormat="1" ht="12" x14ac:dyDescent="0.2">
      <c r="C270" s="38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41"/>
      <c r="S270" s="337"/>
      <c r="T270" s="41"/>
    </row>
    <row r="271" spans="3:20" s="37" customFormat="1" ht="12" x14ac:dyDescent="0.2">
      <c r="C271" s="38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41"/>
      <c r="S271" s="337"/>
      <c r="T271" s="41"/>
    </row>
    <row r="272" spans="3:20" s="37" customFormat="1" ht="12" x14ac:dyDescent="0.2">
      <c r="C272" s="38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41"/>
      <c r="S272" s="337"/>
      <c r="T272" s="41"/>
    </row>
    <row r="273" spans="3:20" s="37" customFormat="1" ht="12" x14ac:dyDescent="0.2">
      <c r="C273" s="38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41"/>
      <c r="S273" s="337"/>
      <c r="T273" s="41"/>
    </row>
    <row r="274" spans="3:20" s="37" customFormat="1" ht="12" x14ac:dyDescent="0.2">
      <c r="C274" s="38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41"/>
      <c r="S274" s="337"/>
      <c r="T274" s="41"/>
    </row>
    <row r="275" spans="3:20" s="37" customFormat="1" ht="12" x14ac:dyDescent="0.2">
      <c r="C275" s="38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41"/>
      <c r="S275" s="337"/>
      <c r="T275" s="41"/>
    </row>
    <row r="276" spans="3:20" s="37" customFormat="1" ht="12" x14ac:dyDescent="0.2">
      <c r="C276" s="38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41"/>
      <c r="S276" s="337"/>
      <c r="T276" s="41"/>
    </row>
    <row r="277" spans="3:20" x14ac:dyDescent="0.25"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R277" s="27"/>
      <c r="T277" s="27"/>
    </row>
  </sheetData>
  <mergeCells count="1">
    <mergeCell ref="E144:P144"/>
  </mergeCells>
  <pageMargins left="0.7" right="0.7" top="0.75" bottom="0.75" header="0.3" footer="0.3"/>
  <pageSetup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1" tint="0.34998626667073579"/>
  </sheetPr>
  <dimension ref="A1:U277"/>
  <sheetViews>
    <sheetView workbookViewId="0">
      <selection activeCell="R118" sqref="R118"/>
    </sheetView>
  </sheetViews>
  <sheetFormatPr defaultColWidth="8.85546875" defaultRowHeight="15" x14ac:dyDescent="0.25"/>
  <cols>
    <col min="1" max="2" width="3.140625" style="14" customWidth="1"/>
    <col min="3" max="3" width="7.85546875" style="20" customWidth="1"/>
    <col min="4" max="4" width="38.28515625" style="14" bestFit="1" customWidth="1"/>
    <col min="5" max="16" width="8.85546875" style="14"/>
    <col min="17" max="17" width="8.85546875" style="22"/>
    <col min="18" max="18" width="2.140625" style="28" customWidth="1"/>
    <col min="19" max="19" width="11.140625" style="338" bestFit="1" customWidth="1"/>
    <col min="20" max="20" width="2.140625" style="28" customWidth="1"/>
    <col min="21" max="21" width="11.140625" style="368" bestFit="1" customWidth="1"/>
    <col min="22" max="16384" width="8.85546875" style="14"/>
  </cols>
  <sheetData>
    <row r="1" spans="1:21" s="1" customFormat="1" ht="21" x14ac:dyDescent="0.35">
      <c r="A1" s="11" t="str">
        <f>'Rev &amp; Enroll'!$F$5</f>
        <v>Nevada State High School (Northwest)</v>
      </c>
      <c r="B1" s="11"/>
      <c r="C1" s="17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4"/>
      <c r="R1" s="24"/>
      <c r="S1" s="328"/>
      <c r="T1" s="24"/>
      <c r="U1" s="278"/>
    </row>
    <row r="2" spans="1:21" s="1" customFormat="1" x14ac:dyDescent="0.25">
      <c r="A2" s="12" t="s">
        <v>523</v>
      </c>
      <c r="B2" s="12"/>
      <c r="C2" s="17"/>
      <c r="D2" s="13"/>
      <c r="E2" s="2"/>
      <c r="F2" s="2"/>
      <c r="G2" s="2"/>
      <c r="H2" s="2"/>
      <c r="I2" s="2"/>
      <c r="J2" s="2"/>
      <c r="M2" s="2"/>
      <c r="N2" s="2"/>
      <c r="O2" s="2"/>
      <c r="Q2" s="8"/>
      <c r="R2" s="25"/>
      <c r="S2" s="329"/>
      <c r="T2" s="29"/>
      <c r="U2" s="360"/>
    </row>
    <row r="3" spans="1:21" s="6" customFormat="1" ht="13.5" customHeight="1" x14ac:dyDescent="0.2">
      <c r="A3" s="5" t="s">
        <v>525</v>
      </c>
      <c r="B3" s="5"/>
      <c r="C3" s="1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8"/>
      <c r="R3" s="25"/>
      <c r="S3" s="330"/>
      <c r="T3" s="30"/>
      <c r="U3" s="279"/>
    </row>
    <row r="4" spans="1:21" s="9" customFormat="1" ht="29.45" customHeight="1" x14ac:dyDescent="0.25">
      <c r="C4" s="19"/>
      <c r="D4" s="10"/>
      <c r="E4" s="33">
        <v>43647</v>
      </c>
      <c r="F4" s="33">
        <f t="shared" ref="F4:P4" si="0">E4+31</f>
        <v>43678</v>
      </c>
      <c r="G4" s="33">
        <f t="shared" si="0"/>
        <v>43709</v>
      </c>
      <c r="H4" s="33">
        <f t="shared" si="0"/>
        <v>43740</v>
      </c>
      <c r="I4" s="33">
        <f t="shared" si="0"/>
        <v>43771</v>
      </c>
      <c r="J4" s="33">
        <f t="shared" si="0"/>
        <v>43802</v>
      </c>
      <c r="K4" s="33">
        <f t="shared" si="0"/>
        <v>43833</v>
      </c>
      <c r="L4" s="33">
        <f t="shared" si="0"/>
        <v>43864</v>
      </c>
      <c r="M4" s="33">
        <f t="shared" si="0"/>
        <v>43895</v>
      </c>
      <c r="N4" s="33">
        <f t="shared" si="0"/>
        <v>43926</v>
      </c>
      <c r="O4" s="33">
        <f t="shared" si="0"/>
        <v>43957</v>
      </c>
      <c r="P4" s="56">
        <f t="shared" si="0"/>
        <v>43988</v>
      </c>
      <c r="Q4" s="35" t="s">
        <v>54</v>
      </c>
      <c r="R4" s="26"/>
      <c r="S4" s="331" t="s">
        <v>55</v>
      </c>
      <c r="T4" s="26"/>
      <c r="U4" s="361" t="s">
        <v>528</v>
      </c>
    </row>
    <row r="5" spans="1:21" s="9" customFormat="1" ht="12" hidden="1" x14ac:dyDescent="0.2">
      <c r="C5" s="19"/>
      <c r="D5" s="208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4"/>
      <c r="R5" s="26"/>
      <c r="S5" s="339"/>
      <c r="T5" s="26"/>
      <c r="U5" s="362"/>
    </row>
    <row r="6" spans="1:21" s="37" customFormat="1" ht="11.45" customHeight="1" x14ac:dyDescent="0.2">
      <c r="A6" s="45" t="s">
        <v>58</v>
      </c>
      <c r="C6" s="38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8"/>
      <c r="R6" s="41"/>
      <c r="S6" s="332"/>
      <c r="T6" s="41"/>
      <c r="U6" s="362"/>
    </row>
    <row r="7" spans="1:21" s="37" customFormat="1" ht="12" x14ac:dyDescent="0.2">
      <c r="A7" s="45"/>
      <c r="C7" s="49" t="s">
        <v>172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8"/>
      <c r="R7" s="41"/>
      <c r="S7" s="332"/>
      <c r="T7" s="41"/>
      <c r="U7" s="362"/>
    </row>
    <row r="8" spans="1:21" s="37" customFormat="1" ht="12" x14ac:dyDescent="0.2">
      <c r="A8" s="45"/>
      <c r="C8" s="199">
        <v>1110</v>
      </c>
      <c r="D8" s="37" t="s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9"/>
      <c r="R8" s="186"/>
      <c r="S8" s="332">
        <f>SUM(E8:Q8)</f>
        <v>0</v>
      </c>
      <c r="T8" s="186"/>
      <c r="U8" s="362">
        <f>SUM(E8:L8)</f>
        <v>0</v>
      </c>
    </row>
    <row r="9" spans="1:21" s="37" customFormat="1" ht="12" x14ac:dyDescent="0.2">
      <c r="A9" s="45"/>
      <c r="C9" s="199">
        <v>1120</v>
      </c>
      <c r="D9" s="37" t="s">
        <v>1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8"/>
      <c r="R9" s="41"/>
      <c r="S9" s="332">
        <f t="shared" ref="S9:S12" si="1">SUM(E9:Q9)</f>
        <v>0</v>
      </c>
      <c r="T9" s="41"/>
      <c r="U9" s="362">
        <f t="shared" ref="U9:U72" si="2">SUM(E9:L9)</f>
        <v>0</v>
      </c>
    </row>
    <row r="10" spans="1:21" s="37" customFormat="1" ht="12" x14ac:dyDescent="0.2">
      <c r="A10" s="45"/>
      <c r="C10" s="199">
        <v>1191</v>
      </c>
      <c r="D10" s="37" t="s">
        <v>2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8"/>
      <c r="R10" s="41"/>
      <c r="S10" s="332">
        <f t="shared" si="1"/>
        <v>0</v>
      </c>
      <c r="T10" s="41"/>
      <c r="U10" s="362">
        <f t="shared" si="2"/>
        <v>0</v>
      </c>
    </row>
    <row r="11" spans="1:21" s="37" customFormat="1" ht="12" x14ac:dyDescent="0.2">
      <c r="A11" s="45"/>
      <c r="C11" s="199">
        <v>1192</v>
      </c>
      <c r="D11" s="37" t="s">
        <v>3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8"/>
      <c r="R11" s="41"/>
      <c r="S11" s="332">
        <f t="shared" si="1"/>
        <v>0</v>
      </c>
      <c r="T11" s="41"/>
      <c r="U11" s="362">
        <f t="shared" si="2"/>
        <v>0</v>
      </c>
    </row>
    <row r="12" spans="1:21" s="37" customFormat="1" ht="12" x14ac:dyDescent="0.2">
      <c r="A12" s="45"/>
      <c r="C12" s="199">
        <v>3110</v>
      </c>
      <c r="D12" s="37" t="s">
        <v>73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8"/>
      <c r="R12" s="41"/>
      <c r="S12" s="332">
        <f t="shared" si="1"/>
        <v>0</v>
      </c>
      <c r="T12" s="41"/>
      <c r="U12" s="362">
        <f t="shared" si="2"/>
        <v>0</v>
      </c>
    </row>
    <row r="13" spans="1:21" s="37" customFormat="1" ht="12" x14ac:dyDescent="0.2">
      <c r="A13" s="45"/>
      <c r="C13" s="38"/>
      <c r="E13" s="73">
        <f>SUBTOTAL(9,E8:E12)</f>
        <v>0</v>
      </c>
      <c r="F13" s="73">
        <f t="shared" ref="F13:Q13" si="3">SUBTOTAL(9,F8:F12)</f>
        <v>0</v>
      </c>
      <c r="G13" s="73">
        <f t="shared" si="3"/>
        <v>0</v>
      </c>
      <c r="H13" s="73">
        <f t="shared" si="3"/>
        <v>0</v>
      </c>
      <c r="I13" s="73">
        <f t="shared" si="3"/>
        <v>0</v>
      </c>
      <c r="J13" s="73">
        <f t="shared" si="3"/>
        <v>0</v>
      </c>
      <c r="K13" s="73">
        <f t="shared" si="3"/>
        <v>0</v>
      </c>
      <c r="L13" s="73">
        <f t="shared" si="3"/>
        <v>0</v>
      </c>
      <c r="M13" s="73">
        <f t="shared" si="3"/>
        <v>0</v>
      </c>
      <c r="N13" s="73">
        <f t="shared" si="3"/>
        <v>0</v>
      </c>
      <c r="O13" s="73">
        <f t="shared" si="3"/>
        <v>0</v>
      </c>
      <c r="P13" s="73">
        <f t="shared" si="3"/>
        <v>0</v>
      </c>
      <c r="Q13" s="73">
        <f t="shared" si="3"/>
        <v>0</v>
      </c>
      <c r="R13" s="41"/>
      <c r="S13" s="333">
        <f>SUBTOTAL(9,S8:S12)</f>
        <v>0</v>
      </c>
      <c r="T13" s="41"/>
      <c r="U13" s="363">
        <f t="shared" si="2"/>
        <v>0</v>
      </c>
    </row>
    <row r="14" spans="1:21" s="37" customFormat="1" ht="12" x14ac:dyDescent="0.2">
      <c r="A14" s="45"/>
      <c r="C14" s="49" t="s">
        <v>171</v>
      </c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8"/>
      <c r="R14" s="41"/>
      <c r="S14" s="332"/>
      <c r="T14" s="41"/>
      <c r="U14" s="362">
        <f t="shared" si="2"/>
        <v>0</v>
      </c>
    </row>
    <row r="15" spans="1:21" s="37" customFormat="1" ht="12" x14ac:dyDescent="0.2">
      <c r="A15" s="45"/>
      <c r="C15" s="199">
        <v>3115</v>
      </c>
      <c r="D15" s="37" t="s">
        <v>5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8"/>
      <c r="R15" s="41"/>
      <c r="S15" s="332">
        <f t="shared" ref="S15:S21" si="4">SUM(E15:Q15)</f>
        <v>0</v>
      </c>
      <c r="T15" s="41"/>
      <c r="U15" s="362">
        <f t="shared" si="2"/>
        <v>0</v>
      </c>
    </row>
    <row r="16" spans="1:21" s="37" customFormat="1" ht="12" x14ac:dyDescent="0.2">
      <c r="A16" s="45"/>
      <c r="C16" s="199">
        <v>3200</v>
      </c>
      <c r="D16" s="37" t="s">
        <v>6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8"/>
      <c r="R16" s="41"/>
      <c r="S16" s="332">
        <f t="shared" si="4"/>
        <v>0</v>
      </c>
      <c r="T16" s="41"/>
      <c r="U16" s="362">
        <f t="shared" si="2"/>
        <v>0</v>
      </c>
    </row>
    <row r="17" spans="1:21" s="37" customFormat="1" ht="12" x14ac:dyDescent="0.2">
      <c r="A17" s="45"/>
      <c r="C17" s="38"/>
      <c r="E17" s="73">
        <f>SUBTOTAL(9,E15:E16)</f>
        <v>0</v>
      </c>
      <c r="F17" s="73">
        <f t="shared" ref="F17:S17" si="5">SUBTOTAL(9,F15:F16)</f>
        <v>0</v>
      </c>
      <c r="G17" s="73">
        <f t="shared" si="5"/>
        <v>0</v>
      </c>
      <c r="H17" s="73">
        <f t="shared" si="5"/>
        <v>0</v>
      </c>
      <c r="I17" s="73">
        <f t="shared" si="5"/>
        <v>0</v>
      </c>
      <c r="J17" s="73">
        <f t="shared" si="5"/>
        <v>0</v>
      </c>
      <c r="K17" s="73">
        <f t="shared" si="5"/>
        <v>0</v>
      </c>
      <c r="L17" s="73">
        <f t="shared" si="5"/>
        <v>0</v>
      </c>
      <c r="M17" s="73">
        <f t="shared" si="5"/>
        <v>0</v>
      </c>
      <c r="N17" s="73">
        <f t="shared" si="5"/>
        <v>0</v>
      </c>
      <c r="O17" s="73">
        <f t="shared" si="5"/>
        <v>0</v>
      </c>
      <c r="P17" s="73">
        <f t="shared" si="5"/>
        <v>0</v>
      </c>
      <c r="Q17" s="73">
        <f t="shared" si="5"/>
        <v>0</v>
      </c>
      <c r="R17" s="41"/>
      <c r="S17" s="333">
        <f t="shared" si="5"/>
        <v>0</v>
      </c>
      <c r="T17" s="41"/>
      <c r="U17" s="363">
        <f t="shared" si="2"/>
        <v>0</v>
      </c>
    </row>
    <row r="18" spans="1:21" s="37" customFormat="1" ht="12" x14ac:dyDescent="0.2">
      <c r="A18" s="45"/>
      <c r="C18" s="49" t="s">
        <v>149</v>
      </c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41"/>
      <c r="S18" s="332"/>
      <c r="T18" s="41"/>
      <c r="U18" s="362">
        <f t="shared" si="2"/>
        <v>0</v>
      </c>
    </row>
    <row r="19" spans="1:21" s="37" customFormat="1" ht="12" x14ac:dyDescent="0.2">
      <c r="A19" s="45"/>
      <c r="C19" s="199">
        <v>4500</v>
      </c>
      <c r="D19" s="37" t="s">
        <v>6</v>
      </c>
      <c r="E19" s="67">
        <f t="shared" ref="E19:P21" si="6">$W19/12</f>
        <v>0</v>
      </c>
      <c r="F19" s="67">
        <f t="shared" si="6"/>
        <v>0</v>
      </c>
      <c r="G19" s="67">
        <f t="shared" si="6"/>
        <v>0</v>
      </c>
      <c r="H19" s="67">
        <f t="shared" si="6"/>
        <v>0</v>
      </c>
      <c r="I19" s="67">
        <f t="shared" si="6"/>
        <v>0</v>
      </c>
      <c r="J19" s="67">
        <f t="shared" si="6"/>
        <v>0</v>
      </c>
      <c r="K19" s="67">
        <f t="shared" si="6"/>
        <v>0</v>
      </c>
      <c r="L19" s="67">
        <f t="shared" si="6"/>
        <v>0</v>
      </c>
      <c r="M19" s="67">
        <f t="shared" si="6"/>
        <v>0</v>
      </c>
      <c r="N19" s="67">
        <f t="shared" si="6"/>
        <v>0</v>
      </c>
      <c r="O19" s="67">
        <f t="shared" si="6"/>
        <v>0</v>
      </c>
      <c r="P19" s="67">
        <f t="shared" si="6"/>
        <v>0</v>
      </c>
      <c r="Q19" s="68"/>
      <c r="R19" s="41"/>
      <c r="S19" s="332">
        <f t="shared" si="4"/>
        <v>0</v>
      </c>
      <c r="T19" s="41"/>
      <c r="U19" s="362">
        <f t="shared" si="2"/>
        <v>0</v>
      </c>
    </row>
    <row r="20" spans="1:21" s="37" customFormat="1" ht="12" x14ac:dyDescent="0.2">
      <c r="A20" s="45"/>
      <c r="C20" s="199">
        <v>4571</v>
      </c>
      <c r="D20" s="37" t="s">
        <v>7</v>
      </c>
      <c r="E20" s="67">
        <f t="shared" si="6"/>
        <v>0</v>
      </c>
      <c r="F20" s="67">
        <f t="shared" si="6"/>
        <v>0</v>
      </c>
      <c r="G20" s="67">
        <f t="shared" si="6"/>
        <v>0</v>
      </c>
      <c r="H20" s="67">
        <f t="shared" si="6"/>
        <v>0</v>
      </c>
      <c r="I20" s="67">
        <f t="shared" si="6"/>
        <v>0</v>
      </c>
      <c r="J20" s="67">
        <f t="shared" si="6"/>
        <v>0</v>
      </c>
      <c r="K20" s="67">
        <f t="shared" si="6"/>
        <v>0</v>
      </c>
      <c r="L20" s="67">
        <f t="shared" si="6"/>
        <v>0</v>
      </c>
      <c r="M20" s="67">
        <f t="shared" si="6"/>
        <v>0</v>
      </c>
      <c r="N20" s="67">
        <f t="shared" si="6"/>
        <v>0</v>
      </c>
      <c r="O20" s="67">
        <f t="shared" si="6"/>
        <v>0</v>
      </c>
      <c r="P20" s="67">
        <f t="shared" si="6"/>
        <v>0</v>
      </c>
      <c r="Q20" s="68"/>
      <c r="R20" s="41"/>
      <c r="S20" s="332">
        <f t="shared" si="4"/>
        <v>0</v>
      </c>
      <c r="T20" s="41"/>
      <c r="U20" s="364">
        <f t="shared" si="2"/>
        <v>0</v>
      </c>
    </row>
    <row r="21" spans="1:21" s="37" customFormat="1" ht="12" x14ac:dyDescent="0.2">
      <c r="A21" s="45"/>
      <c r="C21" s="38">
        <v>4703</v>
      </c>
      <c r="D21" s="37" t="s">
        <v>186</v>
      </c>
      <c r="E21" s="67">
        <f t="shared" si="6"/>
        <v>0</v>
      </c>
      <c r="F21" s="67">
        <f t="shared" si="6"/>
        <v>0</v>
      </c>
      <c r="G21" s="67">
        <f t="shared" si="6"/>
        <v>0</v>
      </c>
      <c r="H21" s="67">
        <f t="shared" si="6"/>
        <v>0</v>
      </c>
      <c r="I21" s="67">
        <f t="shared" si="6"/>
        <v>0</v>
      </c>
      <c r="J21" s="67">
        <f t="shared" si="6"/>
        <v>0</v>
      </c>
      <c r="K21" s="67">
        <f t="shared" si="6"/>
        <v>0</v>
      </c>
      <c r="L21" s="67">
        <f t="shared" si="6"/>
        <v>0</v>
      </c>
      <c r="M21" s="67">
        <f t="shared" si="6"/>
        <v>0</v>
      </c>
      <c r="N21" s="67">
        <f t="shared" si="6"/>
        <v>0</v>
      </c>
      <c r="O21" s="67">
        <f t="shared" si="6"/>
        <v>0</v>
      </c>
      <c r="P21" s="67">
        <f t="shared" si="6"/>
        <v>0</v>
      </c>
      <c r="Q21" s="68"/>
      <c r="R21" s="41"/>
      <c r="S21" s="332">
        <f t="shared" si="4"/>
        <v>0</v>
      </c>
      <c r="T21" s="41"/>
      <c r="U21" s="364">
        <f t="shared" si="2"/>
        <v>0</v>
      </c>
    </row>
    <row r="22" spans="1:21" s="37" customFormat="1" ht="12" x14ac:dyDescent="0.2">
      <c r="A22" s="45"/>
      <c r="C22" s="38"/>
      <c r="E22" s="73">
        <f>SUBTOTAL(9,E19:E21)</f>
        <v>0</v>
      </c>
      <c r="F22" s="73">
        <f t="shared" ref="F22:P22" si="7">SUBTOTAL(9,F19:F21)</f>
        <v>0</v>
      </c>
      <c r="G22" s="73">
        <f t="shared" si="7"/>
        <v>0</v>
      </c>
      <c r="H22" s="73">
        <f t="shared" si="7"/>
        <v>0</v>
      </c>
      <c r="I22" s="73">
        <f t="shared" si="7"/>
        <v>0</v>
      </c>
      <c r="J22" s="73">
        <f t="shared" si="7"/>
        <v>0</v>
      </c>
      <c r="K22" s="73">
        <f t="shared" si="7"/>
        <v>0</v>
      </c>
      <c r="L22" s="73">
        <f t="shared" si="7"/>
        <v>0</v>
      </c>
      <c r="M22" s="73">
        <f t="shared" si="7"/>
        <v>0</v>
      </c>
      <c r="N22" s="73">
        <f t="shared" si="7"/>
        <v>0</v>
      </c>
      <c r="O22" s="73">
        <f t="shared" si="7"/>
        <v>0</v>
      </c>
      <c r="P22" s="73">
        <f t="shared" si="7"/>
        <v>0</v>
      </c>
      <c r="Q22" s="73">
        <f>SUBTOTAL(9,Q19:Q21)</f>
        <v>0</v>
      </c>
      <c r="R22" s="41"/>
      <c r="S22" s="333">
        <f>SUBTOTAL(9,S19:S21)</f>
        <v>0</v>
      </c>
      <c r="T22" s="41"/>
      <c r="U22" s="363">
        <f t="shared" si="2"/>
        <v>0</v>
      </c>
    </row>
    <row r="23" spans="1:21" s="37" customFormat="1" ht="12" x14ac:dyDescent="0.2">
      <c r="A23" s="45"/>
      <c r="C23" s="49" t="s">
        <v>150</v>
      </c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41"/>
      <c r="S23" s="334"/>
      <c r="T23" s="41"/>
      <c r="U23" s="364">
        <f t="shared" si="2"/>
        <v>0</v>
      </c>
    </row>
    <row r="24" spans="1:21" s="37" customFormat="1" ht="12" x14ac:dyDescent="0.2">
      <c r="A24" s="45"/>
      <c r="C24" s="199">
        <v>1790</v>
      </c>
      <c r="D24" s="37" t="s">
        <v>4</v>
      </c>
      <c r="E24" s="67">
        <f t="shared" ref="E24:P24" si="8">$W24/12</f>
        <v>0</v>
      </c>
      <c r="F24" s="67">
        <f t="shared" si="8"/>
        <v>0</v>
      </c>
      <c r="G24" s="67">
        <f t="shared" si="8"/>
        <v>0</v>
      </c>
      <c r="H24" s="67">
        <f t="shared" si="8"/>
        <v>0</v>
      </c>
      <c r="I24" s="67">
        <f t="shared" si="8"/>
        <v>0</v>
      </c>
      <c r="J24" s="67">
        <f t="shared" si="8"/>
        <v>0</v>
      </c>
      <c r="K24" s="67">
        <f t="shared" si="8"/>
        <v>0</v>
      </c>
      <c r="L24" s="67">
        <f t="shared" si="8"/>
        <v>0</v>
      </c>
      <c r="M24" s="67">
        <f t="shared" si="8"/>
        <v>0</v>
      </c>
      <c r="N24" s="67">
        <f t="shared" si="8"/>
        <v>0</v>
      </c>
      <c r="O24" s="67">
        <f t="shared" si="8"/>
        <v>0</v>
      </c>
      <c r="P24" s="67">
        <f t="shared" si="8"/>
        <v>0</v>
      </c>
      <c r="Q24" s="68"/>
      <c r="R24" s="41"/>
      <c r="S24" s="332">
        <f>SUM(E24:Q24)</f>
        <v>0</v>
      </c>
      <c r="T24" s="41"/>
      <c r="U24" s="362">
        <f t="shared" si="2"/>
        <v>0</v>
      </c>
    </row>
    <row r="25" spans="1:21" s="37" customFormat="1" ht="12" x14ac:dyDescent="0.2">
      <c r="A25" s="45"/>
      <c r="C25" s="38"/>
      <c r="E25" s="73">
        <f>SUBTOTAL(9,E24)</f>
        <v>0</v>
      </c>
      <c r="F25" s="73">
        <f t="shared" ref="F25:S25" si="9">SUBTOTAL(9,F24)</f>
        <v>0</v>
      </c>
      <c r="G25" s="73">
        <f t="shared" si="9"/>
        <v>0</v>
      </c>
      <c r="H25" s="73">
        <f t="shared" si="9"/>
        <v>0</v>
      </c>
      <c r="I25" s="73">
        <f t="shared" si="9"/>
        <v>0</v>
      </c>
      <c r="J25" s="73">
        <f t="shared" si="9"/>
        <v>0</v>
      </c>
      <c r="K25" s="73">
        <f t="shared" si="9"/>
        <v>0</v>
      </c>
      <c r="L25" s="73">
        <f t="shared" si="9"/>
        <v>0</v>
      </c>
      <c r="M25" s="73">
        <f t="shared" si="9"/>
        <v>0</v>
      </c>
      <c r="N25" s="73">
        <f t="shared" si="9"/>
        <v>0</v>
      </c>
      <c r="O25" s="73">
        <f t="shared" si="9"/>
        <v>0</v>
      </c>
      <c r="P25" s="73">
        <f t="shared" si="9"/>
        <v>0</v>
      </c>
      <c r="Q25" s="73">
        <f t="shared" si="9"/>
        <v>0</v>
      </c>
      <c r="R25" s="41"/>
      <c r="S25" s="333">
        <f t="shared" si="9"/>
        <v>0</v>
      </c>
      <c r="T25" s="41"/>
      <c r="U25" s="363">
        <f t="shared" si="2"/>
        <v>0</v>
      </c>
    </row>
    <row r="26" spans="1:21" s="37" customFormat="1" ht="9" customHeight="1" x14ac:dyDescent="0.2">
      <c r="A26" s="45"/>
      <c r="C26" s="38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41"/>
      <c r="S26" s="332"/>
      <c r="T26" s="41"/>
      <c r="U26" s="362">
        <f t="shared" si="2"/>
        <v>0</v>
      </c>
    </row>
    <row r="27" spans="1:21" s="45" customFormat="1" ht="12" x14ac:dyDescent="0.2">
      <c r="A27" s="45" t="s">
        <v>105</v>
      </c>
      <c r="C27" s="46"/>
      <c r="E27" s="71">
        <f t="shared" ref="E27:Q27" si="10">SUBTOTAL(9,E8:E26)</f>
        <v>0</v>
      </c>
      <c r="F27" s="71">
        <f t="shared" si="10"/>
        <v>0</v>
      </c>
      <c r="G27" s="71">
        <f t="shared" si="10"/>
        <v>0</v>
      </c>
      <c r="H27" s="71">
        <f t="shared" si="10"/>
        <v>0</v>
      </c>
      <c r="I27" s="71">
        <f t="shared" si="10"/>
        <v>0</v>
      </c>
      <c r="J27" s="71">
        <f t="shared" si="10"/>
        <v>0</v>
      </c>
      <c r="K27" s="71">
        <f t="shared" si="10"/>
        <v>0</v>
      </c>
      <c r="L27" s="71">
        <f t="shared" si="10"/>
        <v>0</v>
      </c>
      <c r="M27" s="71">
        <f t="shared" si="10"/>
        <v>0</v>
      </c>
      <c r="N27" s="71">
        <f t="shared" si="10"/>
        <v>0</v>
      </c>
      <c r="O27" s="71">
        <f t="shared" si="10"/>
        <v>0</v>
      </c>
      <c r="P27" s="71">
        <f t="shared" si="10"/>
        <v>0</v>
      </c>
      <c r="Q27" s="69">
        <f t="shared" si="10"/>
        <v>0</v>
      </c>
      <c r="R27" s="48"/>
      <c r="S27" s="335">
        <f>SUBTOTAL(9,S8:S26)</f>
        <v>0</v>
      </c>
      <c r="T27" s="48"/>
      <c r="U27" s="365">
        <f t="shared" si="2"/>
        <v>0</v>
      </c>
    </row>
    <row r="28" spans="1:21" s="45" customFormat="1" ht="12" x14ac:dyDescent="0.2">
      <c r="C28" s="46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67"/>
      <c r="R28" s="48"/>
      <c r="S28" s="332"/>
      <c r="T28" s="48"/>
      <c r="U28" s="278">
        <f t="shared" si="2"/>
        <v>0</v>
      </c>
    </row>
    <row r="29" spans="1:21" s="37" customFormat="1" ht="12" x14ac:dyDescent="0.2">
      <c r="A29" s="45" t="s">
        <v>59</v>
      </c>
      <c r="C29" s="38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41"/>
      <c r="S29" s="332"/>
      <c r="T29" s="41"/>
      <c r="U29" s="362">
        <f t="shared" si="2"/>
        <v>0</v>
      </c>
    </row>
    <row r="30" spans="1:21" s="37" customFormat="1" ht="12" x14ac:dyDescent="0.2">
      <c r="C30" s="49" t="s">
        <v>8</v>
      </c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41"/>
      <c r="S30" s="332"/>
      <c r="T30" s="41"/>
      <c r="U30" s="362">
        <f t="shared" si="2"/>
        <v>0</v>
      </c>
    </row>
    <row r="31" spans="1:21" s="37" customFormat="1" ht="12" x14ac:dyDescent="0.2">
      <c r="C31" s="199">
        <v>6111</v>
      </c>
      <c r="D31" s="37" t="s">
        <v>192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8"/>
      <c r="R31" s="41"/>
      <c r="S31" s="332">
        <f t="shared" ref="S31:S40" si="11">SUM(E31:Q31)</f>
        <v>0</v>
      </c>
      <c r="T31" s="41"/>
      <c r="U31" s="362">
        <f t="shared" si="2"/>
        <v>0</v>
      </c>
    </row>
    <row r="32" spans="1:21" s="37" customFormat="1" ht="12" x14ac:dyDescent="0.2">
      <c r="C32" s="199">
        <v>6114</v>
      </c>
      <c r="D32" s="37" t="s">
        <v>193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8"/>
      <c r="R32" s="41"/>
      <c r="S32" s="332">
        <f t="shared" si="11"/>
        <v>0</v>
      </c>
      <c r="T32" s="41"/>
      <c r="U32" s="362">
        <f t="shared" si="2"/>
        <v>0</v>
      </c>
    </row>
    <row r="33" spans="3:21" s="37" customFormat="1" ht="12" x14ac:dyDescent="0.2">
      <c r="C33" s="199">
        <v>6117</v>
      </c>
      <c r="D33" s="37" t="s">
        <v>229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8"/>
      <c r="R33" s="41"/>
      <c r="S33" s="332">
        <f t="shared" si="11"/>
        <v>0</v>
      </c>
      <c r="T33" s="41"/>
      <c r="U33" s="362">
        <f t="shared" si="2"/>
        <v>0</v>
      </c>
    </row>
    <row r="34" spans="3:21" s="37" customFormat="1" ht="12" x14ac:dyDescent="0.2">
      <c r="C34" s="199">
        <v>6127</v>
      </c>
      <c r="D34" s="37" t="s">
        <v>230</v>
      </c>
      <c r="E34" s="67">
        <v>0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68"/>
      <c r="R34" s="41"/>
      <c r="S34" s="332">
        <f t="shared" si="11"/>
        <v>0</v>
      </c>
      <c r="T34" s="41"/>
      <c r="U34" s="362">
        <f t="shared" si="2"/>
        <v>0</v>
      </c>
    </row>
    <row r="35" spans="3:21" s="37" customFormat="1" ht="12" x14ac:dyDescent="0.2">
      <c r="C35" s="199">
        <v>6151</v>
      </c>
      <c r="D35" s="37" t="s">
        <v>190</v>
      </c>
      <c r="E35" s="67">
        <v>0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8"/>
      <c r="R35" s="41"/>
      <c r="S35" s="332">
        <f t="shared" si="11"/>
        <v>0</v>
      </c>
      <c r="T35" s="41"/>
      <c r="U35" s="362">
        <f t="shared" si="2"/>
        <v>0</v>
      </c>
    </row>
    <row r="36" spans="3:21" s="37" customFormat="1" ht="12" x14ac:dyDescent="0.2">
      <c r="C36" s="199">
        <v>6154</v>
      </c>
      <c r="D36" s="37" t="s">
        <v>191</v>
      </c>
      <c r="E36" s="67">
        <v>0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v>0</v>
      </c>
      <c r="O36" s="67">
        <v>0</v>
      </c>
      <c r="P36" s="67">
        <v>0</v>
      </c>
      <c r="Q36" s="68"/>
      <c r="R36" s="41"/>
      <c r="S36" s="332">
        <f t="shared" si="11"/>
        <v>0</v>
      </c>
      <c r="T36" s="41"/>
      <c r="U36" s="362">
        <f t="shared" si="2"/>
        <v>0</v>
      </c>
    </row>
    <row r="37" spans="3:21" s="37" customFormat="1" ht="12" x14ac:dyDescent="0.2">
      <c r="C37" s="199">
        <v>6157</v>
      </c>
      <c r="D37" s="37" t="s">
        <v>231</v>
      </c>
      <c r="E37" s="67">
        <v>0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v>0</v>
      </c>
      <c r="O37" s="67">
        <v>0</v>
      </c>
      <c r="P37" s="67">
        <v>0</v>
      </c>
      <c r="Q37" s="68"/>
      <c r="R37" s="41"/>
      <c r="S37" s="332">
        <f t="shared" si="11"/>
        <v>0</v>
      </c>
      <c r="T37" s="41"/>
      <c r="U37" s="362">
        <f t="shared" si="2"/>
        <v>0</v>
      </c>
    </row>
    <row r="38" spans="3:21" s="37" customFormat="1" ht="12" x14ac:dyDescent="0.2">
      <c r="C38" s="199">
        <v>6161</v>
      </c>
      <c r="D38" s="37" t="s">
        <v>97</v>
      </c>
      <c r="E38" s="67">
        <v>0</v>
      </c>
      <c r="F38" s="67">
        <v>0</v>
      </c>
      <c r="G38" s="67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8"/>
      <c r="R38" s="41"/>
      <c r="S38" s="332">
        <f t="shared" si="11"/>
        <v>0</v>
      </c>
      <c r="T38" s="41"/>
      <c r="U38" s="362">
        <f t="shared" si="2"/>
        <v>0</v>
      </c>
    </row>
    <row r="39" spans="3:21" s="37" customFormat="1" ht="12" x14ac:dyDescent="0.2">
      <c r="C39" s="199">
        <v>6164</v>
      </c>
      <c r="D39" s="37" t="s">
        <v>98</v>
      </c>
      <c r="E39" s="67">
        <v>0</v>
      </c>
      <c r="F39" s="67">
        <v>0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8"/>
      <c r="R39" s="41"/>
      <c r="S39" s="332">
        <f t="shared" si="11"/>
        <v>0</v>
      </c>
      <c r="T39" s="41"/>
      <c r="U39" s="362">
        <f t="shared" si="2"/>
        <v>0</v>
      </c>
    </row>
    <row r="40" spans="3:21" s="37" customFormat="1" ht="12" x14ac:dyDescent="0.2">
      <c r="C40" s="199">
        <v>6167</v>
      </c>
      <c r="D40" s="37" t="s">
        <v>232</v>
      </c>
      <c r="E40" s="67">
        <v>0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8"/>
      <c r="R40" s="41"/>
      <c r="S40" s="332">
        <f t="shared" si="11"/>
        <v>0</v>
      </c>
      <c r="T40" s="41"/>
      <c r="U40" s="362">
        <f t="shared" si="2"/>
        <v>0</v>
      </c>
    </row>
    <row r="41" spans="3:21" s="37" customFormat="1" ht="12" x14ac:dyDescent="0.2">
      <c r="C41" s="38"/>
      <c r="E41" s="73">
        <f t="shared" ref="E41:Q41" si="12">SUBTOTAL(9,E31:E40)</f>
        <v>0</v>
      </c>
      <c r="F41" s="73">
        <f t="shared" si="12"/>
        <v>0</v>
      </c>
      <c r="G41" s="73">
        <f t="shared" si="12"/>
        <v>0</v>
      </c>
      <c r="H41" s="73">
        <f t="shared" si="12"/>
        <v>0</v>
      </c>
      <c r="I41" s="73">
        <f t="shared" si="12"/>
        <v>0</v>
      </c>
      <c r="J41" s="73">
        <f t="shared" si="12"/>
        <v>0</v>
      </c>
      <c r="K41" s="73">
        <f t="shared" si="12"/>
        <v>0</v>
      </c>
      <c r="L41" s="73">
        <f t="shared" si="12"/>
        <v>0</v>
      </c>
      <c r="M41" s="73">
        <f t="shared" si="12"/>
        <v>0</v>
      </c>
      <c r="N41" s="73">
        <f t="shared" si="12"/>
        <v>0</v>
      </c>
      <c r="O41" s="73">
        <f t="shared" si="12"/>
        <v>0</v>
      </c>
      <c r="P41" s="73">
        <f t="shared" si="12"/>
        <v>0</v>
      </c>
      <c r="Q41" s="73">
        <f t="shared" si="12"/>
        <v>0</v>
      </c>
      <c r="R41" s="41"/>
      <c r="S41" s="333">
        <f>SUBTOTAL(9,S31:S40)</f>
        <v>0</v>
      </c>
      <c r="T41" s="41"/>
      <c r="U41" s="363">
        <f t="shared" si="2"/>
        <v>0</v>
      </c>
    </row>
    <row r="42" spans="3:21" s="37" customFormat="1" ht="12" x14ac:dyDescent="0.2">
      <c r="C42" s="49" t="s">
        <v>99</v>
      </c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41"/>
      <c r="S42" s="332"/>
      <c r="T42" s="41"/>
      <c r="U42" s="362">
        <f t="shared" si="2"/>
        <v>0</v>
      </c>
    </row>
    <row r="43" spans="3:21" s="37" customFormat="1" ht="12" x14ac:dyDescent="0.2">
      <c r="C43" s="199">
        <v>6211</v>
      </c>
      <c r="D43" s="37" t="s">
        <v>199</v>
      </c>
      <c r="E43" s="67">
        <v>0</v>
      </c>
      <c r="F43" s="67">
        <v>0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8"/>
      <c r="R43" s="41"/>
      <c r="S43" s="332">
        <f>SUM(E43:Q43)</f>
        <v>0</v>
      </c>
      <c r="T43" s="41"/>
      <c r="U43" s="362">
        <f t="shared" si="2"/>
        <v>0</v>
      </c>
    </row>
    <row r="44" spans="3:21" s="37" customFormat="1" ht="12" x14ac:dyDescent="0.2">
      <c r="C44" s="199">
        <v>6214</v>
      </c>
      <c r="D44" s="37" t="s">
        <v>200</v>
      </c>
      <c r="E44" s="67">
        <v>0</v>
      </c>
      <c r="F44" s="67">
        <v>0</v>
      </c>
      <c r="G44" s="67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8"/>
      <c r="R44" s="41"/>
      <c r="S44" s="332">
        <f t="shared" ref="S44:S61" si="13">SUM(E44:Q44)</f>
        <v>0</v>
      </c>
      <c r="T44" s="41"/>
      <c r="U44" s="362">
        <f t="shared" si="2"/>
        <v>0</v>
      </c>
    </row>
    <row r="45" spans="3:21" s="37" customFormat="1" ht="12" x14ac:dyDescent="0.2">
      <c r="C45" s="199">
        <v>6217</v>
      </c>
      <c r="D45" s="37" t="s">
        <v>223</v>
      </c>
      <c r="E45" s="67">
        <v>0</v>
      </c>
      <c r="F45" s="67">
        <v>0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7">
        <v>0</v>
      </c>
      <c r="O45" s="67">
        <v>0</v>
      </c>
      <c r="P45" s="67">
        <v>0</v>
      </c>
      <c r="Q45" s="68"/>
      <c r="R45" s="41"/>
      <c r="S45" s="332">
        <f t="shared" si="13"/>
        <v>0</v>
      </c>
      <c r="T45" s="41"/>
      <c r="U45" s="362">
        <f t="shared" si="2"/>
        <v>0</v>
      </c>
    </row>
    <row r="46" spans="3:21" s="37" customFormat="1" ht="12" x14ac:dyDescent="0.2">
      <c r="C46" s="199">
        <v>6227</v>
      </c>
      <c r="D46" s="37" t="s">
        <v>222</v>
      </c>
      <c r="E46" s="67">
        <v>0</v>
      </c>
      <c r="F46" s="67">
        <v>0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8"/>
      <c r="R46" s="41"/>
      <c r="S46" s="332">
        <f t="shared" si="13"/>
        <v>0</v>
      </c>
      <c r="T46" s="41"/>
      <c r="U46" s="362">
        <f t="shared" si="2"/>
        <v>0</v>
      </c>
    </row>
    <row r="47" spans="3:21" s="37" customFormat="1" ht="12" x14ac:dyDescent="0.2">
      <c r="C47" s="199">
        <v>6231</v>
      </c>
      <c r="D47" s="37" t="s">
        <v>206</v>
      </c>
      <c r="E47" s="67">
        <v>0</v>
      </c>
      <c r="F47" s="67">
        <v>0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68"/>
      <c r="R47" s="41"/>
      <c r="S47" s="332">
        <f t="shared" si="13"/>
        <v>0</v>
      </c>
      <c r="T47" s="41"/>
      <c r="U47" s="362">
        <f t="shared" si="2"/>
        <v>0</v>
      </c>
    </row>
    <row r="48" spans="3:21" s="37" customFormat="1" ht="12" x14ac:dyDescent="0.2">
      <c r="C48" s="199">
        <v>6234</v>
      </c>
      <c r="D48" s="37" t="s">
        <v>207</v>
      </c>
      <c r="E48" s="67">
        <v>0</v>
      </c>
      <c r="F48" s="67">
        <v>0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7">
        <v>0</v>
      </c>
      <c r="O48" s="67">
        <v>0</v>
      </c>
      <c r="P48" s="67">
        <v>0</v>
      </c>
      <c r="Q48" s="68"/>
      <c r="R48" s="41"/>
      <c r="S48" s="332">
        <f t="shared" si="13"/>
        <v>0</v>
      </c>
      <c r="T48" s="41"/>
      <c r="U48" s="362">
        <f t="shared" si="2"/>
        <v>0</v>
      </c>
    </row>
    <row r="49" spans="3:21" s="37" customFormat="1" ht="12" x14ac:dyDescent="0.2">
      <c r="C49" s="199">
        <v>6237</v>
      </c>
      <c r="D49" s="37" t="s">
        <v>224</v>
      </c>
      <c r="E49" s="67">
        <v>0</v>
      </c>
      <c r="F49" s="67">
        <v>0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67">
        <v>0</v>
      </c>
      <c r="P49" s="67">
        <v>0</v>
      </c>
      <c r="Q49" s="68"/>
      <c r="R49" s="41"/>
      <c r="S49" s="332">
        <f t="shared" si="13"/>
        <v>0</v>
      </c>
      <c r="T49" s="41"/>
      <c r="U49" s="362">
        <f t="shared" si="2"/>
        <v>0</v>
      </c>
    </row>
    <row r="50" spans="3:21" s="37" customFormat="1" ht="12" x14ac:dyDescent="0.2">
      <c r="C50" s="199">
        <v>6241</v>
      </c>
      <c r="D50" s="37" t="s">
        <v>197</v>
      </c>
      <c r="E50" s="67">
        <v>0</v>
      </c>
      <c r="F50" s="67">
        <v>0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>
        <v>0</v>
      </c>
      <c r="O50" s="67">
        <v>0</v>
      </c>
      <c r="P50" s="67">
        <v>0</v>
      </c>
      <c r="Q50" s="68"/>
      <c r="R50" s="41"/>
      <c r="S50" s="332">
        <f t="shared" si="13"/>
        <v>0</v>
      </c>
      <c r="T50" s="41"/>
      <c r="U50" s="362">
        <f t="shared" si="2"/>
        <v>0</v>
      </c>
    </row>
    <row r="51" spans="3:21" s="37" customFormat="1" ht="12" x14ac:dyDescent="0.2">
      <c r="C51" s="199">
        <v>6244</v>
      </c>
      <c r="D51" s="37" t="s">
        <v>198</v>
      </c>
      <c r="E51" s="67">
        <v>0</v>
      </c>
      <c r="F51" s="67">
        <v>0</v>
      </c>
      <c r="G51" s="67">
        <v>0</v>
      </c>
      <c r="H51" s="67">
        <v>0</v>
      </c>
      <c r="I51" s="67">
        <v>0</v>
      </c>
      <c r="J51" s="67">
        <v>0</v>
      </c>
      <c r="K51" s="67">
        <v>0</v>
      </c>
      <c r="L51" s="67">
        <v>0</v>
      </c>
      <c r="M51" s="67">
        <v>0</v>
      </c>
      <c r="N51" s="67">
        <v>0</v>
      </c>
      <c r="O51" s="67">
        <v>0</v>
      </c>
      <c r="P51" s="67">
        <v>0</v>
      </c>
      <c r="Q51" s="68"/>
      <c r="R51" s="41"/>
      <c r="S51" s="332">
        <f t="shared" si="13"/>
        <v>0</v>
      </c>
      <c r="T51" s="41"/>
      <c r="U51" s="362">
        <f t="shared" si="2"/>
        <v>0</v>
      </c>
    </row>
    <row r="52" spans="3:21" s="37" customFormat="1" ht="12" x14ac:dyDescent="0.2">
      <c r="C52" s="199">
        <v>6247</v>
      </c>
      <c r="D52" s="37" t="s">
        <v>225</v>
      </c>
      <c r="E52" s="67">
        <v>0</v>
      </c>
      <c r="F52" s="67">
        <v>0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  <c r="O52" s="67">
        <v>0</v>
      </c>
      <c r="P52" s="67">
        <v>0</v>
      </c>
      <c r="Q52" s="68"/>
      <c r="R52" s="41"/>
      <c r="S52" s="332">
        <f t="shared" si="13"/>
        <v>0</v>
      </c>
      <c r="T52" s="41"/>
      <c r="U52" s="362">
        <f t="shared" si="2"/>
        <v>0</v>
      </c>
    </row>
    <row r="53" spans="3:21" s="37" customFormat="1" ht="12" x14ac:dyDescent="0.2">
      <c r="C53" s="199">
        <v>6261</v>
      </c>
      <c r="D53" s="37" t="s">
        <v>208</v>
      </c>
      <c r="E53" s="67">
        <v>0</v>
      </c>
      <c r="F53" s="67">
        <v>0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  <c r="N53" s="67">
        <v>0</v>
      </c>
      <c r="O53" s="67">
        <v>0</v>
      </c>
      <c r="P53" s="67">
        <v>0</v>
      </c>
      <c r="Q53" s="68"/>
      <c r="R53" s="41"/>
      <c r="S53" s="332">
        <f t="shared" si="13"/>
        <v>0</v>
      </c>
      <c r="T53" s="41"/>
      <c r="U53" s="362">
        <f t="shared" si="2"/>
        <v>0</v>
      </c>
    </row>
    <row r="54" spans="3:21" s="37" customFormat="1" ht="12" x14ac:dyDescent="0.2">
      <c r="C54" s="199">
        <v>6264</v>
      </c>
      <c r="D54" s="37" t="s">
        <v>209</v>
      </c>
      <c r="E54" s="67">
        <v>0</v>
      </c>
      <c r="F54" s="67">
        <v>0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v>0</v>
      </c>
      <c r="O54" s="67">
        <v>0</v>
      </c>
      <c r="P54" s="67">
        <v>0</v>
      </c>
      <c r="Q54" s="68"/>
      <c r="R54" s="41"/>
      <c r="S54" s="332">
        <f t="shared" si="13"/>
        <v>0</v>
      </c>
      <c r="T54" s="41"/>
      <c r="U54" s="362">
        <f t="shared" si="2"/>
        <v>0</v>
      </c>
    </row>
    <row r="55" spans="3:21" s="37" customFormat="1" ht="12" x14ac:dyDescent="0.2">
      <c r="C55" s="199">
        <v>6267</v>
      </c>
      <c r="D55" s="37" t="s">
        <v>226</v>
      </c>
      <c r="E55" s="67">
        <v>0</v>
      </c>
      <c r="F55" s="67">
        <v>0</v>
      </c>
      <c r="G55" s="67">
        <v>0</v>
      </c>
      <c r="H55" s="67">
        <v>0</v>
      </c>
      <c r="I55" s="67">
        <v>0</v>
      </c>
      <c r="J55" s="67">
        <v>0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8"/>
      <c r="R55" s="41"/>
      <c r="S55" s="332">
        <f t="shared" si="13"/>
        <v>0</v>
      </c>
      <c r="T55" s="41"/>
      <c r="U55" s="362">
        <f t="shared" si="2"/>
        <v>0</v>
      </c>
    </row>
    <row r="56" spans="3:21" s="37" customFormat="1" ht="12" x14ac:dyDescent="0.2">
      <c r="C56" s="199">
        <v>6271</v>
      </c>
      <c r="D56" s="37" t="s">
        <v>210</v>
      </c>
      <c r="E56" s="67">
        <v>0</v>
      </c>
      <c r="F56" s="67">
        <v>0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67">
        <v>0</v>
      </c>
      <c r="O56" s="67">
        <v>0</v>
      </c>
      <c r="P56" s="67">
        <v>0</v>
      </c>
      <c r="Q56" s="68"/>
      <c r="R56" s="41"/>
      <c r="S56" s="332">
        <f t="shared" si="13"/>
        <v>0</v>
      </c>
      <c r="T56" s="41"/>
      <c r="U56" s="362">
        <f t="shared" si="2"/>
        <v>0</v>
      </c>
    </row>
    <row r="57" spans="3:21" s="37" customFormat="1" ht="12" x14ac:dyDescent="0.2">
      <c r="C57" s="199">
        <v>6274</v>
      </c>
      <c r="D57" s="37" t="s">
        <v>211</v>
      </c>
      <c r="E57" s="67">
        <v>0</v>
      </c>
      <c r="F57" s="67">
        <v>0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  <c r="M57" s="67">
        <v>0</v>
      </c>
      <c r="N57" s="67">
        <v>0</v>
      </c>
      <c r="O57" s="67">
        <v>0</v>
      </c>
      <c r="P57" s="67">
        <v>0</v>
      </c>
      <c r="Q57" s="68"/>
      <c r="R57" s="41"/>
      <c r="S57" s="332">
        <f t="shared" si="13"/>
        <v>0</v>
      </c>
      <c r="T57" s="41"/>
      <c r="U57" s="362">
        <f t="shared" si="2"/>
        <v>0</v>
      </c>
    </row>
    <row r="58" spans="3:21" s="37" customFormat="1" ht="12" x14ac:dyDescent="0.2">
      <c r="C58" s="199">
        <v>6277</v>
      </c>
      <c r="D58" s="37" t="s">
        <v>227</v>
      </c>
      <c r="E58" s="67">
        <v>0</v>
      </c>
      <c r="F58" s="67">
        <v>0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67">
        <v>0</v>
      </c>
      <c r="O58" s="67">
        <v>0</v>
      </c>
      <c r="P58" s="67">
        <v>0</v>
      </c>
      <c r="Q58" s="68"/>
      <c r="R58" s="41"/>
      <c r="S58" s="332">
        <f t="shared" si="13"/>
        <v>0</v>
      </c>
      <c r="T58" s="41"/>
      <c r="U58" s="362">
        <f t="shared" si="2"/>
        <v>0</v>
      </c>
    </row>
    <row r="59" spans="3:21" s="37" customFormat="1" ht="12" x14ac:dyDescent="0.2">
      <c r="C59" s="199">
        <v>6281</v>
      </c>
      <c r="D59" s="37" t="s">
        <v>194</v>
      </c>
      <c r="E59" s="67">
        <v>0</v>
      </c>
      <c r="F59" s="67">
        <v>0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  <c r="O59" s="67">
        <v>0</v>
      </c>
      <c r="P59" s="67">
        <v>0</v>
      </c>
      <c r="Q59" s="68"/>
      <c r="R59" s="41"/>
      <c r="S59" s="332">
        <f t="shared" si="13"/>
        <v>0</v>
      </c>
      <c r="T59" s="41"/>
      <c r="U59" s="362">
        <f t="shared" si="2"/>
        <v>0</v>
      </c>
    </row>
    <row r="60" spans="3:21" s="37" customFormat="1" ht="12" x14ac:dyDescent="0.2">
      <c r="C60" s="199">
        <v>6284</v>
      </c>
      <c r="D60" s="37" t="s">
        <v>195</v>
      </c>
      <c r="E60" s="67">
        <v>0</v>
      </c>
      <c r="F60" s="67">
        <v>0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  <c r="O60" s="67">
        <v>0</v>
      </c>
      <c r="P60" s="67">
        <v>0</v>
      </c>
      <c r="Q60" s="68"/>
      <c r="R60" s="41"/>
      <c r="S60" s="332">
        <f t="shared" si="13"/>
        <v>0</v>
      </c>
      <c r="T60" s="41"/>
      <c r="U60" s="362">
        <f t="shared" si="2"/>
        <v>0</v>
      </c>
    </row>
    <row r="61" spans="3:21" s="37" customFormat="1" ht="12" x14ac:dyDescent="0.2">
      <c r="C61" s="199">
        <v>6287</v>
      </c>
      <c r="D61" s="37" t="s">
        <v>228</v>
      </c>
      <c r="E61" s="67">
        <v>0</v>
      </c>
      <c r="F61" s="67">
        <v>0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  <c r="P61" s="67">
        <v>0</v>
      </c>
      <c r="Q61" s="68"/>
      <c r="R61" s="41"/>
      <c r="S61" s="332">
        <f t="shared" si="13"/>
        <v>0</v>
      </c>
      <c r="T61" s="41"/>
      <c r="U61" s="362">
        <f t="shared" si="2"/>
        <v>0</v>
      </c>
    </row>
    <row r="62" spans="3:21" s="37" customFormat="1" ht="12" x14ac:dyDescent="0.2">
      <c r="C62" s="38"/>
      <c r="E62" s="73">
        <f t="shared" ref="E62:Q62" si="14">SUBTOTAL(9,E43:E61)</f>
        <v>0</v>
      </c>
      <c r="F62" s="73">
        <f t="shared" si="14"/>
        <v>0</v>
      </c>
      <c r="G62" s="73">
        <f t="shared" si="14"/>
        <v>0</v>
      </c>
      <c r="H62" s="73">
        <f t="shared" si="14"/>
        <v>0</v>
      </c>
      <c r="I62" s="73">
        <f t="shared" si="14"/>
        <v>0</v>
      </c>
      <c r="J62" s="73">
        <f t="shared" si="14"/>
        <v>0</v>
      </c>
      <c r="K62" s="73">
        <f t="shared" si="14"/>
        <v>0</v>
      </c>
      <c r="L62" s="73">
        <f t="shared" si="14"/>
        <v>0</v>
      </c>
      <c r="M62" s="73">
        <f t="shared" si="14"/>
        <v>0</v>
      </c>
      <c r="N62" s="73">
        <f t="shared" si="14"/>
        <v>0</v>
      </c>
      <c r="O62" s="73">
        <f t="shared" si="14"/>
        <v>0</v>
      </c>
      <c r="P62" s="73">
        <f t="shared" si="14"/>
        <v>0</v>
      </c>
      <c r="Q62" s="73">
        <f t="shared" si="14"/>
        <v>0</v>
      </c>
      <c r="R62" s="41"/>
      <c r="S62" s="333">
        <f>SUBTOTAL(9,S43:S61)</f>
        <v>0</v>
      </c>
      <c r="T62" s="41"/>
      <c r="U62" s="363">
        <f t="shared" si="2"/>
        <v>0</v>
      </c>
    </row>
    <row r="63" spans="3:21" s="37" customFormat="1" ht="12" x14ac:dyDescent="0.2">
      <c r="C63" s="49" t="s">
        <v>9</v>
      </c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41"/>
      <c r="S63" s="332"/>
      <c r="T63" s="41"/>
      <c r="U63" s="362">
        <f t="shared" si="2"/>
        <v>0</v>
      </c>
    </row>
    <row r="64" spans="3:21" s="37" customFormat="1" ht="12" x14ac:dyDescent="0.2">
      <c r="C64" s="199">
        <v>6300</v>
      </c>
      <c r="D64" s="37" t="s">
        <v>9</v>
      </c>
      <c r="E64" s="67">
        <v>0</v>
      </c>
      <c r="F64" s="67">
        <v>0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67">
        <v>0</v>
      </c>
      <c r="Q64" s="68"/>
      <c r="R64" s="41"/>
      <c r="S64" s="332">
        <f t="shared" ref="S64:S73" si="15">SUM(E64:Q64)</f>
        <v>0</v>
      </c>
      <c r="T64" s="41"/>
      <c r="U64" s="362">
        <f t="shared" si="2"/>
        <v>0</v>
      </c>
    </row>
    <row r="65" spans="3:21" s="37" customFormat="1" ht="12" x14ac:dyDescent="0.2">
      <c r="C65" s="199">
        <v>6320</v>
      </c>
      <c r="D65" s="37" t="s">
        <v>10</v>
      </c>
      <c r="E65" s="67">
        <v>0</v>
      </c>
      <c r="F65" s="67">
        <v>0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7">
        <v>0</v>
      </c>
      <c r="N65" s="67">
        <v>0</v>
      </c>
      <c r="O65" s="67">
        <v>0</v>
      </c>
      <c r="P65" s="67">
        <v>0</v>
      </c>
      <c r="Q65" s="68"/>
      <c r="R65" s="41"/>
      <c r="S65" s="332">
        <f t="shared" si="15"/>
        <v>0</v>
      </c>
      <c r="T65" s="41"/>
      <c r="U65" s="362">
        <f t="shared" si="2"/>
        <v>0</v>
      </c>
    </row>
    <row r="66" spans="3:21" s="37" customFormat="1" ht="12" x14ac:dyDescent="0.2">
      <c r="C66" s="199">
        <v>6331</v>
      </c>
      <c r="D66" s="37" t="s">
        <v>11</v>
      </c>
      <c r="E66" s="67">
        <v>0</v>
      </c>
      <c r="F66" s="67">
        <v>0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68"/>
      <c r="R66" s="41"/>
      <c r="S66" s="332">
        <f t="shared" si="15"/>
        <v>0</v>
      </c>
      <c r="T66" s="41"/>
      <c r="U66" s="362">
        <f t="shared" si="2"/>
        <v>0</v>
      </c>
    </row>
    <row r="67" spans="3:21" s="37" customFormat="1" ht="12" x14ac:dyDescent="0.2">
      <c r="C67" s="199">
        <v>6334</v>
      </c>
      <c r="D67" s="37" t="s">
        <v>12</v>
      </c>
      <c r="E67" s="67">
        <v>0</v>
      </c>
      <c r="F67" s="67">
        <v>0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8"/>
      <c r="R67" s="41"/>
      <c r="S67" s="332">
        <f t="shared" si="15"/>
        <v>0</v>
      </c>
      <c r="T67" s="41"/>
      <c r="U67" s="362">
        <f t="shared" si="2"/>
        <v>0</v>
      </c>
    </row>
    <row r="68" spans="3:21" s="37" customFormat="1" ht="12" x14ac:dyDescent="0.2">
      <c r="C68" s="199">
        <v>6336</v>
      </c>
      <c r="D68" s="37" t="s">
        <v>13</v>
      </c>
      <c r="E68" s="67">
        <v>0</v>
      </c>
      <c r="F68" s="67">
        <v>0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8"/>
      <c r="R68" s="41"/>
      <c r="S68" s="332">
        <f t="shared" si="15"/>
        <v>0</v>
      </c>
      <c r="T68" s="41"/>
      <c r="U68" s="362">
        <f t="shared" si="2"/>
        <v>0</v>
      </c>
    </row>
    <row r="69" spans="3:21" s="37" customFormat="1" ht="12" x14ac:dyDescent="0.2">
      <c r="C69" s="199">
        <v>6337</v>
      </c>
      <c r="D69" s="37" t="s">
        <v>14</v>
      </c>
      <c r="E69" s="67">
        <v>0</v>
      </c>
      <c r="F69" s="67">
        <v>0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  <c r="O69" s="67">
        <v>0</v>
      </c>
      <c r="P69" s="67">
        <v>0</v>
      </c>
      <c r="Q69" s="68"/>
      <c r="R69" s="41"/>
      <c r="S69" s="332">
        <f t="shared" si="15"/>
        <v>0</v>
      </c>
      <c r="T69" s="41"/>
      <c r="U69" s="362">
        <f t="shared" si="2"/>
        <v>0</v>
      </c>
    </row>
    <row r="70" spans="3:21" s="37" customFormat="1" ht="12" x14ac:dyDescent="0.2">
      <c r="C70" s="199">
        <v>6340</v>
      </c>
      <c r="D70" s="37" t="s">
        <v>15</v>
      </c>
      <c r="E70" s="67">
        <v>0</v>
      </c>
      <c r="F70" s="67">
        <v>0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  <c r="N70" s="67">
        <v>0</v>
      </c>
      <c r="O70" s="67">
        <v>0</v>
      </c>
      <c r="P70" s="67">
        <v>0</v>
      </c>
      <c r="Q70" s="68"/>
      <c r="R70" s="41"/>
      <c r="S70" s="332">
        <f t="shared" si="15"/>
        <v>0</v>
      </c>
      <c r="T70" s="41"/>
      <c r="U70" s="362">
        <f t="shared" si="2"/>
        <v>0</v>
      </c>
    </row>
    <row r="71" spans="3:21" s="37" customFormat="1" ht="12" x14ac:dyDescent="0.2">
      <c r="C71" s="199">
        <v>6345</v>
      </c>
      <c r="D71" s="37" t="s">
        <v>16</v>
      </c>
      <c r="E71" s="67">
        <v>0</v>
      </c>
      <c r="F71" s="67">
        <v>0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67">
        <v>0</v>
      </c>
      <c r="O71" s="67">
        <v>0</v>
      </c>
      <c r="P71" s="67">
        <v>0</v>
      </c>
      <c r="Q71" s="68"/>
      <c r="R71" s="41"/>
      <c r="S71" s="332">
        <f t="shared" si="15"/>
        <v>0</v>
      </c>
      <c r="T71" s="41"/>
      <c r="U71" s="362">
        <f t="shared" si="2"/>
        <v>0</v>
      </c>
    </row>
    <row r="72" spans="3:21" s="37" customFormat="1" ht="12" x14ac:dyDescent="0.2">
      <c r="C72" s="199">
        <v>6350</v>
      </c>
      <c r="D72" s="37" t="s">
        <v>17</v>
      </c>
      <c r="E72" s="67">
        <v>0</v>
      </c>
      <c r="F72" s="67">
        <v>0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8"/>
      <c r="R72" s="41"/>
      <c r="S72" s="332">
        <f t="shared" si="15"/>
        <v>0</v>
      </c>
      <c r="T72" s="41"/>
      <c r="U72" s="362">
        <f t="shared" si="2"/>
        <v>0</v>
      </c>
    </row>
    <row r="73" spans="3:21" s="37" customFormat="1" ht="12" x14ac:dyDescent="0.2">
      <c r="C73" s="199">
        <v>6351</v>
      </c>
      <c r="D73" s="37" t="s">
        <v>18</v>
      </c>
      <c r="E73" s="67">
        <v>0</v>
      </c>
      <c r="F73" s="67">
        <v>0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0</v>
      </c>
      <c r="O73" s="67">
        <v>0</v>
      </c>
      <c r="P73" s="67">
        <v>0</v>
      </c>
      <c r="Q73" s="68"/>
      <c r="R73" s="41"/>
      <c r="S73" s="332">
        <f t="shared" si="15"/>
        <v>0</v>
      </c>
      <c r="T73" s="41"/>
      <c r="U73" s="362">
        <f t="shared" ref="U73:U117" si="16">SUM(E73:L73)</f>
        <v>0</v>
      </c>
    </row>
    <row r="74" spans="3:21" s="37" customFormat="1" ht="12" x14ac:dyDescent="0.2">
      <c r="C74" s="38"/>
      <c r="E74" s="73">
        <f>SUBTOTAL(9,E64:E73)</f>
        <v>0</v>
      </c>
      <c r="F74" s="73">
        <f t="shared" ref="F74:S74" si="17">SUBTOTAL(9,F64:F73)</f>
        <v>0</v>
      </c>
      <c r="G74" s="73">
        <f t="shared" si="17"/>
        <v>0</v>
      </c>
      <c r="H74" s="73">
        <f t="shared" si="17"/>
        <v>0</v>
      </c>
      <c r="I74" s="73">
        <f t="shared" si="17"/>
        <v>0</v>
      </c>
      <c r="J74" s="73">
        <f t="shared" si="17"/>
        <v>0</v>
      </c>
      <c r="K74" s="73">
        <f t="shared" si="17"/>
        <v>0</v>
      </c>
      <c r="L74" s="73">
        <f t="shared" si="17"/>
        <v>0</v>
      </c>
      <c r="M74" s="73">
        <f t="shared" si="17"/>
        <v>0</v>
      </c>
      <c r="N74" s="73">
        <f t="shared" si="17"/>
        <v>0</v>
      </c>
      <c r="O74" s="73">
        <f t="shared" si="17"/>
        <v>0</v>
      </c>
      <c r="P74" s="73">
        <f t="shared" si="17"/>
        <v>0</v>
      </c>
      <c r="Q74" s="73">
        <f t="shared" si="17"/>
        <v>0</v>
      </c>
      <c r="R74" s="41"/>
      <c r="S74" s="333">
        <f t="shared" si="17"/>
        <v>0</v>
      </c>
      <c r="T74" s="41"/>
      <c r="U74" s="363">
        <f t="shared" si="16"/>
        <v>0</v>
      </c>
    </row>
    <row r="75" spans="3:21" s="37" customFormat="1" ht="12" x14ac:dyDescent="0.2">
      <c r="C75" s="49" t="s">
        <v>100</v>
      </c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41"/>
      <c r="S75" s="332"/>
      <c r="T75" s="41"/>
      <c r="U75" s="362">
        <f t="shared" si="16"/>
        <v>0</v>
      </c>
    </row>
    <row r="76" spans="3:21" s="37" customFormat="1" ht="12" x14ac:dyDescent="0.2">
      <c r="C76" s="199">
        <v>6410</v>
      </c>
      <c r="D76" s="37" t="s">
        <v>19</v>
      </c>
      <c r="E76" s="67">
        <v>0</v>
      </c>
      <c r="F76" s="67">
        <v>0</v>
      </c>
      <c r="G76" s="67">
        <v>0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8"/>
      <c r="R76" s="41"/>
      <c r="S76" s="332">
        <f t="shared" ref="S76:S79" si="18">SUM(E76:Q76)</f>
        <v>0</v>
      </c>
      <c r="T76" s="41"/>
      <c r="U76" s="362">
        <f t="shared" si="16"/>
        <v>0</v>
      </c>
    </row>
    <row r="77" spans="3:21" s="37" customFormat="1" ht="12" x14ac:dyDescent="0.2">
      <c r="C77" s="199">
        <v>6420</v>
      </c>
      <c r="D77" s="37" t="s">
        <v>20</v>
      </c>
      <c r="E77" s="67">
        <v>0</v>
      </c>
      <c r="F77" s="67">
        <v>0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  <c r="M77" s="67">
        <v>0</v>
      </c>
      <c r="N77" s="67">
        <v>0</v>
      </c>
      <c r="O77" s="67">
        <v>0</v>
      </c>
      <c r="P77" s="67">
        <v>0</v>
      </c>
      <c r="Q77" s="68"/>
      <c r="R77" s="41"/>
      <c r="S77" s="332">
        <f t="shared" si="18"/>
        <v>0</v>
      </c>
      <c r="T77" s="41"/>
      <c r="U77" s="362">
        <f t="shared" si="16"/>
        <v>0</v>
      </c>
    </row>
    <row r="78" spans="3:21" s="37" customFormat="1" ht="12" x14ac:dyDescent="0.2">
      <c r="C78" s="199">
        <v>6430</v>
      </c>
      <c r="D78" s="37" t="s">
        <v>21</v>
      </c>
      <c r="E78" s="67">
        <v>0</v>
      </c>
      <c r="F78" s="67">
        <v>0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  <c r="N78" s="67">
        <v>0</v>
      </c>
      <c r="O78" s="67">
        <v>0</v>
      </c>
      <c r="P78" s="67">
        <v>0</v>
      </c>
      <c r="Q78" s="68"/>
      <c r="R78" s="41"/>
      <c r="S78" s="332">
        <f t="shared" si="18"/>
        <v>0</v>
      </c>
      <c r="T78" s="41"/>
      <c r="U78" s="362">
        <f t="shared" si="16"/>
        <v>0</v>
      </c>
    </row>
    <row r="79" spans="3:21" s="37" customFormat="1" ht="12" x14ac:dyDescent="0.2">
      <c r="C79" s="199">
        <v>6441</v>
      </c>
      <c r="D79" s="37" t="s">
        <v>22</v>
      </c>
      <c r="E79" s="67">
        <v>0</v>
      </c>
      <c r="F79" s="67">
        <v>0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  <c r="M79" s="67">
        <v>0</v>
      </c>
      <c r="N79" s="67">
        <v>0</v>
      </c>
      <c r="O79" s="67">
        <v>0</v>
      </c>
      <c r="P79" s="67">
        <v>0</v>
      </c>
      <c r="Q79" s="68"/>
      <c r="R79" s="41"/>
      <c r="S79" s="332">
        <f t="shared" si="18"/>
        <v>0</v>
      </c>
      <c r="T79" s="41"/>
      <c r="U79" s="362">
        <f t="shared" si="16"/>
        <v>0</v>
      </c>
    </row>
    <row r="80" spans="3:21" s="37" customFormat="1" ht="12" x14ac:dyDescent="0.2">
      <c r="C80" s="38"/>
      <c r="E80" s="73">
        <f>SUBTOTAL(9,E76:E79)</f>
        <v>0</v>
      </c>
      <c r="F80" s="73">
        <f t="shared" ref="F80:S80" si="19">SUBTOTAL(9,F76:F79)</f>
        <v>0</v>
      </c>
      <c r="G80" s="73">
        <f t="shared" si="19"/>
        <v>0</v>
      </c>
      <c r="H80" s="73">
        <f t="shared" si="19"/>
        <v>0</v>
      </c>
      <c r="I80" s="73">
        <f t="shared" si="19"/>
        <v>0</v>
      </c>
      <c r="J80" s="73">
        <f t="shared" si="19"/>
        <v>0</v>
      </c>
      <c r="K80" s="73">
        <f t="shared" si="19"/>
        <v>0</v>
      </c>
      <c r="L80" s="73">
        <f t="shared" si="19"/>
        <v>0</v>
      </c>
      <c r="M80" s="73">
        <f t="shared" si="19"/>
        <v>0</v>
      </c>
      <c r="N80" s="73">
        <f t="shared" si="19"/>
        <v>0</v>
      </c>
      <c r="O80" s="73">
        <f t="shared" si="19"/>
        <v>0</v>
      </c>
      <c r="P80" s="73">
        <f t="shared" si="19"/>
        <v>0</v>
      </c>
      <c r="Q80" s="73">
        <f t="shared" si="19"/>
        <v>0</v>
      </c>
      <c r="R80" s="41"/>
      <c r="S80" s="333">
        <f t="shared" si="19"/>
        <v>0</v>
      </c>
      <c r="T80" s="41"/>
      <c r="U80" s="363">
        <f t="shared" si="16"/>
        <v>0</v>
      </c>
    </row>
    <row r="81" spans="3:21" s="37" customFormat="1" ht="12" x14ac:dyDescent="0.2">
      <c r="C81" s="49" t="s">
        <v>101</v>
      </c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41"/>
      <c r="S81" s="332"/>
      <c r="T81" s="41"/>
      <c r="U81" s="362">
        <f t="shared" si="16"/>
        <v>0</v>
      </c>
    </row>
    <row r="82" spans="3:21" s="37" customFormat="1" ht="12" x14ac:dyDescent="0.2">
      <c r="C82" s="199">
        <v>6519</v>
      </c>
      <c r="D82" s="37" t="s">
        <v>235</v>
      </c>
      <c r="E82" s="67">
        <v>0</v>
      </c>
      <c r="F82" s="67">
        <v>0</v>
      </c>
      <c r="G82" s="67">
        <v>0</v>
      </c>
      <c r="H82" s="67">
        <v>0</v>
      </c>
      <c r="I82" s="67">
        <v>0</v>
      </c>
      <c r="J82" s="67">
        <v>0</v>
      </c>
      <c r="K82" s="67">
        <v>0</v>
      </c>
      <c r="L82" s="67">
        <v>0</v>
      </c>
      <c r="M82" s="67">
        <v>0</v>
      </c>
      <c r="N82" s="67">
        <v>0</v>
      </c>
      <c r="O82" s="67">
        <v>0</v>
      </c>
      <c r="P82" s="67">
        <v>0</v>
      </c>
      <c r="Q82" s="68"/>
      <c r="R82" s="41"/>
      <c r="S82" s="332">
        <f t="shared" ref="S82:S93" si="20">SUM(E82:Q82)</f>
        <v>0</v>
      </c>
      <c r="T82" s="41"/>
      <c r="U82" s="362">
        <f t="shared" si="16"/>
        <v>0</v>
      </c>
    </row>
    <row r="83" spans="3:21" s="37" customFormat="1" ht="12" x14ac:dyDescent="0.2">
      <c r="C83" s="199">
        <v>6521</v>
      </c>
      <c r="D83" s="37" t="s">
        <v>24</v>
      </c>
      <c r="E83" s="67">
        <v>0</v>
      </c>
      <c r="F83" s="67">
        <v>0</v>
      </c>
      <c r="G83" s="67">
        <v>0</v>
      </c>
      <c r="H83" s="67">
        <v>0</v>
      </c>
      <c r="I83" s="67">
        <v>0</v>
      </c>
      <c r="J83" s="67">
        <v>0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8"/>
      <c r="R83" s="41"/>
      <c r="S83" s="332">
        <f t="shared" si="20"/>
        <v>0</v>
      </c>
      <c r="T83" s="41"/>
      <c r="U83" s="362">
        <f t="shared" si="16"/>
        <v>0</v>
      </c>
    </row>
    <row r="84" spans="3:21" s="37" customFormat="1" ht="12" x14ac:dyDescent="0.2">
      <c r="C84" s="199">
        <v>6522</v>
      </c>
      <c r="D84" s="37" t="s">
        <v>25</v>
      </c>
      <c r="E84" s="67">
        <v>0</v>
      </c>
      <c r="F84" s="67">
        <v>0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67">
        <v>0</v>
      </c>
      <c r="O84" s="67">
        <v>0</v>
      </c>
      <c r="P84" s="67">
        <v>0</v>
      </c>
      <c r="Q84" s="68"/>
      <c r="R84" s="41"/>
      <c r="S84" s="332">
        <f t="shared" si="20"/>
        <v>0</v>
      </c>
      <c r="T84" s="41"/>
      <c r="U84" s="362">
        <f t="shared" si="16"/>
        <v>0</v>
      </c>
    </row>
    <row r="85" spans="3:21" s="37" customFormat="1" ht="12" x14ac:dyDescent="0.2">
      <c r="C85" s="199">
        <v>6523</v>
      </c>
      <c r="D85" s="37" t="s">
        <v>26</v>
      </c>
      <c r="E85" s="67">
        <v>0</v>
      </c>
      <c r="F85" s="67">
        <v>0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Q85" s="68"/>
      <c r="R85" s="41"/>
      <c r="S85" s="332">
        <f t="shared" si="20"/>
        <v>0</v>
      </c>
      <c r="T85" s="41"/>
      <c r="U85" s="362">
        <f t="shared" si="16"/>
        <v>0</v>
      </c>
    </row>
    <row r="86" spans="3:21" s="37" customFormat="1" ht="12" x14ac:dyDescent="0.2">
      <c r="C86" s="199">
        <v>6531</v>
      </c>
      <c r="D86" s="37" t="s">
        <v>27</v>
      </c>
      <c r="E86" s="67">
        <v>0</v>
      </c>
      <c r="F86" s="67">
        <v>0</v>
      </c>
      <c r="G86" s="67">
        <v>0</v>
      </c>
      <c r="H86" s="67">
        <v>0</v>
      </c>
      <c r="I86" s="67">
        <v>0</v>
      </c>
      <c r="J86" s="67">
        <v>0</v>
      </c>
      <c r="K86" s="67">
        <v>0</v>
      </c>
      <c r="L86" s="67">
        <v>0</v>
      </c>
      <c r="M86" s="67">
        <v>0</v>
      </c>
      <c r="N86" s="67">
        <v>0</v>
      </c>
      <c r="O86" s="67">
        <v>0</v>
      </c>
      <c r="P86" s="67">
        <v>0</v>
      </c>
      <c r="Q86" s="68"/>
      <c r="R86" s="41"/>
      <c r="S86" s="332">
        <f t="shared" si="20"/>
        <v>0</v>
      </c>
      <c r="T86" s="41"/>
      <c r="U86" s="362">
        <f t="shared" si="16"/>
        <v>0</v>
      </c>
    </row>
    <row r="87" spans="3:21" s="37" customFormat="1" ht="12" x14ac:dyDescent="0.2">
      <c r="C87" s="199">
        <v>6534</v>
      </c>
      <c r="D87" s="37" t="s">
        <v>28</v>
      </c>
      <c r="E87" s="67">
        <v>0</v>
      </c>
      <c r="F87" s="67">
        <v>0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68"/>
      <c r="R87" s="41"/>
      <c r="S87" s="332">
        <f t="shared" si="20"/>
        <v>0</v>
      </c>
      <c r="T87" s="41"/>
      <c r="U87" s="362">
        <f t="shared" si="16"/>
        <v>0</v>
      </c>
    </row>
    <row r="88" spans="3:21" s="37" customFormat="1" ht="12" x14ac:dyDescent="0.2">
      <c r="C88" s="199">
        <v>6535</v>
      </c>
      <c r="D88" s="37" t="s">
        <v>236</v>
      </c>
      <c r="E88" s="67">
        <v>0</v>
      </c>
      <c r="F88" s="67">
        <v>0</v>
      </c>
      <c r="G88" s="67">
        <v>0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8"/>
      <c r="R88" s="41"/>
      <c r="S88" s="332">
        <f t="shared" si="20"/>
        <v>0</v>
      </c>
      <c r="T88" s="41"/>
      <c r="U88" s="362">
        <f t="shared" si="16"/>
        <v>0</v>
      </c>
    </row>
    <row r="89" spans="3:21" s="37" customFormat="1" ht="12" x14ac:dyDescent="0.2">
      <c r="C89" s="199">
        <v>6540</v>
      </c>
      <c r="D89" s="37" t="s">
        <v>30</v>
      </c>
      <c r="E89" s="67">
        <v>0</v>
      </c>
      <c r="F89" s="67">
        <v>0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8"/>
      <c r="R89" s="41"/>
      <c r="S89" s="332">
        <f t="shared" si="20"/>
        <v>0</v>
      </c>
      <c r="T89" s="41"/>
      <c r="U89" s="362">
        <f t="shared" si="16"/>
        <v>0</v>
      </c>
    </row>
    <row r="90" spans="3:21" s="37" customFormat="1" ht="12" x14ac:dyDescent="0.2">
      <c r="C90" s="199">
        <v>6550</v>
      </c>
      <c r="D90" s="37" t="s">
        <v>31</v>
      </c>
      <c r="E90" s="67">
        <v>0</v>
      </c>
      <c r="F90" s="67">
        <v>0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8"/>
      <c r="R90" s="41"/>
      <c r="S90" s="332">
        <f t="shared" si="20"/>
        <v>0</v>
      </c>
      <c r="T90" s="41"/>
      <c r="U90" s="362">
        <f t="shared" si="16"/>
        <v>0</v>
      </c>
    </row>
    <row r="91" spans="3:21" s="37" customFormat="1" ht="12" x14ac:dyDescent="0.2">
      <c r="C91" s="206">
        <v>6568</v>
      </c>
      <c r="D91" s="37" t="s">
        <v>187</v>
      </c>
      <c r="E91" s="67">
        <v>0</v>
      </c>
      <c r="F91" s="67">
        <v>0</v>
      </c>
      <c r="G91" s="67">
        <v>0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67">
        <v>0</v>
      </c>
      <c r="O91" s="67">
        <v>0</v>
      </c>
      <c r="P91" s="67">
        <v>0</v>
      </c>
      <c r="Q91" s="68"/>
      <c r="R91" s="41"/>
      <c r="S91" s="332">
        <f t="shared" si="20"/>
        <v>0</v>
      </c>
      <c r="T91" s="41"/>
      <c r="U91" s="362">
        <f t="shared" si="16"/>
        <v>0</v>
      </c>
    </row>
    <row r="92" spans="3:21" s="37" customFormat="1" ht="12" x14ac:dyDescent="0.2">
      <c r="C92" s="199">
        <v>6569</v>
      </c>
      <c r="D92" s="37" t="s">
        <v>32</v>
      </c>
      <c r="E92" s="67">
        <v>0</v>
      </c>
      <c r="F92" s="67">
        <v>0</v>
      </c>
      <c r="G92" s="67">
        <v>0</v>
      </c>
      <c r="H92" s="67">
        <v>0</v>
      </c>
      <c r="I92" s="67">
        <v>0</v>
      </c>
      <c r="J92" s="67">
        <v>0</v>
      </c>
      <c r="K92" s="67">
        <v>0</v>
      </c>
      <c r="L92" s="67">
        <v>0</v>
      </c>
      <c r="M92" s="67">
        <v>0</v>
      </c>
      <c r="N92" s="67">
        <v>0</v>
      </c>
      <c r="O92" s="67">
        <v>0</v>
      </c>
      <c r="P92" s="67">
        <v>0</v>
      </c>
      <c r="Q92" s="68"/>
      <c r="R92" s="41"/>
      <c r="S92" s="332">
        <f t="shared" si="20"/>
        <v>0</v>
      </c>
      <c r="T92" s="41"/>
      <c r="U92" s="362">
        <f t="shared" si="16"/>
        <v>0</v>
      </c>
    </row>
    <row r="93" spans="3:21" s="37" customFormat="1" ht="12" x14ac:dyDescent="0.2">
      <c r="C93" s="199">
        <v>6580</v>
      </c>
      <c r="D93" s="37" t="s">
        <v>33</v>
      </c>
      <c r="E93" s="67">
        <v>0</v>
      </c>
      <c r="F93" s="67">
        <v>0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67">
        <v>0</v>
      </c>
      <c r="M93" s="67">
        <v>0</v>
      </c>
      <c r="N93" s="67">
        <v>0</v>
      </c>
      <c r="O93" s="67">
        <v>0</v>
      </c>
      <c r="P93" s="67">
        <v>0</v>
      </c>
      <c r="Q93" s="68"/>
      <c r="R93" s="41"/>
      <c r="S93" s="332">
        <f t="shared" si="20"/>
        <v>0</v>
      </c>
      <c r="T93" s="41"/>
      <c r="U93" s="362">
        <f t="shared" si="16"/>
        <v>0</v>
      </c>
    </row>
    <row r="94" spans="3:21" s="37" customFormat="1" ht="12" x14ac:dyDescent="0.2">
      <c r="C94" s="38"/>
      <c r="E94" s="73">
        <f>SUBTOTAL(9,E82:E93)</f>
        <v>0</v>
      </c>
      <c r="F94" s="73">
        <f t="shared" ref="F94:P94" si="21">SUBTOTAL(9,F82:F93)</f>
        <v>0</v>
      </c>
      <c r="G94" s="73">
        <f t="shared" si="21"/>
        <v>0</v>
      </c>
      <c r="H94" s="73">
        <f t="shared" si="21"/>
        <v>0</v>
      </c>
      <c r="I94" s="73">
        <f t="shared" si="21"/>
        <v>0</v>
      </c>
      <c r="J94" s="73">
        <f t="shared" si="21"/>
        <v>0</v>
      </c>
      <c r="K94" s="73">
        <f t="shared" si="21"/>
        <v>0</v>
      </c>
      <c r="L94" s="73">
        <f t="shared" si="21"/>
        <v>0</v>
      </c>
      <c r="M94" s="73">
        <f t="shared" si="21"/>
        <v>0</v>
      </c>
      <c r="N94" s="73">
        <f t="shared" si="21"/>
        <v>0</v>
      </c>
      <c r="O94" s="73">
        <f t="shared" si="21"/>
        <v>0</v>
      </c>
      <c r="P94" s="73">
        <f t="shared" si="21"/>
        <v>0</v>
      </c>
      <c r="Q94" s="73">
        <f>SUBTOTAL(9,Q82:Q93)</f>
        <v>0</v>
      </c>
      <c r="R94" s="41"/>
      <c r="S94" s="333">
        <f>SUBTOTAL(9,S82:S93)</f>
        <v>0</v>
      </c>
      <c r="T94" s="41"/>
      <c r="U94" s="363">
        <f t="shared" si="16"/>
        <v>0</v>
      </c>
    </row>
    <row r="95" spans="3:21" s="37" customFormat="1" ht="12" x14ac:dyDescent="0.2">
      <c r="C95" s="49" t="s">
        <v>102</v>
      </c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41"/>
      <c r="S95" s="332"/>
      <c r="T95" s="41"/>
      <c r="U95" s="362">
        <f t="shared" si="16"/>
        <v>0</v>
      </c>
    </row>
    <row r="96" spans="3:21" s="37" customFormat="1" ht="12" x14ac:dyDescent="0.2">
      <c r="C96" s="199">
        <v>6610</v>
      </c>
      <c r="D96" s="37" t="s">
        <v>34</v>
      </c>
      <c r="E96" s="67">
        <v>0</v>
      </c>
      <c r="F96" s="67">
        <v>0</v>
      </c>
      <c r="G96" s="67">
        <v>0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67">
        <v>0</v>
      </c>
      <c r="N96" s="67">
        <v>0</v>
      </c>
      <c r="O96" s="67">
        <v>0</v>
      </c>
      <c r="P96" s="67">
        <v>0</v>
      </c>
      <c r="Q96" s="68"/>
      <c r="R96" s="41"/>
      <c r="S96" s="332">
        <f t="shared" ref="S96:S102" si="22">SUM(E96:Q96)</f>
        <v>0</v>
      </c>
      <c r="T96" s="41"/>
      <c r="U96" s="362">
        <f t="shared" si="16"/>
        <v>0</v>
      </c>
    </row>
    <row r="97" spans="3:21" s="37" customFormat="1" ht="12" x14ac:dyDescent="0.2">
      <c r="C97" s="199">
        <v>6612</v>
      </c>
      <c r="D97" s="37" t="s">
        <v>35</v>
      </c>
      <c r="E97" s="67">
        <v>0</v>
      </c>
      <c r="F97" s="67">
        <v>0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67">
        <v>0</v>
      </c>
      <c r="M97" s="67">
        <v>0</v>
      </c>
      <c r="N97" s="67">
        <v>0</v>
      </c>
      <c r="O97" s="67">
        <v>0</v>
      </c>
      <c r="P97" s="67">
        <v>0</v>
      </c>
      <c r="Q97" s="68"/>
      <c r="R97" s="41"/>
      <c r="S97" s="332">
        <f t="shared" si="22"/>
        <v>0</v>
      </c>
      <c r="T97" s="41"/>
      <c r="U97" s="362">
        <f t="shared" si="16"/>
        <v>0</v>
      </c>
    </row>
    <row r="98" spans="3:21" s="37" customFormat="1" ht="12" x14ac:dyDescent="0.2">
      <c r="C98" s="199">
        <v>6622</v>
      </c>
      <c r="D98" s="37" t="s">
        <v>36</v>
      </c>
      <c r="E98" s="67">
        <v>0</v>
      </c>
      <c r="F98" s="67">
        <v>0</v>
      </c>
      <c r="G98" s="67">
        <v>0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  <c r="M98" s="67">
        <v>0</v>
      </c>
      <c r="N98" s="67">
        <v>0</v>
      </c>
      <c r="O98" s="67">
        <v>0</v>
      </c>
      <c r="P98" s="67">
        <v>0</v>
      </c>
      <c r="Q98" s="68"/>
      <c r="R98" s="41"/>
      <c r="S98" s="332">
        <f t="shared" si="22"/>
        <v>0</v>
      </c>
      <c r="T98" s="41"/>
      <c r="U98" s="362">
        <f t="shared" si="16"/>
        <v>0</v>
      </c>
    </row>
    <row r="99" spans="3:21" s="37" customFormat="1" ht="12" x14ac:dyDescent="0.2">
      <c r="C99" s="199">
        <v>6641</v>
      </c>
      <c r="D99" s="37" t="s">
        <v>37</v>
      </c>
      <c r="E99" s="67">
        <v>0</v>
      </c>
      <c r="F99" s="67">
        <v>0</v>
      </c>
      <c r="G99" s="67">
        <v>0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  <c r="M99" s="67">
        <v>0</v>
      </c>
      <c r="N99" s="67">
        <v>0</v>
      </c>
      <c r="O99" s="67">
        <v>0</v>
      </c>
      <c r="P99" s="67">
        <v>0</v>
      </c>
      <c r="Q99" s="68"/>
      <c r="R99" s="41"/>
      <c r="S99" s="332">
        <f t="shared" si="22"/>
        <v>0</v>
      </c>
      <c r="T99" s="41"/>
      <c r="U99" s="362">
        <f t="shared" si="16"/>
        <v>0</v>
      </c>
    </row>
    <row r="100" spans="3:21" s="37" customFormat="1" ht="12" x14ac:dyDescent="0.2">
      <c r="C100" s="199">
        <v>6642</v>
      </c>
      <c r="D100" s="37" t="s">
        <v>38</v>
      </c>
      <c r="E100" s="67">
        <v>0</v>
      </c>
      <c r="F100" s="67">
        <v>0</v>
      </c>
      <c r="G100" s="67">
        <v>0</v>
      </c>
      <c r="H100" s="67">
        <v>0</v>
      </c>
      <c r="I100" s="67">
        <v>0</v>
      </c>
      <c r="J100" s="67">
        <v>0</v>
      </c>
      <c r="K100" s="67">
        <v>0</v>
      </c>
      <c r="L100" s="67">
        <v>0</v>
      </c>
      <c r="M100" s="67">
        <v>0</v>
      </c>
      <c r="N100" s="67">
        <v>0</v>
      </c>
      <c r="O100" s="67">
        <v>0</v>
      </c>
      <c r="P100" s="67">
        <v>0</v>
      </c>
      <c r="Q100" s="68"/>
      <c r="R100" s="41"/>
      <c r="S100" s="332">
        <f t="shared" si="22"/>
        <v>0</v>
      </c>
      <c r="T100" s="41"/>
      <c r="U100" s="362">
        <f t="shared" si="16"/>
        <v>0</v>
      </c>
    </row>
    <row r="101" spans="3:21" s="37" customFormat="1" ht="12" x14ac:dyDescent="0.2">
      <c r="C101" s="199">
        <v>6651</v>
      </c>
      <c r="D101" s="37" t="s">
        <v>39</v>
      </c>
      <c r="E101" s="67">
        <v>0</v>
      </c>
      <c r="F101" s="67">
        <v>0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68"/>
      <c r="R101" s="41"/>
      <c r="S101" s="332">
        <f t="shared" si="22"/>
        <v>0</v>
      </c>
      <c r="T101" s="41"/>
      <c r="U101" s="362">
        <f t="shared" si="16"/>
        <v>0</v>
      </c>
    </row>
    <row r="102" spans="3:21" s="37" customFormat="1" ht="12" x14ac:dyDescent="0.2">
      <c r="C102" s="199">
        <v>6652</v>
      </c>
      <c r="D102" s="37" t="s">
        <v>40</v>
      </c>
      <c r="E102" s="67">
        <v>0</v>
      </c>
      <c r="F102" s="67">
        <v>0</v>
      </c>
      <c r="G102" s="67">
        <v>0</v>
      </c>
      <c r="H102" s="67">
        <v>0</v>
      </c>
      <c r="I102" s="67">
        <v>0</v>
      </c>
      <c r="J102" s="67">
        <v>0</v>
      </c>
      <c r="K102" s="67">
        <v>0</v>
      </c>
      <c r="L102" s="67">
        <v>0</v>
      </c>
      <c r="M102" s="67">
        <v>0</v>
      </c>
      <c r="N102" s="67">
        <v>0</v>
      </c>
      <c r="O102" s="67">
        <v>0</v>
      </c>
      <c r="P102" s="67">
        <v>0</v>
      </c>
      <c r="Q102" s="68"/>
      <c r="R102" s="41"/>
      <c r="S102" s="332">
        <f t="shared" si="22"/>
        <v>0</v>
      </c>
      <c r="T102" s="41"/>
      <c r="U102" s="362">
        <f t="shared" si="16"/>
        <v>0</v>
      </c>
    </row>
    <row r="103" spans="3:21" s="37" customFormat="1" ht="12" x14ac:dyDescent="0.2">
      <c r="C103" s="38"/>
      <c r="E103" s="73">
        <f>SUBTOTAL(9,E96:E102)</f>
        <v>0</v>
      </c>
      <c r="F103" s="73">
        <f t="shared" ref="F103:S103" si="23">SUBTOTAL(9,F96:F102)</f>
        <v>0</v>
      </c>
      <c r="G103" s="73">
        <f t="shared" si="23"/>
        <v>0</v>
      </c>
      <c r="H103" s="73">
        <f t="shared" si="23"/>
        <v>0</v>
      </c>
      <c r="I103" s="73">
        <f t="shared" si="23"/>
        <v>0</v>
      </c>
      <c r="J103" s="73">
        <f t="shared" si="23"/>
        <v>0</v>
      </c>
      <c r="K103" s="73">
        <f t="shared" si="23"/>
        <v>0</v>
      </c>
      <c r="L103" s="73">
        <f t="shared" si="23"/>
        <v>0</v>
      </c>
      <c r="M103" s="73">
        <f t="shared" si="23"/>
        <v>0</v>
      </c>
      <c r="N103" s="73">
        <f t="shared" si="23"/>
        <v>0</v>
      </c>
      <c r="O103" s="73">
        <f t="shared" si="23"/>
        <v>0</v>
      </c>
      <c r="P103" s="73">
        <f t="shared" si="23"/>
        <v>0</v>
      </c>
      <c r="Q103" s="73">
        <f t="shared" si="23"/>
        <v>0</v>
      </c>
      <c r="R103" s="41"/>
      <c r="S103" s="333">
        <f t="shared" si="23"/>
        <v>0</v>
      </c>
      <c r="T103" s="41"/>
      <c r="U103" s="363">
        <f t="shared" si="16"/>
        <v>0</v>
      </c>
    </row>
    <row r="104" spans="3:21" s="37" customFormat="1" ht="12" x14ac:dyDescent="0.2">
      <c r="C104" s="49" t="s">
        <v>103</v>
      </c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41"/>
      <c r="S104" s="332"/>
      <c r="T104" s="41"/>
      <c r="U104" s="362">
        <f t="shared" si="16"/>
        <v>0</v>
      </c>
    </row>
    <row r="105" spans="3:21" s="37" customFormat="1" ht="12" x14ac:dyDescent="0.2">
      <c r="C105" s="199">
        <v>6734</v>
      </c>
      <c r="D105" s="37" t="s">
        <v>41</v>
      </c>
      <c r="E105" s="67">
        <v>0</v>
      </c>
      <c r="F105" s="67">
        <v>0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67">
        <v>0</v>
      </c>
      <c r="M105" s="67">
        <v>0</v>
      </c>
      <c r="N105" s="67">
        <v>0</v>
      </c>
      <c r="O105" s="67">
        <v>0</v>
      </c>
      <c r="P105" s="67">
        <v>0</v>
      </c>
      <c r="Q105" s="68"/>
      <c r="R105" s="41"/>
      <c r="S105" s="332">
        <f t="shared" ref="S105" si="24">SUM(E105:Q105)</f>
        <v>0</v>
      </c>
      <c r="T105" s="41"/>
      <c r="U105" s="362">
        <f t="shared" si="16"/>
        <v>0</v>
      </c>
    </row>
    <row r="106" spans="3:21" s="37" customFormat="1" ht="12" x14ac:dyDescent="0.2">
      <c r="C106" s="38"/>
      <c r="E106" s="73">
        <f>SUBTOTAL(9,E105)</f>
        <v>0</v>
      </c>
      <c r="F106" s="73">
        <f t="shared" ref="F106:S106" si="25">SUBTOTAL(9,F105)</f>
        <v>0</v>
      </c>
      <c r="G106" s="73">
        <f t="shared" si="25"/>
        <v>0</v>
      </c>
      <c r="H106" s="73">
        <f t="shared" si="25"/>
        <v>0</v>
      </c>
      <c r="I106" s="73">
        <f t="shared" si="25"/>
        <v>0</v>
      </c>
      <c r="J106" s="73">
        <f t="shared" si="25"/>
        <v>0</v>
      </c>
      <c r="K106" s="73">
        <f t="shared" si="25"/>
        <v>0</v>
      </c>
      <c r="L106" s="73">
        <f t="shared" si="25"/>
        <v>0</v>
      </c>
      <c r="M106" s="73">
        <f t="shared" si="25"/>
        <v>0</v>
      </c>
      <c r="N106" s="73">
        <f t="shared" si="25"/>
        <v>0</v>
      </c>
      <c r="O106" s="73">
        <f t="shared" si="25"/>
        <v>0</v>
      </c>
      <c r="P106" s="73">
        <f t="shared" si="25"/>
        <v>0</v>
      </c>
      <c r="Q106" s="73">
        <f t="shared" si="25"/>
        <v>0</v>
      </c>
      <c r="R106" s="41"/>
      <c r="S106" s="333">
        <f t="shared" si="25"/>
        <v>0</v>
      </c>
      <c r="T106" s="41"/>
      <c r="U106" s="363">
        <f t="shared" si="16"/>
        <v>0</v>
      </c>
    </row>
    <row r="107" spans="3:21" s="37" customFormat="1" ht="12" x14ac:dyDescent="0.2">
      <c r="C107" s="49" t="s">
        <v>104</v>
      </c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41"/>
      <c r="S107" s="332"/>
      <c r="T107" s="41"/>
      <c r="U107" s="362">
        <f t="shared" si="16"/>
        <v>0</v>
      </c>
    </row>
    <row r="108" spans="3:21" s="37" customFormat="1" ht="12" x14ac:dyDescent="0.2">
      <c r="C108" s="199">
        <v>6810</v>
      </c>
      <c r="D108" s="37" t="s">
        <v>42</v>
      </c>
      <c r="E108" s="67">
        <v>0</v>
      </c>
      <c r="F108" s="67">
        <v>0</v>
      </c>
      <c r="G108" s="67">
        <v>0</v>
      </c>
      <c r="H108" s="67">
        <v>0</v>
      </c>
      <c r="I108" s="67">
        <v>0</v>
      </c>
      <c r="J108" s="67">
        <v>0</v>
      </c>
      <c r="K108" s="67">
        <v>0</v>
      </c>
      <c r="L108" s="67">
        <v>0</v>
      </c>
      <c r="M108" s="67">
        <v>0</v>
      </c>
      <c r="N108" s="67">
        <v>0</v>
      </c>
      <c r="O108" s="67">
        <v>0</v>
      </c>
      <c r="P108" s="67">
        <v>0</v>
      </c>
      <c r="Q108" s="68"/>
      <c r="R108" s="41"/>
      <c r="S108" s="332">
        <f t="shared" ref="S108" si="26">SUM(E108:Q108)</f>
        <v>0</v>
      </c>
      <c r="T108" s="41"/>
      <c r="U108" s="362">
        <f t="shared" si="16"/>
        <v>0</v>
      </c>
    </row>
    <row r="109" spans="3:21" s="37" customFormat="1" ht="12" x14ac:dyDescent="0.2">
      <c r="C109" s="38"/>
      <c r="E109" s="73">
        <f>SUBTOTAL(9,E108)</f>
        <v>0</v>
      </c>
      <c r="F109" s="73">
        <f t="shared" ref="F109:Q109" si="27">SUBTOTAL(9,F108)</f>
        <v>0</v>
      </c>
      <c r="G109" s="73">
        <f t="shared" si="27"/>
        <v>0</v>
      </c>
      <c r="H109" s="73">
        <f t="shared" si="27"/>
        <v>0</v>
      </c>
      <c r="I109" s="73">
        <f t="shared" si="27"/>
        <v>0</v>
      </c>
      <c r="J109" s="73">
        <f t="shared" si="27"/>
        <v>0</v>
      </c>
      <c r="K109" s="73">
        <f t="shared" si="27"/>
        <v>0</v>
      </c>
      <c r="L109" s="73">
        <f t="shared" si="27"/>
        <v>0</v>
      </c>
      <c r="M109" s="73">
        <f t="shared" si="27"/>
        <v>0</v>
      </c>
      <c r="N109" s="73">
        <f t="shared" si="27"/>
        <v>0</v>
      </c>
      <c r="O109" s="73">
        <f t="shared" si="27"/>
        <v>0</v>
      </c>
      <c r="P109" s="73">
        <f t="shared" si="27"/>
        <v>0</v>
      </c>
      <c r="Q109" s="73">
        <f t="shared" si="27"/>
        <v>0</v>
      </c>
      <c r="R109" s="41"/>
      <c r="S109" s="333">
        <f t="shared" ref="S109" si="28">SUBTOTAL(9,S108)</f>
        <v>0</v>
      </c>
      <c r="T109" s="41"/>
      <c r="U109" s="363">
        <f t="shared" si="16"/>
        <v>0</v>
      </c>
    </row>
    <row r="110" spans="3:21" s="45" customFormat="1" ht="12" x14ac:dyDescent="0.2">
      <c r="C110" s="49" t="s">
        <v>43</v>
      </c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5"/>
      <c r="R110" s="48"/>
      <c r="S110" s="334"/>
      <c r="T110" s="48"/>
      <c r="U110" s="366">
        <f t="shared" si="16"/>
        <v>0</v>
      </c>
    </row>
    <row r="111" spans="3:21" s="37" customFormat="1" ht="12" x14ac:dyDescent="0.2">
      <c r="C111" s="199">
        <v>7306</v>
      </c>
      <c r="D111" s="37" t="s">
        <v>43</v>
      </c>
      <c r="E111" s="67">
        <f t="shared" ref="E111:P112" si="29">$W111/12</f>
        <v>0</v>
      </c>
      <c r="F111" s="67">
        <f t="shared" si="29"/>
        <v>0</v>
      </c>
      <c r="G111" s="67">
        <f t="shared" si="29"/>
        <v>0</v>
      </c>
      <c r="H111" s="67">
        <f t="shared" si="29"/>
        <v>0</v>
      </c>
      <c r="I111" s="67">
        <f t="shared" si="29"/>
        <v>0</v>
      </c>
      <c r="J111" s="67">
        <f t="shared" si="29"/>
        <v>0</v>
      </c>
      <c r="K111" s="67">
        <f t="shared" si="29"/>
        <v>0</v>
      </c>
      <c r="L111" s="67">
        <f t="shared" si="29"/>
        <v>0</v>
      </c>
      <c r="M111" s="67">
        <f t="shared" si="29"/>
        <v>0</v>
      </c>
      <c r="N111" s="67">
        <f t="shared" si="29"/>
        <v>0</v>
      </c>
      <c r="O111" s="67">
        <f t="shared" si="29"/>
        <v>0</v>
      </c>
      <c r="P111" s="67">
        <f t="shared" si="29"/>
        <v>0</v>
      </c>
      <c r="Q111" s="68"/>
      <c r="R111" s="41"/>
      <c r="S111" s="334">
        <f t="shared" ref="S111:S112" si="30">SUM(E111:Q111)</f>
        <v>0</v>
      </c>
      <c r="T111" s="41"/>
      <c r="U111" s="364">
        <f t="shared" si="16"/>
        <v>0</v>
      </c>
    </row>
    <row r="112" spans="3:21" s="37" customFormat="1" ht="12" x14ac:dyDescent="0.2">
      <c r="C112" s="38">
        <v>7901</v>
      </c>
      <c r="D112" s="37" t="s">
        <v>178</v>
      </c>
      <c r="E112" s="67">
        <f t="shared" si="29"/>
        <v>0</v>
      </c>
      <c r="F112" s="67">
        <f t="shared" si="29"/>
        <v>0</v>
      </c>
      <c r="G112" s="67">
        <f t="shared" si="29"/>
        <v>0</v>
      </c>
      <c r="H112" s="67">
        <f t="shared" si="29"/>
        <v>0</v>
      </c>
      <c r="I112" s="67">
        <f t="shared" si="29"/>
        <v>0</v>
      </c>
      <c r="J112" s="67">
        <f t="shared" si="29"/>
        <v>0</v>
      </c>
      <c r="K112" s="67">
        <f t="shared" si="29"/>
        <v>0</v>
      </c>
      <c r="L112" s="67">
        <f t="shared" si="29"/>
        <v>0</v>
      </c>
      <c r="M112" s="67">
        <f t="shared" si="29"/>
        <v>0</v>
      </c>
      <c r="N112" s="67">
        <f t="shared" si="29"/>
        <v>0</v>
      </c>
      <c r="O112" s="67">
        <f t="shared" si="29"/>
        <v>0</v>
      </c>
      <c r="P112" s="67">
        <f t="shared" si="29"/>
        <v>0</v>
      </c>
      <c r="Q112" s="68"/>
      <c r="R112" s="41"/>
      <c r="S112" s="334">
        <f t="shared" si="30"/>
        <v>0</v>
      </c>
      <c r="T112" s="41"/>
      <c r="U112" s="364">
        <f t="shared" si="16"/>
        <v>0</v>
      </c>
    </row>
    <row r="113" spans="1:21" s="37" customFormat="1" ht="12" x14ac:dyDescent="0.2">
      <c r="C113" s="38"/>
      <c r="E113" s="73">
        <f>SUBTOTAL(9,E111:E112)</f>
        <v>0</v>
      </c>
      <c r="F113" s="73">
        <f t="shared" ref="F113:P113" si="31">SUBTOTAL(9,F111:F112)</f>
        <v>0</v>
      </c>
      <c r="G113" s="73">
        <f t="shared" si="31"/>
        <v>0</v>
      </c>
      <c r="H113" s="73">
        <f t="shared" si="31"/>
        <v>0</v>
      </c>
      <c r="I113" s="73">
        <f t="shared" si="31"/>
        <v>0</v>
      </c>
      <c r="J113" s="73">
        <f t="shared" si="31"/>
        <v>0</v>
      </c>
      <c r="K113" s="73">
        <f t="shared" si="31"/>
        <v>0</v>
      </c>
      <c r="L113" s="73">
        <f t="shared" si="31"/>
        <v>0</v>
      </c>
      <c r="M113" s="73">
        <f t="shared" si="31"/>
        <v>0</v>
      </c>
      <c r="N113" s="73">
        <f t="shared" si="31"/>
        <v>0</v>
      </c>
      <c r="O113" s="73">
        <f t="shared" si="31"/>
        <v>0</v>
      </c>
      <c r="P113" s="73">
        <f t="shared" si="31"/>
        <v>0</v>
      </c>
      <c r="Q113" s="73">
        <f>SUBTOTAL(9,Q111:Q112)</f>
        <v>0</v>
      </c>
      <c r="R113" s="41"/>
      <c r="S113" s="333">
        <f>SUBTOTAL(9,S111:S112)</f>
        <v>0</v>
      </c>
      <c r="T113" s="41"/>
      <c r="U113" s="363">
        <f t="shared" si="16"/>
        <v>0</v>
      </c>
    </row>
    <row r="114" spans="1:21" s="37" customFormat="1" ht="9" customHeight="1" x14ac:dyDescent="0.2">
      <c r="C114" s="38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41"/>
      <c r="S114" s="332"/>
      <c r="T114" s="41"/>
      <c r="U114" s="362">
        <f t="shared" si="16"/>
        <v>0</v>
      </c>
    </row>
    <row r="115" spans="1:21" s="45" customFormat="1" ht="12" x14ac:dyDescent="0.2">
      <c r="A115" s="45" t="s">
        <v>107</v>
      </c>
      <c r="C115" s="46"/>
      <c r="E115" s="71">
        <f t="shared" ref="E115:Q115" si="32">SUBTOTAL(9,E30:E114)</f>
        <v>0</v>
      </c>
      <c r="F115" s="71">
        <f t="shared" si="32"/>
        <v>0</v>
      </c>
      <c r="G115" s="71">
        <f t="shared" si="32"/>
        <v>0</v>
      </c>
      <c r="H115" s="71">
        <f t="shared" si="32"/>
        <v>0</v>
      </c>
      <c r="I115" s="71">
        <f t="shared" si="32"/>
        <v>0</v>
      </c>
      <c r="J115" s="71">
        <f t="shared" si="32"/>
        <v>0</v>
      </c>
      <c r="K115" s="71">
        <f t="shared" si="32"/>
        <v>0</v>
      </c>
      <c r="L115" s="71">
        <f t="shared" si="32"/>
        <v>0</v>
      </c>
      <c r="M115" s="71">
        <f t="shared" si="32"/>
        <v>0</v>
      </c>
      <c r="N115" s="71">
        <f t="shared" si="32"/>
        <v>0</v>
      </c>
      <c r="O115" s="71">
        <f t="shared" si="32"/>
        <v>0</v>
      </c>
      <c r="P115" s="71">
        <f t="shared" si="32"/>
        <v>0</v>
      </c>
      <c r="Q115" s="69">
        <f t="shared" si="32"/>
        <v>0</v>
      </c>
      <c r="R115" s="48"/>
      <c r="S115" s="335">
        <f>SUBTOTAL(9,S30:S114)</f>
        <v>0</v>
      </c>
      <c r="T115" s="48"/>
      <c r="U115" s="365">
        <f t="shared" si="16"/>
        <v>0</v>
      </c>
    </row>
    <row r="116" spans="1:21" s="37" customFormat="1" ht="12" x14ac:dyDescent="0.2">
      <c r="C116" s="38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41"/>
      <c r="S116" s="332"/>
      <c r="T116" s="41"/>
      <c r="U116" s="362">
        <f t="shared" si="16"/>
        <v>0</v>
      </c>
    </row>
    <row r="117" spans="1:21" s="45" customFormat="1" ht="12.75" thickBot="1" x14ac:dyDescent="0.25">
      <c r="A117" s="45" t="s">
        <v>108</v>
      </c>
      <c r="C117" s="46"/>
      <c r="E117" s="193">
        <f t="shared" ref="E117:Q117" si="33">E27-E115</f>
        <v>0</v>
      </c>
      <c r="F117" s="193">
        <f t="shared" si="33"/>
        <v>0</v>
      </c>
      <c r="G117" s="193">
        <f t="shared" si="33"/>
        <v>0</v>
      </c>
      <c r="H117" s="193">
        <f t="shared" si="33"/>
        <v>0</v>
      </c>
      <c r="I117" s="193">
        <f t="shared" si="33"/>
        <v>0</v>
      </c>
      <c r="J117" s="193">
        <f t="shared" si="33"/>
        <v>0</v>
      </c>
      <c r="K117" s="193">
        <f t="shared" si="33"/>
        <v>0</v>
      </c>
      <c r="L117" s="193">
        <f t="shared" si="33"/>
        <v>0</v>
      </c>
      <c r="M117" s="193">
        <f t="shared" si="33"/>
        <v>0</v>
      </c>
      <c r="N117" s="193">
        <f t="shared" si="33"/>
        <v>0</v>
      </c>
      <c r="O117" s="193">
        <f t="shared" si="33"/>
        <v>0</v>
      </c>
      <c r="P117" s="193">
        <f t="shared" si="33"/>
        <v>0</v>
      </c>
      <c r="Q117" s="193">
        <f t="shared" si="33"/>
        <v>0</v>
      </c>
      <c r="R117" s="191"/>
      <c r="S117" s="336">
        <f>S27-S115</f>
        <v>0</v>
      </c>
      <c r="T117" s="191"/>
      <c r="U117" s="367">
        <f t="shared" si="16"/>
        <v>0</v>
      </c>
    </row>
    <row r="118" spans="1:21" s="37" customFormat="1" ht="12.75" thickTop="1" x14ac:dyDescent="0.2">
      <c r="C118" s="38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41"/>
      <c r="S118" s="337"/>
      <c r="T118" s="41"/>
      <c r="U118" s="362"/>
    </row>
    <row r="119" spans="1:21" s="37" customFormat="1" ht="12" x14ac:dyDescent="0.2">
      <c r="A119" s="53" t="s">
        <v>109</v>
      </c>
      <c r="B119" s="54"/>
      <c r="C119" s="54"/>
      <c r="D119" s="54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41"/>
      <c r="S119" s="337"/>
      <c r="T119" s="41"/>
      <c r="U119" s="362"/>
    </row>
    <row r="120" spans="1:21" s="37" customFormat="1" ht="12" x14ac:dyDescent="0.2">
      <c r="A120" s="53"/>
      <c r="B120" s="53"/>
      <c r="C120" s="54" t="s">
        <v>110</v>
      </c>
      <c r="D120" s="54"/>
      <c r="E120" s="67">
        <f>E117</f>
        <v>0</v>
      </c>
      <c r="F120" s="67">
        <f t="shared" ref="F120:Q120" si="34">F117</f>
        <v>0</v>
      </c>
      <c r="G120" s="67">
        <f t="shared" si="34"/>
        <v>0</v>
      </c>
      <c r="H120" s="67">
        <f t="shared" si="34"/>
        <v>0</v>
      </c>
      <c r="I120" s="67">
        <f t="shared" si="34"/>
        <v>0</v>
      </c>
      <c r="J120" s="67">
        <f t="shared" si="34"/>
        <v>0</v>
      </c>
      <c r="K120" s="67">
        <f t="shared" si="34"/>
        <v>0</v>
      </c>
      <c r="L120" s="67">
        <f t="shared" si="34"/>
        <v>0</v>
      </c>
      <c r="M120" s="67">
        <f t="shared" si="34"/>
        <v>0</v>
      </c>
      <c r="N120" s="67">
        <f t="shared" si="34"/>
        <v>0</v>
      </c>
      <c r="O120" s="67">
        <f t="shared" si="34"/>
        <v>0</v>
      </c>
      <c r="P120" s="67">
        <f t="shared" si="34"/>
        <v>0</v>
      </c>
      <c r="Q120" s="67">
        <f t="shared" si="34"/>
        <v>0</v>
      </c>
      <c r="R120" s="41"/>
      <c r="S120" s="337"/>
      <c r="T120" s="41"/>
      <c r="U120" s="362"/>
    </row>
    <row r="121" spans="1:21" s="37" customFormat="1" ht="12" x14ac:dyDescent="0.2">
      <c r="A121" s="54"/>
      <c r="B121" s="54" t="s">
        <v>111</v>
      </c>
      <c r="C121" s="54" t="s">
        <v>112</v>
      </c>
      <c r="D121" s="54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41"/>
      <c r="S121" s="337"/>
      <c r="T121" s="41"/>
      <c r="U121" s="362"/>
    </row>
    <row r="122" spans="1:21" s="37" customFormat="1" ht="12" x14ac:dyDescent="0.2">
      <c r="A122" s="54"/>
      <c r="B122" s="54" t="s">
        <v>111</v>
      </c>
      <c r="C122" s="54"/>
      <c r="D122" s="55" t="s">
        <v>113</v>
      </c>
      <c r="E122" s="67">
        <v>0</v>
      </c>
      <c r="F122" s="67">
        <v>0</v>
      </c>
      <c r="G122" s="67">
        <v>0</v>
      </c>
      <c r="H122" s="67">
        <v>0</v>
      </c>
      <c r="I122" s="67">
        <v>0</v>
      </c>
      <c r="J122" s="67">
        <v>0</v>
      </c>
      <c r="K122" s="67">
        <v>0</v>
      </c>
      <c r="L122" s="67">
        <v>0</v>
      </c>
      <c r="M122" s="67">
        <v>0</v>
      </c>
      <c r="N122" s="67">
        <v>0</v>
      </c>
      <c r="O122" s="67">
        <v>0</v>
      </c>
      <c r="P122" s="67">
        <v>0</v>
      </c>
      <c r="Q122" s="67">
        <v>0</v>
      </c>
      <c r="R122" s="41"/>
      <c r="S122" s="337"/>
      <c r="T122" s="41"/>
      <c r="U122" s="362"/>
    </row>
    <row r="123" spans="1:21" s="37" customFormat="1" ht="12" x14ac:dyDescent="0.2">
      <c r="A123" s="54"/>
      <c r="B123" s="54" t="s">
        <v>111</v>
      </c>
      <c r="C123" s="54"/>
      <c r="D123" s="55" t="s">
        <v>114</v>
      </c>
      <c r="E123" s="67">
        <v>0</v>
      </c>
      <c r="F123" s="67">
        <v>0</v>
      </c>
      <c r="G123" s="67">
        <v>0</v>
      </c>
      <c r="H123" s="67">
        <v>0</v>
      </c>
      <c r="I123" s="67">
        <v>0</v>
      </c>
      <c r="J123" s="67">
        <v>0</v>
      </c>
      <c r="K123" s="67">
        <v>0</v>
      </c>
      <c r="L123" s="67">
        <v>0</v>
      </c>
      <c r="M123" s="67">
        <v>0</v>
      </c>
      <c r="N123" s="67">
        <v>0</v>
      </c>
      <c r="O123" s="67">
        <v>0</v>
      </c>
      <c r="P123" s="67">
        <v>0</v>
      </c>
      <c r="Q123" s="67">
        <v>-2.6800000000062028</v>
      </c>
      <c r="R123" s="41"/>
      <c r="S123" s="337"/>
      <c r="T123" s="41"/>
      <c r="U123" s="362"/>
    </row>
    <row r="124" spans="1:21" s="37" customFormat="1" ht="12" x14ac:dyDescent="0.2">
      <c r="A124" s="54"/>
      <c r="B124" s="54" t="s">
        <v>111</v>
      </c>
      <c r="C124" s="54"/>
      <c r="D124" s="55" t="s">
        <v>115</v>
      </c>
      <c r="E124" s="67">
        <v>0</v>
      </c>
      <c r="F124" s="67">
        <v>0</v>
      </c>
      <c r="G124" s="67">
        <v>0</v>
      </c>
      <c r="H124" s="67">
        <v>0</v>
      </c>
      <c r="I124" s="67">
        <v>0</v>
      </c>
      <c r="J124" s="67">
        <v>0</v>
      </c>
      <c r="K124" s="67">
        <v>0</v>
      </c>
      <c r="L124" s="67">
        <v>0</v>
      </c>
      <c r="M124" s="67">
        <v>0</v>
      </c>
      <c r="N124" s="67">
        <v>0</v>
      </c>
      <c r="O124" s="67">
        <v>0</v>
      </c>
      <c r="P124" s="67">
        <v>0</v>
      </c>
      <c r="Q124" s="67">
        <v>0</v>
      </c>
      <c r="R124" s="41"/>
      <c r="S124" s="337"/>
      <c r="T124" s="41"/>
      <c r="U124" s="362"/>
    </row>
    <row r="125" spans="1:21" s="37" customFormat="1" ht="12" x14ac:dyDescent="0.2">
      <c r="A125" s="54"/>
      <c r="B125" s="54" t="s">
        <v>111</v>
      </c>
      <c r="C125" s="54"/>
      <c r="D125" s="55" t="s">
        <v>116</v>
      </c>
      <c r="E125" s="67">
        <v>0</v>
      </c>
      <c r="F125" s="67">
        <v>0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67">
        <v>0</v>
      </c>
      <c r="M125" s="67">
        <v>0</v>
      </c>
      <c r="N125" s="67">
        <v>0</v>
      </c>
      <c r="O125" s="67">
        <v>0</v>
      </c>
      <c r="P125" s="67">
        <v>0</v>
      </c>
      <c r="Q125" s="67">
        <v>0</v>
      </c>
      <c r="R125" s="41"/>
      <c r="S125" s="337"/>
      <c r="T125" s="41"/>
      <c r="U125" s="362"/>
    </row>
    <row r="126" spans="1:21" s="37" customFormat="1" ht="12" x14ac:dyDescent="0.2">
      <c r="A126" s="54"/>
      <c r="B126" s="54" t="s">
        <v>111</v>
      </c>
      <c r="C126" s="54"/>
      <c r="D126" s="55" t="s">
        <v>117</v>
      </c>
      <c r="E126" s="67">
        <v>0</v>
      </c>
      <c r="F126" s="67">
        <v>0</v>
      </c>
      <c r="G126" s="67">
        <v>0</v>
      </c>
      <c r="H126" s="67">
        <v>0</v>
      </c>
      <c r="I126" s="67">
        <v>0</v>
      </c>
      <c r="J126" s="67">
        <v>0</v>
      </c>
      <c r="K126" s="67">
        <v>0</v>
      </c>
      <c r="L126" s="67">
        <v>0</v>
      </c>
      <c r="M126" s="67">
        <v>0</v>
      </c>
      <c r="N126" s="67">
        <v>0</v>
      </c>
      <c r="O126" s="67">
        <v>0</v>
      </c>
      <c r="P126" s="67">
        <v>0</v>
      </c>
      <c r="Q126" s="67">
        <v>0</v>
      </c>
      <c r="R126" s="41"/>
      <c r="S126" s="337"/>
      <c r="T126" s="41"/>
      <c r="U126" s="362"/>
    </row>
    <row r="127" spans="1:21" s="37" customFormat="1" ht="12" x14ac:dyDescent="0.2">
      <c r="A127" s="54"/>
      <c r="B127" s="54" t="s">
        <v>111</v>
      </c>
      <c r="C127" s="54"/>
      <c r="D127" s="55" t="s">
        <v>118</v>
      </c>
      <c r="E127" s="67">
        <v>0</v>
      </c>
      <c r="F127" s="67">
        <v>0</v>
      </c>
      <c r="G127" s="67">
        <v>0</v>
      </c>
      <c r="H127" s="67">
        <v>0</v>
      </c>
      <c r="I127" s="67">
        <v>0</v>
      </c>
      <c r="J127" s="67">
        <v>0</v>
      </c>
      <c r="K127" s="67">
        <v>0</v>
      </c>
      <c r="L127" s="67">
        <v>0</v>
      </c>
      <c r="M127" s="67">
        <v>0</v>
      </c>
      <c r="N127" s="67">
        <v>0</v>
      </c>
      <c r="O127" s="67">
        <v>0</v>
      </c>
      <c r="P127" s="67">
        <v>0</v>
      </c>
      <c r="Q127" s="67">
        <v>0</v>
      </c>
      <c r="R127" s="41"/>
      <c r="S127" s="337"/>
      <c r="T127" s="41"/>
      <c r="U127" s="362"/>
    </row>
    <row r="128" spans="1:21" s="37" customFormat="1" ht="12" x14ac:dyDescent="0.2">
      <c r="A128" s="54"/>
      <c r="B128" s="54" t="s">
        <v>111</v>
      </c>
      <c r="C128" s="54"/>
      <c r="D128" s="55" t="s">
        <v>119</v>
      </c>
      <c r="E128" s="67">
        <v>0</v>
      </c>
      <c r="F128" s="67">
        <v>0</v>
      </c>
      <c r="G128" s="67">
        <v>0</v>
      </c>
      <c r="H128" s="67">
        <v>0</v>
      </c>
      <c r="I128" s="67">
        <v>0</v>
      </c>
      <c r="J128" s="67">
        <v>0</v>
      </c>
      <c r="K128" s="67">
        <v>0</v>
      </c>
      <c r="L128" s="67">
        <v>0</v>
      </c>
      <c r="M128" s="67">
        <v>0</v>
      </c>
      <c r="N128" s="67">
        <v>0</v>
      </c>
      <c r="O128" s="67">
        <v>0</v>
      </c>
      <c r="P128" s="67">
        <v>0</v>
      </c>
      <c r="Q128" s="67">
        <v>0</v>
      </c>
      <c r="R128" s="41"/>
      <c r="S128" s="337"/>
      <c r="T128" s="41"/>
      <c r="U128" s="362"/>
    </row>
    <row r="129" spans="1:21" s="37" customFormat="1" ht="12" x14ac:dyDescent="0.2">
      <c r="A129" s="54"/>
      <c r="B129" s="54" t="s">
        <v>111</v>
      </c>
      <c r="C129" s="54"/>
      <c r="D129" s="55" t="s">
        <v>120</v>
      </c>
      <c r="E129" s="67">
        <v>0</v>
      </c>
      <c r="F129" s="67">
        <v>0</v>
      </c>
      <c r="G129" s="67">
        <v>0</v>
      </c>
      <c r="H129" s="67">
        <v>0</v>
      </c>
      <c r="I129" s="67">
        <v>0</v>
      </c>
      <c r="J129" s="67">
        <v>0</v>
      </c>
      <c r="K129" s="67">
        <v>0</v>
      </c>
      <c r="L129" s="67">
        <v>0</v>
      </c>
      <c r="M129" s="67">
        <v>0</v>
      </c>
      <c r="N129" s="67">
        <v>0</v>
      </c>
      <c r="O129" s="67">
        <v>0</v>
      </c>
      <c r="P129" s="67">
        <v>0</v>
      </c>
      <c r="Q129" s="67">
        <v>0</v>
      </c>
      <c r="R129" s="41"/>
      <c r="S129" s="337"/>
      <c r="T129" s="41"/>
      <c r="U129" s="362"/>
    </row>
    <row r="130" spans="1:21" s="37" customFormat="1" ht="12" x14ac:dyDescent="0.2">
      <c r="A130" s="54"/>
      <c r="B130" s="54" t="s">
        <v>111</v>
      </c>
      <c r="C130" s="54"/>
      <c r="D130" s="55" t="s">
        <v>121</v>
      </c>
      <c r="E130" s="67">
        <v>0</v>
      </c>
      <c r="F130" s="67">
        <v>0</v>
      </c>
      <c r="G130" s="67">
        <v>0</v>
      </c>
      <c r="H130" s="67">
        <v>0</v>
      </c>
      <c r="I130" s="67">
        <v>0</v>
      </c>
      <c r="J130" s="67">
        <v>0</v>
      </c>
      <c r="K130" s="67">
        <v>0</v>
      </c>
      <c r="L130" s="67">
        <v>0</v>
      </c>
      <c r="M130" s="67">
        <v>0</v>
      </c>
      <c r="N130" s="67">
        <v>0</v>
      </c>
      <c r="O130" s="67">
        <v>0</v>
      </c>
      <c r="P130" s="67">
        <v>0</v>
      </c>
      <c r="Q130" s="67">
        <v>0</v>
      </c>
      <c r="R130" s="41"/>
      <c r="S130" s="337"/>
      <c r="T130" s="41"/>
      <c r="U130" s="362"/>
    </row>
    <row r="131" spans="1:21" s="37" customFormat="1" ht="12" x14ac:dyDescent="0.2">
      <c r="A131" s="54"/>
      <c r="B131" s="54" t="s">
        <v>111</v>
      </c>
      <c r="C131" s="54" t="s">
        <v>122</v>
      </c>
      <c r="D131" s="55"/>
      <c r="E131" s="67">
        <v>0</v>
      </c>
      <c r="F131" s="67">
        <v>0</v>
      </c>
      <c r="G131" s="67">
        <v>0</v>
      </c>
      <c r="H131" s="67">
        <v>0</v>
      </c>
      <c r="I131" s="67">
        <v>0</v>
      </c>
      <c r="J131" s="67">
        <v>0</v>
      </c>
      <c r="K131" s="67">
        <v>0</v>
      </c>
      <c r="L131" s="67">
        <v>0</v>
      </c>
      <c r="M131" s="67">
        <v>0</v>
      </c>
      <c r="N131" s="67">
        <v>0</v>
      </c>
      <c r="O131" s="67">
        <v>0</v>
      </c>
      <c r="P131" s="67">
        <v>0</v>
      </c>
      <c r="Q131" s="67">
        <v>0</v>
      </c>
      <c r="R131" s="41"/>
      <c r="S131" s="337"/>
      <c r="T131" s="41"/>
      <c r="U131" s="362"/>
    </row>
    <row r="132" spans="1:21" s="37" customFormat="1" ht="12" x14ac:dyDescent="0.2">
      <c r="A132" s="54"/>
      <c r="B132" s="54" t="s">
        <v>111</v>
      </c>
      <c r="C132" s="54"/>
      <c r="D132" s="55" t="s">
        <v>123</v>
      </c>
      <c r="E132" s="67">
        <v>0</v>
      </c>
      <c r="F132" s="67">
        <v>0</v>
      </c>
      <c r="G132" s="67">
        <v>0</v>
      </c>
      <c r="H132" s="67">
        <v>0</v>
      </c>
      <c r="I132" s="67">
        <v>0</v>
      </c>
      <c r="J132" s="67">
        <v>0</v>
      </c>
      <c r="K132" s="67">
        <v>0</v>
      </c>
      <c r="L132" s="67">
        <v>0</v>
      </c>
      <c r="M132" s="67">
        <v>0</v>
      </c>
      <c r="N132" s="67">
        <v>0</v>
      </c>
      <c r="O132" s="67">
        <v>0</v>
      </c>
      <c r="P132" s="67">
        <v>0</v>
      </c>
      <c r="Q132" s="67">
        <v>0</v>
      </c>
      <c r="R132" s="41"/>
      <c r="S132" s="337"/>
      <c r="T132" s="41"/>
      <c r="U132" s="362"/>
    </row>
    <row r="133" spans="1:21" s="37" customFormat="1" ht="12" x14ac:dyDescent="0.2">
      <c r="A133" s="54"/>
      <c r="B133" s="54"/>
      <c r="C133" s="54"/>
      <c r="D133" s="54" t="s">
        <v>124</v>
      </c>
      <c r="E133" s="67">
        <v>0</v>
      </c>
      <c r="F133" s="67">
        <v>0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67">
        <v>0</v>
      </c>
      <c r="M133" s="67">
        <v>0</v>
      </c>
      <c r="N133" s="67">
        <v>0</v>
      </c>
      <c r="O133" s="67">
        <v>0</v>
      </c>
      <c r="P133" s="67">
        <v>0</v>
      </c>
      <c r="Q133" s="67">
        <v>0</v>
      </c>
      <c r="R133" s="41"/>
      <c r="S133" s="337"/>
      <c r="T133" s="41"/>
      <c r="U133" s="362"/>
    </row>
    <row r="134" spans="1:21" s="37" customFormat="1" ht="12" x14ac:dyDescent="0.2">
      <c r="A134" s="54"/>
      <c r="B134" s="54"/>
      <c r="C134" s="54" t="s">
        <v>125</v>
      </c>
      <c r="D134" s="54"/>
      <c r="E134" s="67">
        <v>0</v>
      </c>
      <c r="F134" s="67">
        <v>0</v>
      </c>
      <c r="G134" s="67">
        <v>0</v>
      </c>
      <c r="H134" s="67">
        <v>0</v>
      </c>
      <c r="I134" s="67">
        <v>0</v>
      </c>
      <c r="J134" s="67">
        <v>0</v>
      </c>
      <c r="K134" s="67">
        <v>0</v>
      </c>
      <c r="L134" s="67">
        <v>0</v>
      </c>
      <c r="M134" s="67">
        <v>0</v>
      </c>
      <c r="N134" s="67">
        <v>0</v>
      </c>
      <c r="O134" s="67">
        <v>0</v>
      </c>
      <c r="P134" s="67">
        <v>0</v>
      </c>
      <c r="Q134" s="67">
        <v>0</v>
      </c>
      <c r="R134" s="41"/>
      <c r="S134" s="337"/>
      <c r="T134" s="41"/>
      <c r="U134" s="362"/>
    </row>
    <row r="135" spans="1:21" s="37" customFormat="1" ht="12" x14ac:dyDescent="0.2">
      <c r="A135" s="54"/>
      <c r="B135" s="54"/>
      <c r="C135" s="54"/>
      <c r="D135" s="54" t="s">
        <v>129</v>
      </c>
      <c r="E135" s="67">
        <v>0</v>
      </c>
      <c r="F135" s="67">
        <v>0</v>
      </c>
      <c r="G135" s="67">
        <v>0</v>
      </c>
      <c r="H135" s="67">
        <v>0</v>
      </c>
      <c r="I135" s="67">
        <v>0</v>
      </c>
      <c r="J135" s="67">
        <v>0</v>
      </c>
      <c r="K135" s="67">
        <v>0</v>
      </c>
      <c r="L135" s="67">
        <v>0</v>
      </c>
      <c r="M135" s="67">
        <v>0</v>
      </c>
      <c r="N135" s="67">
        <v>0</v>
      </c>
      <c r="O135" s="67">
        <v>0</v>
      </c>
      <c r="P135" s="67">
        <v>0</v>
      </c>
      <c r="Q135" s="67">
        <v>0</v>
      </c>
      <c r="R135" s="41"/>
      <c r="S135" s="337"/>
      <c r="T135" s="41"/>
      <c r="U135" s="362"/>
    </row>
    <row r="136" spans="1:21" s="37" customFormat="1" ht="12" x14ac:dyDescent="0.2">
      <c r="A136" s="54"/>
      <c r="B136" s="54"/>
      <c r="C136" s="54"/>
      <c r="D136" s="54" t="s">
        <v>130</v>
      </c>
      <c r="E136" s="69">
        <v>0</v>
      </c>
      <c r="F136" s="69">
        <v>0</v>
      </c>
      <c r="G136" s="69">
        <v>0</v>
      </c>
      <c r="H136" s="69">
        <v>0</v>
      </c>
      <c r="I136" s="69">
        <v>0</v>
      </c>
      <c r="J136" s="69">
        <v>0</v>
      </c>
      <c r="K136" s="69">
        <v>0</v>
      </c>
      <c r="L136" s="69">
        <v>0</v>
      </c>
      <c r="M136" s="69">
        <v>0</v>
      </c>
      <c r="N136" s="69">
        <v>0</v>
      </c>
      <c r="O136" s="69">
        <v>0</v>
      </c>
      <c r="P136" s="69">
        <v>0</v>
      </c>
      <c r="Q136" s="69">
        <v>0</v>
      </c>
      <c r="R136" s="41"/>
      <c r="S136" s="337"/>
      <c r="T136" s="41"/>
      <c r="U136" s="362"/>
    </row>
    <row r="137" spans="1:21" s="37" customFormat="1" ht="12" x14ac:dyDescent="0.2">
      <c r="A137" s="54"/>
      <c r="B137" s="54"/>
      <c r="C137" s="54"/>
      <c r="D137" s="54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39"/>
      <c r="R137" s="41"/>
      <c r="S137" s="337"/>
      <c r="T137" s="41"/>
      <c r="U137" s="362"/>
    </row>
    <row r="138" spans="1:21" s="37" customFormat="1" ht="12" x14ac:dyDescent="0.2">
      <c r="A138" s="54"/>
      <c r="B138" s="54" t="s">
        <v>126</v>
      </c>
      <c r="C138" s="54"/>
      <c r="D138" s="54"/>
      <c r="E138" s="67">
        <f>SUM(E120:E136)</f>
        <v>0</v>
      </c>
      <c r="F138" s="67">
        <f>SUM(F120:F136)</f>
        <v>0</v>
      </c>
      <c r="G138" s="67">
        <f t="shared" ref="G138:P138" si="35">SUM(G120:G136)</f>
        <v>0</v>
      </c>
      <c r="H138" s="67">
        <f t="shared" si="35"/>
        <v>0</v>
      </c>
      <c r="I138" s="67">
        <f t="shared" si="35"/>
        <v>0</v>
      </c>
      <c r="J138" s="67">
        <f t="shared" si="35"/>
        <v>0</v>
      </c>
      <c r="K138" s="67">
        <f t="shared" si="35"/>
        <v>0</v>
      </c>
      <c r="L138" s="67">
        <f t="shared" si="35"/>
        <v>0</v>
      </c>
      <c r="M138" s="67">
        <f t="shared" si="35"/>
        <v>0</v>
      </c>
      <c r="N138" s="67">
        <f t="shared" si="35"/>
        <v>0</v>
      </c>
      <c r="O138" s="67">
        <f t="shared" si="35"/>
        <v>0</v>
      </c>
      <c r="P138" s="67">
        <f t="shared" si="35"/>
        <v>0</v>
      </c>
      <c r="Q138" s="39"/>
      <c r="R138" s="41"/>
      <c r="S138" s="337"/>
      <c r="T138" s="41"/>
      <c r="U138" s="362"/>
    </row>
    <row r="139" spans="1:21" s="37" customFormat="1" ht="12" x14ac:dyDescent="0.2">
      <c r="A139" s="54"/>
      <c r="B139" s="54" t="s">
        <v>127</v>
      </c>
      <c r="C139" s="54"/>
      <c r="D139" s="54"/>
      <c r="E139" s="69">
        <f>'FY21'!E139</f>
        <v>0</v>
      </c>
      <c r="F139" s="69">
        <f>E141</f>
        <v>0</v>
      </c>
      <c r="G139" s="69">
        <f t="shared" ref="G139:P139" si="36">F141</f>
        <v>0</v>
      </c>
      <c r="H139" s="69">
        <f t="shared" si="36"/>
        <v>0</v>
      </c>
      <c r="I139" s="69">
        <f t="shared" si="36"/>
        <v>0</v>
      </c>
      <c r="J139" s="69">
        <f t="shared" si="36"/>
        <v>0</v>
      </c>
      <c r="K139" s="69">
        <f t="shared" si="36"/>
        <v>0</v>
      </c>
      <c r="L139" s="69">
        <f t="shared" si="36"/>
        <v>0</v>
      </c>
      <c r="M139" s="69">
        <f t="shared" si="36"/>
        <v>0</v>
      </c>
      <c r="N139" s="69">
        <f t="shared" si="36"/>
        <v>0</v>
      </c>
      <c r="O139" s="69">
        <f t="shared" si="36"/>
        <v>0</v>
      </c>
      <c r="P139" s="69">
        <f t="shared" si="36"/>
        <v>0</v>
      </c>
      <c r="Q139" s="39"/>
      <c r="R139" s="41"/>
      <c r="S139" s="337"/>
      <c r="T139" s="41"/>
      <c r="U139" s="362"/>
    </row>
    <row r="140" spans="1:21" s="37" customFormat="1" ht="12" x14ac:dyDescent="0.2">
      <c r="A140" s="54"/>
      <c r="B140" s="54"/>
      <c r="C140" s="54"/>
      <c r="D140" s="54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39"/>
      <c r="R140" s="41"/>
      <c r="S140" s="337"/>
      <c r="T140" s="41"/>
      <c r="U140" s="362"/>
    </row>
    <row r="141" spans="1:21" s="37" customFormat="1" ht="12.75" thickBot="1" x14ac:dyDescent="0.25">
      <c r="A141" s="53"/>
      <c r="B141" s="53" t="s">
        <v>128</v>
      </c>
      <c r="C141" s="53"/>
      <c r="D141" s="53"/>
      <c r="E141" s="195">
        <f t="shared" ref="E141:P141" si="37">SUM(E138:E140)</f>
        <v>0</v>
      </c>
      <c r="F141" s="195">
        <f t="shared" si="37"/>
        <v>0</v>
      </c>
      <c r="G141" s="195">
        <f t="shared" si="37"/>
        <v>0</v>
      </c>
      <c r="H141" s="195">
        <f t="shared" si="37"/>
        <v>0</v>
      </c>
      <c r="I141" s="195">
        <f t="shared" si="37"/>
        <v>0</v>
      </c>
      <c r="J141" s="195">
        <f t="shared" si="37"/>
        <v>0</v>
      </c>
      <c r="K141" s="195">
        <f t="shared" si="37"/>
        <v>0</v>
      </c>
      <c r="L141" s="195">
        <f t="shared" si="37"/>
        <v>0</v>
      </c>
      <c r="M141" s="195">
        <f t="shared" si="37"/>
        <v>0</v>
      </c>
      <c r="N141" s="195">
        <f t="shared" si="37"/>
        <v>0</v>
      </c>
      <c r="O141" s="195">
        <f t="shared" si="37"/>
        <v>0</v>
      </c>
      <c r="P141" s="195">
        <f t="shared" si="37"/>
        <v>0</v>
      </c>
      <c r="Q141" s="39"/>
      <c r="R141" s="41"/>
      <c r="S141" s="337"/>
      <c r="T141" s="41"/>
      <c r="U141" s="362"/>
    </row>
    <row r="142" spans="1:21" s="37" customFormat="1" ht="12.75" thickTop="1" x14ac:dyDescent="0.2">
      <c r="C142" s="38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41"/>
      <c r="S142" s="337"/>
      <c r="T142" s="41"/>
      <c r="U142" s="362"/>
    </row>
    <row r="143" spans="1:21" s="37" customFormat="1" ht="12.75" thickBot="1" x14ac:dyDescent="0.25">
      <c r="C143" s="38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41"/>
      <c r="S143" s="337"/>
      <c r="T143" s="41"/>
      <c r="U143" s="362"/>
    </row>
    <row r="144" spans="1:21" s="37" customFormat="1" ht="12.75" thickBot="1" x14ac:dyDescent="0.25">
      <c r="C144" s="38"/>
      <c r="E144" s="711" t="s">
        <v>169</v>
      </c>
      <c r="F144" s="712"/>
      <c r="G144" s="712"/>
      <c r="H144" s="712"/>
      <c r="I144" s="712"/>
      <c r="J144" s="712"/>
      <c r="K144" s="712"/>
      <c r="L144" s="712"/>
      <c r="M144" s="712"/>
      <c r="N144" s="712"/>
      <c r="O144" s="712"/>
      <c r="P144" s="713"/>
      <c r="Q144" s="39"/>
      <c r="R144" s="41"/>
      <c r="S144" s="337"/>
      <c r="T144" s="41"/>
      <c r="U144" s="362"/>
    </row>
    <row r="145" spans="3:21" s="37" customFormat="1" ht="12" x14ac:dyDescent="0.2">
      <c r="C145" s="38"/>
      <c r="E145" s="177" t="s">
        <v>156</v>
      </c>
      <c r="F145" s="177" t="s">
        <v>157</v>
      </c>
      <c r="G145" s="177" t="s">
        <v>158</v>
      </c>
      <c r="H145" s="177" t="s">
        <v>159</v>
      </c>
      <c r="I145" s="177" t="s">
        <v>160</v>
      </c>
      <c r="J145" s="177" t="s">
        <v>161</v>
      </c>
      <c r="K145" s="177" t="s">
        <v>162</v>
      </c>
      <c r="L145" s="177" t="s">
        <v>163</v>
      </c>
      <c r="M145" s="177" t="s">
        <v>164</v>
      </c>
      <c r="N145" s="177" t="s">
        <v>165</v>
      </c>
      <c r="O145" s="177" t="s">
        <v>166</v>
      </c>
      <c r="P145" s="177" t="s">
        <v>167</v>
      </c>
      <c r="Q145" s="39"/>
      <c r="R145" s="41"/>
      <c r="S145" s="337"/>
      <c r="T145" s="41"/>
      <c r="U145" s="362"/>
    </row>
    <row r="146" spans="3:21" s="37" customFormat="1" ht="12" hidden="1" x14ac:dyDescent="0.2">
      <c r="C146" s="38"/>
      <c r="D146" s="201" t="s">
        <v>63</v>
      </c>
      <c r="E146" s="178">
        <f>'Rev &amp; Enroll'!Q10</f>
        <v>0</v>
      </c>
      <c r="F146" s="178">
        <f>'Rev &amp; Enroll'!R10</f>
        <v>0</v>
      </c>
      <c r="G146" s="178">
        <f>'Rev &amp; Enroll'!S10</f>
        <v>0</v>
      </c>
      <c r="H146" s="178">
        <f>'Rev &amp; Enroll'!T10</f>
        <v>0</v>
      </c>
      <c r="I146" s="178">
        <f>'Rev &amp; Enroll'!U10</f>
        <v>0</v>
      </c>
      <c r="J146" s="178">
        <f>'Rev &amp; Enroll'!V10</f>
        <v>0</v>
      </c>
      <c r="K146" s="178">
        <f>'Rev &amp; Enroll'!W10</f>
        <v>0</v>
      </c>
      <c r="L146" s="178">
        <f>'Rev &amp; Enroll'!X10</f>
        <v>0</v>
      </c>
      <c r="M146" s="178">
        <f>'Rev &amp; Enroll'!Y10</f>
        <v>0</v>
      </c>
      <c r="N146" s="178">
        <f>'Rev &amp; Enroll'!Z10</f>
        <v>0</v>
      </c>
      <c r="O146" s="178">
        <f>'Rev &amp; Enroll'!AA10</f>
        <v>0</v>
      </c>
      <c r="P146" s="178">
        <f>'Rev &amp; Enroll'!AB10</f>
        <v>0</v>
      </c>
      <c r="Q146" s="39"/>
      <c r="R146" s="41"/>
      <c r="S146" s="337"/>
      <c r="T146" s="41"/>
      <c r="U146" s="362"/>
    </row>
    <row r="147" spans="3:21" s="37" customFormat="1" ht="12" hidden="1" x14ac:dyDescent="0.2">
      <c r="C147" s="38"/>
      <c r="D147" s="201" t="s">
        <v>64</v>
      </c>
      <c r="E147" s="178">
        <f>'Rev &amp; Enroll'!Q11</f>
        <v>0</v>
      </c>
      <c r="F147" s="178">
        <f>'Rev &amp; Enroll'!R11</f>
        <v>0</v>
      </c>
      <c r="G147" s="178">
        <f>'Rev &amp; Enroll'!S11</f>
        <v>0</v>
      </c>
      <c r="H147" s="178">
        <f>'Rev &amp; Enroll'!T11</f>
        <v>0</v>
      </c>
      <c r="I147" s="178">
        <f>'Rev &amp; Enroll'!U11</f>
        <v>0</v>
      </c>
      <c r="J147" s="178">
        <f>'Rev &amp; Enroll'!V11</f>
        <v>0</v>
      </c>
      <c r="K147" s="178">
        <f>'Rev &amp; Enroll'!W11</f>
        <v>0</v>
      </c>
      <c r="L147" s="178">
        <f>'Rev &amp; Enroll'!X11</f>
        <v>0</v>
      </c>
      <c r="M147" s="178">
        <f>'Rev &amp; Enroll'!Y11</f>
        <v>0</v>
      </c>
      <c r="N147" s="178">
        <f>'Rev &amp; Enroll'!Z11</f>
        <v>0</v>
      </c>
      <c r="O147" s="178">
        <f>'Rev &amp; Enroll'!AA11</f>
        <v>0</v>
      </c>
      <c r="P147" s="178">
        <f>'Rev &amp; Enroll'!AB11</f>
        <v>0</v>
      </c>
      <c r="Q147" s="39"/>
      <c r="R147" s="41"/>
      <c r="S147" s="337"/>
      <c r="T147" s="41"/>
      <c r="U147" s="362"/>
    </row>
    <row r="148" spans="3:21" s="37" customFormat="1" ht="12" hidden="1" x14ac:dyDescent="0.2">
      <c r="C148" s="38"/>
      <c r="D148" s="201">
        <v>1</v>
      </c>
      <c r="E148" s="178">
        <f>'Rev &amp; Enroll'!Q12</f>
        <v>0</v>
      </c>
      <c r="F148" s="178">
        <f>'Rev &amp; Enroll'!R12</f>
        <v>0</v>
      </c>
      <c r="G148" s="178">
        <f>'Rev &amp; Enroll'!S12</f>
        <v>0</v>
      </c>
      <c r="H148" s="178">
        <f>'Rev &amp; Enroll'!T12</f>
        <v>0</v>
      </c>
      <c r="I148" s="178">
        <f>'Rev &amp; Enroll'!U12</f>
        <v>0</v>
      </c>
      <c r="J148" s="178">
        <f>'Rev &amp; Enroll'!V12</f>
        <v>0</v>
      </c>
      <c r="K148" s="178">
        <f>'Rev &amp; Enroll'!W12</f>
        <v>0</v>
      </c>
      <c r="L148" s="178">
        <f>'Rev &amp; Enroll'!X12</f>
        <v>0</v>
      </c>
      <c r="M148" s="178">
        <f>'Rev &amp; Enroll'!Y12</f>
        <v>0</v>
      </c>
      <c r="N148" s="178">
        <f>'Rev &amp; Enroll'!Z12</f>
        <v>0</v>
      </c>
      <c r="O148" s="178">
        <f>'Rev &amp; Enroll'!AA12</f>
        <v>0</v>
      </c>
      <c r="P148" s="178">
        <f>'Rev &amp; Enroll'!AB12</f>
        <v>0</v>
      </c>
      <c r="Q148" s="39"/>
      <c r="R148" s="41"/>
      <c r="S148" s="337"/>
      <c r="T148" s="41"/>
      <c r="U148" s="362"/>
    </row>
    <row r="149" spans="3:21" s="37" customFormat="1" ht="12" hidden="1" x14ac:dyDescent="0.2">
      <c r="C149" s="38"/>
      <c r="D149" s="201">
        <v>2</v>
      </c>
      <c r="E149" s="178">
        <f>'Rev &amp; Enroll'!Q13</f>
        <v>0</v>
      </c>
      <c r="F149" s="178">
        <f>'Rev &amp; Enroll'!R13</f>
        <v>0</v>
      </c>
      <c r="G149" s="178">
        <f>'Rev &amp; Enroll'!S13</f>
        <v>0</v>
      </c>
      <c r="H149" s="178">
        <f>'Rev &amp; Enroll'!T13</f>
        <v>0</v>
      </c>
      <c r="I149" s="178">
        <f>'Rev &amp; Enroll'!U13</f>
        <v>0</v>
      </c>
      <c r="J149" s="178">
        <f>'Rev &amp; Enroll'!V13</f>
        <v>0</v>
      </c>
      <c r="K149" s="178">
        <f>'Rev &amp; Enroll'!W13</f>
        <v>0</v>
      </c>
      <c r="L149" s="178">
        <f>'Rev &amp; Enroll'!X13</f>
        <v>0</v>
      </c>
      <c r="M149" s="178">
        <f>'Rev &amp; Enroll'!Y13</f>
        <v>0</v>
      </c>
      <c r="N149" s="178">
        <f>'Rev &amp; Enroll'!Z13</f>
        <v>0</v>
      </c>
      <c r="O149" s="178">
        <f>'Rev &amp; Enroll'!AA13</f>
        <v>0</v>
      </c>
      <c r="P149" s="178">
        <f>'Rev &amp; Enroll'!AB13</f>
        <v>0</v>
      </c>
      <c r="Q149" s="39"/>
      <c r="R149" s="41"/>
      <c r="S149" s="337"/>
      <c r="T149" s="41"/>
      <c r="U149" s="362"/>
    </row>
    <row r="150" spans="3:21" s="37" customFormat="1" ht="12" hidden="1" x14ac:dyDescent="0.2">
      <c r="C150" s="38"/>
      <c r="D150" s="201">
        <v>3</v>
      </c>
      <c r="E150" s="178">
        <f>'Rev &amp; Enroll'!Q14</f>
        <v>0</v>
      </c>
      <c r="F150" s="178">
        <f>'Rev &amp; Enroll'!R14</f>
        <v>0</v>
      </c>
      <c r="G150" s="178">
        <f>'Rev &amp; Enroll'!S14</f>
        <v>0</v>
      </c>
      <c r="H150" s="178">
        <f>'Rev &amp; Enroll'!T14</f>
        <v>0</v>
      </c>
      <c r="I150" s="178">
        <f>'Rev &amp; Enroll'!U14</f>
        <v>0</v>
      </c>
      <c r="J150" s="178">
        <f>'Rev &amp; Enroll'!V14</f>
        <v>0</v>
      </c>
      <c r="K150" s="178">
        <f>'Rev &amp; Enroll'!W14</f>
        <v>0</v>
      </c>
      <c r="L150" s="178">
        <f>'Rev &amp; Enroll'!X14</f>
        <v>0</v>
      </c>
      <c r="M150" s="178">
        <f>'Rev &amp; Enroll'!Y14</f>
        <v>0</v>
      </c>
      <c r="N150" s="178">
        <f>'Rev &amp; Enroll'!Z14</f>
        <v>0</v>
      </c>
      <c r="O150" s="178">
        <f>'Rev &amp; Enroll'!AA14</f>
        <v>0</v>
      </c>
      <c r="P150" s="178">
        <f>'Rev &amp; Enroll'!AB14</f>
        <v>0</v>
      </c>
      <c r="Q150" s="39"/>
      <c r="R150" s="41"/>
      <c r="S150" s="337"/>
      <c r="T150" s="41"/>
      <c r="U150" s="362"/>
    </row>
    <row r="151" spans="3:21" s="37" customFormat="1" ht="12" hidden="1" x14ac:dyDescent="0.2">
      <c r="C151" s="38"/>
      <c r="D151" s="201">
        <v>4</v>
      </c>
      <c r="E151" s="178">
        <f>'Rev &amp; Enroll'!Q15</f>
        <v>0</v>
      </c>
      <c r="F151" s="178">
        <f>'Rev &amp; Enroll'!R15</f>
        <v>0</v>
      </c>
      <c r="G151" s="178">
        <f>'Rev &amp; Enroll'!S15</f>
        <v>0</v>
      </c>
      <c r="H151" s="178">
        <f>'Rev &amp; Enroll'!T15</f>
        <v>0</v>
      </c>
      <c r="I151" s="178">
        <f>'Rev &amp; Enroll'!U15</f>
        <v>0</v>
      </c>
      <c r="J151" s="178">
        <f>'Rev &amp; Enroll'!V15</f>
        <v>0</v>
      </c>
      <c r="K151" s="178">
        <f>'Rev &amp; Enroll'!W15</f>
        <v>0</v>
      </c>
      <c r="L151" s="178">
        <f>'Rev &amp; Enroll'!X15</f>
        <v>0</v>
      </c>
      <c r="M151" s="178">
        <f>'Rev &amp; Enroll'!Y15</f>
        <v>0</v>
      </c>
      <c r="N151" s="178">
        <f>'Rev &amp; Enroll'!Z15</f>
        <v>0</v>
      </c>
      <c r="O151" s="178">
        <f>'Rev &amp; Enroll'!AA15</f>
        <v>0</v>
      </c>
      <c r="P151" s="178">
        <f>'Rev &amp; Enroll'!AB15</f>
        <v>0</v>
      </c>
      <c r="Q151" s="39"/>
      <c r="R151" s="41"/>
      <c r="S151" s="337"/>
      <c r="T151" s="41"/>
      <c r="U151" s="362"/>
    </row>
    <row r="152" spans="3:21" s="37" customFormat="1" ht="12" hidden="1" x14ac:dyDescent="0.2">
      <c r="C152" s="38"/>
      <c r="D152" s="201">
        <v>5</v>
      </c>
      <c r="E152" s="178">
        <f>'Rev &amp; Enroll'!Q16</f>
        <v>0</v>
      </c>
      <c r="F152" s="178">
        <f>'Rev &amp; Enroll'!R16</f>
        <v>0</v>
      </c>
      <c r="G152" s="178">
        <f>'Rev &amp; Enroll'!S16</f>
        <v>0</v>
      </c>
      <c r="H152" s="178">
        <f>'Rev &amp; Enroll'!T16</f>
        <v>0</v>
      </c>
      <c r="I152" s="178">
        <f>'Rev &amp; Enroll'!U16</f>
        <v>0</v>
      </c>
      <c r="J152" s="178">
        <f>'Rev &amp; Enroll'!V16</f>
        <v>0</v>
      </c>
      <c r="K152" s="178">
        <f>'Rev &amp; Enroll'!W16</f>
        <v>0</v>
      </c>
      <c r="L152" s="178">
        <f>'Rev &amp; Enroll'!X16</f>
        <v>0</v>
      </c>
      <c r="M152" s="178">
        <f>'Rev &amp; Enroll'!Y16</f>
        <v>0</v>
      </c>
      <c r="N152" s="178">
        <f>'Rev &amp; Enroll'!Z16</f>
        <v>0</v>
      </c>
      <c r="O152" s="178">
        <f>'Rev &amp; Enroll'!AA16</f>
        <v>0</v>
      </c>
      <c r="P152" s="178">
        <f>'Rev &amp; Enroll'!AB16</f>
        <v>0</v>
      </c>
      <c r="Q152" s="39"/>
      <c r="R152" s="41"/>
      <c r="S152" s="337"/>
      <c r="T152" s="41"/>
      <c r="U152" s="362"/>
    </row>
    <row r="153" spans="3:21" s="37" customFormat="1" ht="12" hidden="1" x14ac:dyDescent="0.2">
      <c r="C153" s="38"/>
      <c r="D153" s="201">
        <v>6</v>
      </c>
      <c r="E153" s="178">
        <f>'Rev &amp; Enroll'!Q17</f>
        <v>0</v>
      </c>
      <c r="F153" s="178">
        <f>'Rev &amp; Enroll'!R17</f>
        <v>0</v>
      </c>
      <c r="G153" s="178">
        <f>'Rev &amp; Enroll'!S17</f>
        <v>0</v>
      </c>
      <c r="H153" s="178">
        <f>'Rev &amp; Enroll'!T17</f>
        <v>0</v>
      </c>
      <c r="I153" s="178">
        <f>'Rev &amp; Enroll'!U17</f>
        <v>0</v>
      </c>
      <c r="J153" s="178">
        <f>'Rev &amp; Enroll'!V17</f>
        <v>0</v>
      </c>
      <c r="K153" s="178">
        <f>'Rev &amp; Enroll'!W17</f>
        <v>0</v>
      </c>
      <c r="L153" s="178">
        <f>'Rev &amp; Enroll'!X17</f>
        <v>0</v>
      </c>
      <c r="M153" s="178">
        <f>'Rev &amp; Enroll'!Y17</f>
        <v>0</v>
      </c>
      <c r="N153" s="178">
        <f>'Rev &amp; Enroll'!Z17</f>
        <v>0</v>
      </c>
      <c r="O153" s="178">
        <f>'Rev &amp; Enroll'!AA17</f>
        <v>0</v>
      </c>
      <c r="P153" s="178">
        <f>'Rev &amp; Enroll'!AB17</f>
        <v>0</v>
      </c>
      <c r="Q153" s="39"/>
      <c r="R153" s="41"/>
      <c r="S153" s="337"/>
      <c r="T153" s="41"/>
      <c r="U153" s="362"/>
    </row>
    <row r="154" spans="3:21" s="37" customFormat="1" ht="12" hidden="1" x14ac:dyDescent="0.2">
      <c r="C154" s="38"/>
      <c r="D154" s="201">
        <v>7</v>
      </c>
      <c r="E154" s="178">
        <f>'Rev &amp; Enroll'!Q18</f>
        <v>0</v>
      </c>
      <c r="F154" s="178">
        <f>'Rev &amp; Enroll'!R18</f>
        <v>0</v>
      </c>
      <c r="G154" s="178">
        <f>'Rev &amp; Enroll'!S18</f>
        <v>0</v>
      </c>
      <c r="H154" s="178">
        <f>'Rev &amp; Enroll'!T18</f>
        <v>0</v>
      </c>
      <c r="I154" s="178">
        <f>'Rev &amp; Enroll'!U18</f>
        <v>0</v>
      </c>
      <c r="J154" s="178">
        <f>'Rev &amp; Enroll'!V18</f>
        <v>0</v>
      </c>
      <c r="K154" s="178">
        <f>'Rev &amp; Enroll'!W18</f>
        <v>0</v>
      </c>
      <c r="L154" s="178">
        <f>'Rev &amp; Enroll'!X18</f>
        <v>0</v>
      </c>
      <c r="M154" s="178">
        <f>'Rev &amp; Enroll'!Y18</f>
        <v>0</v>
      </c>
      <c r="N154" s="178">
        <f>'Rev &amp; Enroll'!Z18</f>
        <v>0</v>
      </c>
      <c r="O154" s="178">
        <f>'Rev &amp; Enroll'!AA18</f>
        <v>0</v>
      </c>
      <c r="P154" s="178">
        <f>'Rev &amp; Enroll'!AB18</f>
        <v>0</v>
      </c>
      <c r="Q154" s="39"/>
      <c r="R154" s="41"/>
      <c r="S154" s="337"/>
      <c r="T154" s="41"/>
      <c r="U154" s="362"/>
    </row>
    <row r="155" spans="3:21" s="37" customFormat="1" ht="12" hidden="1" x14ac:dyDescent="0.2">
      <c r="C155" s="38"/>
      <c r="D155" s="201">
        <v>8</v>
      </c>
      <c r="E155" s="178">
        <f>'Rev &amp; Enroll'!Q19</f>
        <v>0</v>
      </c>
      <c r="F155" s="178">
        <f>'Rev &amp; Enroll'!R19</f>
        <v>0</v>
      </c>
      <c r="G155" s="178">
        <f>'Rev &amp; Enroll'!S19</f>
        <v>0</v>
      </c>
      <c r="H155" s="178">
        <f>'Rev &amp; Enroll'!T19</f>
        <v>0</v>
      </c>
      <c r="I155" s="178">
        <f>'Rev &amp; Enroll'!U19</f>
        <v>0</v>
      </c>
      <c r="J155" s="178">
        <f>'Rev &amp; Enroll'!V19</f>
        <v>0</v>
      </c>
      <c r="K155" s="178">
        <f>'Rev &amp; Enroll'!W19</f>
        <v>0</v>
      </c>
      <c r="L155" s="178">
        <f>'Rev &amp; Enroll'!X19</f>
        <v>0</v>
      </c>
      <c r="M155" s="178">
        <f>'Rev &amp; Enroll'!Y19</f>
        <v>0</v>
      </c>
      <c r="N155" s="178">
        <f>'Rev &amp; Enroll'!Z19</f>
        <v>0</v>
      </c>
      <c r="O155" s="178">
        <f>'Rev &amp; Enroll'!AA19</f>
        <v>0</v>
      </c>
      <c r="P155" s="178">
        <f>'Rev &amp; Enroll'!AB19</f>
        <v>0</v>
      </c>
      <c r="Q155" s="39"/>
      <c r="R155" s="41"/>
      <c r="S155" s="337"/>
      <c r="T155" s="41"/>
      <c r="U155" s="362"/>
    </row>
    <row r="156" spans="3:21" s="37" customFormat="1" ht="12" hidden="1" x14ac:dyDescent="0.2">
      <c r="C156" s="38"/>
      <c r="D156" s="201">
        <v>9</v>
      </c>
      <c r="E156" s="178">
        <f>'Rev &amp; Enroll'!Q20</f>
        <v>0</v>
      </c>
      <c r="F156" s="178">
        <f>'Rev &amp; Enroll'!R20</f>
        <v>0</v>
      </c>
      <c r="G156" s="178">
        <f>'Rev &amp; Enroll'!S20</f>
        <v>0</v>
      </c>
      <c r="H156" s="178">
        <f>'Rev &amp; Enroll'!T20</f>
        <v>0</v>
      </c>
      <c r="I156" s="178">
        <f>'Rev &amp; Enroll'!U20</f>
        <v>0</v>
      </c>
      <c r="J156" s="178">
        <f>'Rev &amp; Enroll'!V20</f>
        <v>0</v>
      </c>
      <c r="K156" s="178">
        <f>'Rev &amp; Enroll'!W20</f>
        <v>0</v>
      </c>
      <c r="L156" s="178">
        <f>'Rev &amp; Enroll'!X20</f>
        <v>0</v>
      </c>
      <c r="M156" s="178">
        <f>'Rev &amp; Enroll'!Y20</f>
        <v>0</v>
      </c>
      <c r="N156" s="178">
        <f>'Rev &amp; Enroll'!Z20</f>
        <v>0</v>
      </c>
      <c r="O156" s="178">
        <f>'Rev &amp; Enroll'!AA20</f>
        <v>0</v>
      </c>
      <c r="P156" s="178">
        <f>'Rev &amp; Enroll'!AB20</f>
        <v>0</v>
      </c>
      <c r="Q156" s="39"/>
      <c r="R156" s="41"/>
      <c r="S156" s="337"/>
      <c r="T156" s="41"/>
      <c r="U156" s="362"/>
    </row>
    <row r="157" spans="3:21" s="37" customFormat="1" ht="12" hidden="1" x14ac:dyDescent="0.2">
      <c r="C157" s="38"/>
      <c r="D157" s="201">
        <v>10</v>
      </c>
      <c r="E157" s="178">
        <f>'Rev &amp; Enroll'!Q21</f>
        <v>0</v>
      </c>
      <c r="F157" s="178">
        <f>'Rev &amp; Enroll'!R21</f>
        <v>0</v>
      </c>
      <c r="G157" s="178">
        <f>'Rev &amp; Enroll'!S21</f>
        <v>0</v>
      </c>
      <c r="H157" s="178">
        <f>'Rev &amp; Enroll'!T21</f>
        <v>0</v>
      </c>
      <c r="I157" s="178">
        <f>'Rev &amp; Enroll'!U21</f>
        <v>0</v>
      </c>
      <c r="J157" s="178">
        <f>'Rev &amp; Enroll'!V21</f>
        <v>0</v>
      </c>
      <c r="K157" s="178">
        <f>'Rev &amp; Enroll'!W21</f>
        <v>0</v>
      </c>
      <c r="L157" s="178">
        <f>'Rev &amp; Enroll'!X21</f>
        <v>0</v>
      </c>
      <c r="M157" s="178">
        <f>'Rev &amp; Enroll'!Y21</f>
        <v>0</v>
      </c>
      <c r="N157" s="178">
        <f>'Rev &amp; Enroll'!Z21</f>
        <v>0</v>
      </c>
      <c r="O157" s="178">
        <f>'Rev &amp; Enroll'!AA21</f>
        <v>0</v>
      </c>
      <c r="P157" s="178">
        <f>'Rev &amp; Enroll'!AB21</f>
        <v>0</v>
      </c>
      <c r="Q157" s="39"/>
      <c r="R157" s="41"/>
      <c r="S157" s="337"/>
      <c r="T157" s="41"/>
      <c r="U157" s="362"/>
    </row>
    <row r="158" spans="3:21" s="37" customFormat="1" ht="12" x14ac:dyDescent="0.2">
      <c r="C158" s="38"/>
      <c r="D158" s="201">
        <v>11</v>
      </c>
      <c r="E158" s="178">
        <v>0</v>
      </c>
      <c r="F158" s="178">
        <v>0</v>
      </c>
      <c r="G158" s="178">
        <v>0</v>
      </c>
      <c r="H158" s="178">
        <v>0</v>
      </c>
      <c r="I158" s="178">
        <v>0</v>
      </c>
      <c r="J158" s="178">
        <v>0</v>
      </c>
      <c r="K158" s="178">
        <v>0</v>
      </c>
      <c r="L158" s="178">
        <v>0</v>
      </c>
      <c r="M158" s="178">
        <v>0</v>
      </c>
      <c r="N158" s="178">
        <v>0</v>
      </c>
      <c r="O158" s="178">
        <v>0</v>
      </c>
      <c r="P158" s="178">
        <v>0</v>
      </c>
      <c r="Q158" s="39"/>
      <c r="R158" s="41"/>
      <c r="S158" s="337"/>
      <c r="T158" s="41"/>
      <c r="U158" s="362"/>
    </row>
    <row r="159" spans="3:21" s="37" customFormat="1" ht="12" x14ac:dyDescent="0.2">
      <c r="C159" s="38"/>
      <c r="D159" s="201">
        <v>12</v>
      </c>
      <c r="E159" s="178">
        <v>0</v>
      </c>
      <c r="F159" s="178">
        <v>0</v>
      </c>
      <c r="G159" s="178">
        <v>0</v>
      </c>
      <c r="H159" s="178">
        <v>0</v>
      </c>
      <c r="I159" s="178">
        <v>0</v>
      </c>
      <c r="J159" s="178">
        <v>0</v>
      </c>
      <c r="K159" s="178">
        <v>0</v>
      </c>
      <c r="L159" s="178">
        <v>0</v>
      </c>
      <c r="M159" s="178">
        <v>0</v>
      </c>
      <c r="N159" s="178">
        <v>0</v>
      </c>
      <c r="O159" s="178">
        <v>0</v>
      </c>
      <c r="P159" s="178">
        <v>0</v>
      </c>
      <c r="Q159" s="200" t="s">
        <v>184</v>
      </c>
      <c r="R159" s="41"/>
      <c r="S159" s="337"/>
      <c r="T159" s="41"/>
      <c r="U159" s="362"/>
    </row>
    <row r="160" spans="3:21" s="37" customFormat="1" ht="12" x14ac:dyDescent="0.2">
      <c r="C160" s="38"/>
      <c r="D160" s="202" t="s">
        <v>66</v>
      </c>
      <c r="E160" s="179">
        <f t="shared" ref="E160:P160" si="38">SUM(E146:E159)</f>
        <v>0</v>
      </c>
      <c r="F160" s="179">
        <f t="shared" si="38"/>
        <v>0</v>
      </c>
      <c r="G160" s="179">
        <f t="shared" si="38"/>
        <v>0</v>
      </c>
      <c r="H160" s="179">
        <f t="shared" si="38"/>
        <v>0</v>
      </c>
      <c r="I160" s="179">
        <f t="shared" si="38"/>
        <v>0</v>
      </c>
      <c r="J160" s="179">
        <f t="shared" si="38"/>
        <v>0</v>
      </c>
      <c r="K160" s="179">
        <f t="shared" si="38"/>
        <v>0</v>
      </c>
      <c r="L160" s="179">
        <f t="shared" si="38"/>
        <v>0</v>
      </c>
      <c r="M160" s="179">
        <f t="shared" si="38"/>
        <v>0</v>
      </c>
      <c r="N160" s="179">
        <f t="shared" si="38"/>
        <v>0</v>
      </c>
      <c r="O160" s="179">
        <f t="shared" si="38"/>
        <v>0</v>
      </c>
      <c r="P160" s="179">
        <f t="shared" si="38"/>
        <v>0</v>
      </c>
      <c r="Q160" s="200">
        <f>AVERAGE(E160:P160)</f>
        <v>0</v>
      </c>
      <c r="R160" s="41"/>
      <c r="S160" s="337"/>
      <c r="T160" s="41"/>
      <c r="U160" s="362"/>
    </row>
    <row r="161" spans="3:21" s="37" customFormat="1" ht="12" x14ac:dyDescent="0.2">
      <c r="C161" s="38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41"/>
      <c r="S161" s="337"/>
      <c r="T161" s="41"/>
      <c r="U161" s="362"/>
    </row>
    <row r="162" spans="3:21" s="37" customFormat="1" ht="12" x14ac:dyDescent="0.2">
      <c r="C162" s="38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41"/>
      <c r="S162" s="337"/>
      <c r="T162" s="41"/>
      <c r="U162" s="362"/>
    </row>
    <row r="163" spans="3:21" s="37" customFormat="1" ht="12" x14ac:dyDescent="0.2">
      <c r="C163" s="38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41"/>
      <c r="S163" s="337"/>
      <c r="T163" s="41"/>
      <c r="U163" s="362"/>
    </row>
    <row r="164" spans="3:21" s="37" customFormat="1" ht="12" x14ac:dyDescent="0.2">
      <c r="C164" s="38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41"/>
      <c r="S164" s="337"/>
      <c r="T164" s="41"/>
      <c r="U164" s="362"/>
    </row>
    <row r="165" spans="3:21" s="37" customFormat="1" ht="12" x14ac:dyDescent="0.2">
      <c r="C165" s="38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41"/>
      <c r="S165" s="337"/>
      <c r="T165" s="41"/>
      <c r="U165" s="362"/>
    </row>
    <row r="166" spans="3:21" s="37" customFormat="1" ht="12" x14ac:dyDescent="0.2">
      <c r="C166" s="38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41"/>
      <c r="S166" s="337"/>
      <c r="T166" s="41"/>
      <c r="U166" s="362"/>
    </row>
    <row r="167" spans="3:21" s="37" customFormat="1" ht="12" x14ac:dyDescent="0.2">
      <c r="C167" s="38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41"/>
      <c r="S167" s="337"/>
      <c r="T167" s="41"/>
      <c r="U167" s="362"/>
    </row>
    <row r="168" spans="3:21" s="37" customFormat="1" ht="12" x14ac:dyDescent="0.2">
      <c r="C168" s="38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41"/>
      <c r="S168" s="337"/>
      <c r="T168" s="41"/>
      <c r="U168" s="362"/>
    </row>
    <row r="169" spans="3:21" s="37" customFormat="1" ht="12" x14ac:dyDescent="0.2">
      <c r="C169" s="38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41"/>
      <c r="S169" s="337"/>
      <c r="T169" s="41"/>
      <c r="U169" s="362"/>
    </row>
    <row r="170" spans="3:21" s="37" customFormat="1" ht="12" x14ac:dyDescent="0.2">
      <c r="C170" s="38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41"/>
      <c r="S170" s="337"/>
      <c r="T170" s="41"/>
      <c r="U170" s="362"/>
    </row>
    <row r="171" spans="3:21" s="37" customFormat="1" ht="12" x14ac:dyDescent="0.2">
      <c r="C171" s="38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41"/>
      <c r="S171" s="337"/>
      <c r="T171" s="41"/>
      <c r="U171" s="362"/>
    </row>
    <row r="172" spans="3:21" s="37" customFormat="1" ht="12" x14ac:dyDescent="0.2">
      <c r="C172" s="38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41"/>
      <c r="S172" s="337"/>
      <c r="T172" s="41"/>
      <c r="U172" s="362"/>
    </row>
    <row r="173" spans="3:21" s="37" customFormat="1" ht="12" x14ac:dyDescent="0.2">
      <c r="C173" s="38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41"/>
      <c r="S173" s="337"/>
      <c r="T173" s="41"/>
      <c r="U173" s="362"/>
    </row>
    <row r="174" spans="3:21" s="37" customFormat="1" ht="12" x14ac:dyDescent="0.2">
      <c r="C174" s="38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41"/>
      <c r="S174" s="337"/>
      <c r="T174" s="41"/>
      <c r="U174" s="362"/>
    </row>
    <row r="175" spans="3:21" s="37" customFormat="1" ht="12" x14ac:dyDescent="0.2">
      <c r="C175" s="38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41"/>
      <c r="S175" s="337"/>
      <c r="T175" s="41"/>
      <c r="U175" s="362"/>
    </row>
    <row r="176" spans="3:21" s="37" customFormat="1" ht="12" x14ac:dyDescent="0.2">
      <c r="C176" s="38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41"/>
      <c r="S176" s="337"/>
      <c r="T176" s="41"/>
      <c r="U176" s="362"/>
    </row>
    <row r="177" spans="3:21" s="37" customFormat="1" ht="12" x14ac:dyDescent="0.2">
      <c r="C177" s="38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41"/>
      <c r="S177" s="337"/>
      <c r="T177" s="41"/>
      <c r="U177" s="362"/>
    </row>
    <row r="178" spans="3:21" s="37" customFormat="1" ht="12" x14ac:dyDescent="0.2">
      <c r="C178" s="38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41"/>
      <c r="S178" s="337"/>
      <c r="T178" s="41"/>
      <c r="U178" s="362"/>
    </row>
    <row r="179" spans="3:21" s="37" customFormat="1" ht="12" x14ac:dyDescent="0.2">
      <c r="C179" s="38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41"/>
      <c r="S179" s="337"/>
      <c r="T179" s="41"/>
      <c r="U179" s="362"/>
    </row>
    <row r="180" spans="3:21" s="37" customFormat="1" ht="12" x14ac:dyDescent="0.2">
      <c r="C180" s="38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41"/>
      <c r="S180" s="337"/>
      <c r="T180" s="41"/>
      <c r="U180" s="362"/>
    </row>
    <row r="181" spans="3:21" s="37" customFormat="1" ht="12" x14ac:dyDescent="0.2">
      <c r="C181" s="38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41"/>
      <c r="S181" s="337"/>
      <c r="T181" s="41"/>
      <c r="U181" s="362"/>
    </row>
    <row r="182" spans="3:21" s="37" customFormat="1" ht="12" x14ac:dyDescent="0.2">
      <c r="C182" s="38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41"/>
      <c r="S182" s="337"/>
      <c r="T182" s="41"/>
      <c r="U182" s="362"/>
    </row>
    <row r="183" spans="3:21" s="37" customFormat="1" ht="12" x14ac:dyDescent="0.2">
      <c r="C183" s="38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41"/>
      <c r="S183" s="337"/>
      <c r="T183" s="41"/>
      <c r="U183" s="362"/>
    </row>
    <row r="184" spans="3:21" s="37" customFormat="1" ht="12" x14ac:dyDescent="0.2">
      <c r="C184" s="38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41"/>
      <c r="S184" s="337"/>
      <c r="T184" s="41"/>
      <c r="U184" s="362"/>
    </row>
    <row r="185" spans="3:21" s="37" customFormat="1" ht="12" x14ac:dyDescent="0.2">
      <c r="C185" s="38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41"/>
      <c r="S185" s="337"/>
      <c r="T185" s="41"/>
      <c r="U185" s="362"/>
    </row>
    <row r="186" spans="3:21" s="37" customFormat="1" ht="12" x14ac:dyDescent="0.2">
      <c r="C186" s="38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41"/>
      <c r="S186" s="337"/>
      <c r="T186" s="41"/>
      <c r="U186" s="362"/>
    </row>
    <row r="187" spans="3:21" s="37" customFormat="1" ht="12" x14ac:dyDescent="0.2">
      <c r="C187" s="38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41"/>
      <c r="S187" s="337"/>
      <c r="T187" s="41"/>
      <c r="U187" s="362"/>
    </row>
    <row r="188" spans="3:21" s="37" customFormat="1" ht="12" x14ac:dyDescent="0.2">
      <c r="C188" s="38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41"/>
      <c r="S188" s="337"/>
      <c r="T188" s="41"/>
      <c r="U188" s="362"/>
    </row>
    <row r="189" spans="3:21" s="37" customFormat="1" ht="12" x14ac:dyDescent="0.2">
      <c r="C189" s="38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41"/>
      <c r="S189" s="337"/>
      <c r="T189" s="41"/>
      <c r="U189" s="362"/>
    </row>
    <row r="190" spans="3:21" s="37" customFormat="1" ht="12" x14ac:dyDescent="0.2">
      <c r="C190" s="38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41"/>
      <c r="S190" s="337"/>
      <c r="T190" s="41"/>
      <c r="U190" s="362"/>
    </row>
    <row r="191" spans="3:21" s="37" customFormat="1" ht="12" x14ac:dyDescent="0.2">
      <c r="C191" s="38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41"/>
      <c r="S191" s="337"/>
      <c r="T191" s="41"/>
      <c r="U191" s="362"/>
    </row>
    <row r="192" spans="3:21" s="37" customFormat="1" ht="12" x14ac:dyDescent="0.2">
      <c r="C192" s="38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41"/>
      <c r="S192" s="337"/>
      <c r="T192" s="41"/>
      <c r="U192" s="362"/>
    </row>
    <row r="193" spans="3:21" s="37" customFormat="1" ht="12" x14ac:dyDescent="0.2">
      <c r="C193" s="38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41"/>
      <c r="S193" s="337"/>
      <c r="T193" s="41"/>
      <c r="U193" s="362"/>
    </row>
    <row r="194" spans="3:21" s="37" customFormat="1" ht="12" x14ac:dyDescent="0.2">
      <c r="C194" s="38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41"/>
      <c r="S194" s="337"/>
      <c r="T194" s="41"/>
      <c r="U194" s="362"/>
    </row>
    <row r="195" spans="3:21" s="37" customFormat="1" ht="12" x14ac:dyDescent="0.2">
      <c r="C195" s="38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41"/>
      <c r="S195" s="337"/>
      <c r="T195" s="41"/>
      <c r="U195" s="362"/>
    </row>
    <row r="196" spans="3:21" s="37" customFormat="1" ht="12" x14ac:dyDescent="0.2">
      <c r="C196" s="38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41"/>
      <c r="S196" s="337"/>
      <c r="T196" s="41"/>
      <c r="U196" s="362"/>
    </row>
    <row r="197" spans="3:21" s="37" customFormat="1" ht="12" x14ac:dyDescent="0.2">
      <c r="C197" s="38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41"/>
      <c r="S197" s="337"/>
      <c r="T197" s="41"/>
      <c r="U197" s="362"/>
    </row>
    <row r="198" spans="3:21" s="37" customFormat="1" ht="12" x14ac:dyDescent="0.2">
      <c r="C198" s="38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41"/>
      <c r="S198" s="337"/>
      <c r="T198" s="41"/>
      <c r="U198" s="362"/>
    </row>
    <row r="199" spans="3:21" s="37" customFormat="1" ht="12" x14ac:dyDescent="0.2">
      <c r="C199" s="38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41"/>
      <c r="S199" s="337"/>
      <c r="T199" s="41"/>
      <c r="U199" s="362"/>
    </row>
    <row r="200" spans="3:21" s="37" customFormat="1" ht="12" x14ac:dyDescent="0.2">
      <c r="C200" s="38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41"/>
      <c r="S200" s="337"/>
      <c r="T200" s="41"/>
      <c r="U200" s="362"/>
    </row>
    <row r="201" spans="3:21" s="37" customFormat="1" ht="12" x14ac:dyDescent="0.2">
      <c r="C201" s="38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41"/>
      <c r="S201" s="337"/>
      <c r="T201" s="41"/>
      <c r="U201" s="362"/>
    </row>
    <row r="202" spans="3:21" s="37" customFormat="1" ht="12" x14ac:dyDescent="0.2">
      <c r="C202" s="38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41"/>
      <c r="S202" s="337"/>
      <c r="T202" s="41"/>
      <c r="U202" s="362"/>
    </row>
    <row r="203" spans="3:21" s="37" customFormat="1" ht="12" x14ac:dyDescent="0.2">
      <c r="C203" s="38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41"/>
      <c r="S203" s="337"/>
      <c r="T203" s="41"/>
      <c r="U203" s="362"/>
    </row>
    <row r="204" spans="3:21" s="37" customFormat="1" ht="12" x14ac:dyDescent="0.2">
      <c r="C204" s="38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41"/>
      <c r="S204" s="337"/>
      <c r="T204" s="41"/>
      <c r="U204" s="362"/>
    </row>
    <row r="205" spans="3:21" s="37" customFormat="1" ht="12" x14ac:dyDescent="0.2">
      <c r="C205" s="38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41"/>
      <c r="S205" s="337"/>
      <c r="T205" s="41"/>
      <c r="U205" s="362"/>
    </row>
    <row r="206" spans="3:21" s="37" customFormat="1" ht="12" x14ac:dyDescent="0.2">
      <c r="C206" s="38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41"/>
      <c r="S206" s="337"/>
      <c r="T206" s="41"/>
      <c r="U206" s="362"/>
    </row>
    <row r="207" spans="3:21" s="37" customFormat="1" ht="12" x14ac:dyDescent="0.2">
      <c r="C207" s="38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41"/>
      <c r="S207" s="337"/>
      <c r="T207" s="41"/>
      <c r="U207" s="362"/>
    </row>
    <row r="208" spans="3:21" s="37" customFormat="1" ht="12" x14ac:dyDescent="0.2">
      <c r="C208" s="38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41"/>
      <c r="S208" s="337"/>
      <c r="T208" s="41"/>
      <c r="U208" s="362"/>
    </row>
    <row r="209" spans="3:21" s="37" customFormat="1" ht="12" x14ac:dyDescent="0.2">
      <c r="C209" s="38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41"/>
      <c r="S209" s="337"/>
      <c r="T209" s="41"/>
      <c r="U209" s="362"/>
    </row>
    <row r="210" spans="3:21" s="37" customFormat="1" ht="12" x14ac:dyDescent="0.2">
      <c r="C210" s="38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41"/>
      <c r="S210" s="337"/>
      <c r="T210" s="41"/>
      <c r="U210" s="362"/>
    </row>
    <row r="211" spans="3:21" s="37" customFormat="1" ht="12" x14ac:dyDescent="0.2">
      <c r="C211" s="38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41"/>
      <c r="S211" s="337"/>
      <c r="T211" s="41"/>
      <c r="U211" s="362"/>
    </row>
    <row r="212" spans="3:21" s="37" customFormat="1" ht="12" x14ac:dyDescent="0.2">
      <c r="C212" s="38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41"/>
      <c r="S212" s="337"/>
      <c r="T212" s="41"/>
      <c r="U212" s="362"/>
    </row>
    <row r="213" spans="3:21" s="37" customFormat="1" ht="12" x14ac:dyDescent="0.2">
      <c r="C213" s="38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41"/>
      <c r="S213" s="337"/>
      <c r="T213" s="41"/>
      <c r="U213" s="362"/>
    </row>
    <row r="214" spans="3:21" s="37" customFormat="1" ht="12" x14ac:dyDescent="0.2">
      <c r="C214" s="38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41"/>
      <c r="S214" s="337"/>
      <c r="T214" s="41"/>
      <c r="U214" s="362"/>
    </row>
    <row r="215" spans="3:21" s="37" customFormat="1" ht="12" x14ac:dyDescent="0.2">
      <c r="C215" s="38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41"/>
      <c r="S215" s="337"/>
      <c r="T215" s="41"/>
      <c r="U215" s="362"/>
    </row>
    <row r="216" spans="3:21" s="37" customFormat="1" ht="12" x14ac:dyDescent="0.2">
      <c r="C216" s="38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41"/>
      <c r="S216" s="337"/>
      <c r="T216" s="41"/>
      <c r="U216" s="362"/>
    </row>
    <row r="217" spans="3:21" s="37" customFormat="1" ht="12" x14ac:dyDescent="0.2">
      <c r="C217" s="38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41"/>
      <c r="S217" s="337"/>
      <c r="T217" s="41"/>
      <c r="U217" s="362"/>
    </row>
    <row r="218" spans="3:21" s="37" customFormat="1" ht="12" x14ac:dyDescent="0.2">
      <c r="C218" s="38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41"/>
      <c r="S218" s="337"/>
      <c r="T218" s="41"/>
      <c r="U218" s="362"/>
    </row>
    <row r="219" spans="3:21" s="37" customFormat="1" ht="12" x14ac:dyDescent="0.2">
      <c r="C219" s="38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41"/>
      <c r="S219" s="337"/>
      <c r="T219" s="41"/>
      <c r="U219" s="362"/>
    </row>
    <row r="220" spans="3:21" s="37" customFormat="1" ht="12" x14ac:dyDescent="0.2">
      <c r="C220" s="38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41"/>
      <c r="S220" s="337"/>
      <c r="T220" s="41"/>
      <c r="U220" s="362"/>
    </row>
    <row r="221" spans="3:21" s="37" customFormat="1" ht="12" x14ac:dyDescent="0.2">
      <c r="C221" s="38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41"/>
      <c r="S221" s="337"/>
      <c r="T221" s="41"/>
      <c r="U221" s="362"/>
    </row>
    <row r="222" spans="3:21" s="37" customFormat="1" ht="12" x14ac:dyDescent="0.2">
      <c r="C222" s="38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41"/>
      <c r="S222" s="337"/>
      <c r="T222" s="41"/>
      <c r="U222" s="362"/>
    </row>
    <row r="223" spans="3:21" s="37" customFormat="1" ht="12" x14ac:dyDescent="0.2">
      <c r="C223" s="38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41"/>
      <c r="S223" s="337"/>
      <c r="T223" s="41"/>
      <c r="U223" s="362"/>
    </row>
    <row r="224" spans="3:21" s="37" customFormat="1" ht="12" x14ac:dyDescent="0.2">
      <c r="C224" s="38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41"/>
      <c r="S224" s="337"/>
      <c r="T224" s="41"/>
      <c r="U224" s="362"/>
    </row>
    <row r="225" spans="3:21" s="37" customFormat="1" ht="12" x14ac:dyDescent="0.2">
      <c r="C225" s="38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41"/>
      <c r="S225" s="337"/>
      <c r="T225" s="41"/>
      <c r="U225" s="362"/>
    </row>
    <row r="226" spans="3:21" s="37" customFormat="1" ht="12" x14ac:dyDescent="0.2">
      <c r="C226" s="38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41"/>
      <c r="S226" s="337"/>
      <c r="T226" s="41"/>
      <c r="U226" s="362"/>
    </row>
    <row r="227" spans="3:21" s="37" customFormat="1" ht="12" x14ac:dyDescent="0.2">
      <c r="C227" s="38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41"/>
      <c r="S227" s="337"/>
      <c r="T227" s="41"/>
      <c r="U227" s="362"/>
    </row>
    <row r="228" spans="3:21" s="37" customFormat="1" ht="12" x14ac:dyDescent="0.2">
      <c r="C228" s="38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41"/>
      <c r="S228" s="337"/>
      <c r="T228" s="41"/>
      <c r="U228" s="362"/>
    </row>
    <row r="229" spans="3:21" s="37" customFormat="1" ht="12" x14ac:dyDescent="0.2">
      <c r="C229" s="38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41"/>
      <c r="S229" s="337"/>
      <c r="T229" s="41"/>
      <c r="U229" s="362"/>
    </row>
    <row r="230" spans="3:21" s="37" customFormat="1" ht="12" x14ac:dyDescent="0.2">
      <c r="C230" s="38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41"/>
      <c r="S230" s="337"/>
      <c r="T230" s="41"/>
      <c r="U230" s="362"/>
    </row>
    <row r="231" spans="3:21" s="37" customFormat="1" ht="12" x14ac:dyDescent="0.2">
      <c r="C231" s="38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41"/>
      <c r="S231" s="337"/>
      <c r="T231" s="41"/>
      <c r="U231" s="362"/>
    </row>
    <row r="232" spans="3:21" s="37" customFormat="1" ht="12" x14ac:dyDescent="0.2">
      <c r="C232" s="38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41"/>
      <c r="S232" s="337"/>
      <c r="T232" s="41"/>
      <c r="U232" s="362"/>
    </row>
    <row r="233" spans="3:21" s="37" customFormat="1" ht="12" x14ac:dyDescent="0.2">
      <c r="C233" s="38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41"/>
      <c r="S233" s="337"/>
      <c r="T233" s="41"/>
      <c r="U233" s="362"/>
    </row>
    <row r="234" spans="3:21" s="37" customFormat="1" ht="12" x14ac:dyDescent="0.2">
      <c r="C234" s="38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41"/>
      <c r="S234" s="337"/>
      <c r="T234" s="41"/>
      <c r="U234" s="362"/>
    </row>
    <row r="235" spans="3:21" s="37" customFormat="1" ht="12" x14ac:dyDescent="0.2">
      <c r="C235" s="38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41"/>
      <c r="S235" s="337"/>
      <c r="T235" s="41"/>
      <c r="U235" s="362"/>
    </row>
    <row r="236" spans="3:21" s="37" customFormat="1" ht="12" x14ac:dyDescent="0.2">
      <c r="C236" s="38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41"/>
      <c r="S236" s="337"/>
      <c r="T236" s="41"/>
      <c r="U236" s="362"/>
    </row>
    <row r="237" spans="3:21" s="37" customFormat="1" ht="12" x14ac:dyDescent="0.2">
      <c r="C237" s="38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41"/>
      <c r="S237" s="337"/>
      <c r="T237" s="41"/>
      <c r="U237" s="362"/>
    </row>
    <row r="238" spans="3:21" s="37" customFormat="1" ht="12" x14ac:dyDescent="0.2">
      <c r="C238" s="38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41"/>
      <c r="S238" s="337"/>
      <c r="T238" s="41"/>
      <c r="U238" s="362"/>
    </row>
    <row r="239" spans="3:21" s="37" customFormat="1" ht="12" x14ac:dyDescent="0.2">
      <c r="C239" s="38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41"/>
      <c r="S239" s="337"/>
      <c r="T239" s="41"/>
      <c r="U239" s="362"/>
    </row>
    <row r="240" spans="3:21" s="37" customFormat="1" ht="12" x14ac:dyDescent="0.2">
      <c r="C240" s="38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41"/>
      <c r="S240" s="337"/>
      <c r="T240" s="41"/>
      <c r="U240" s="362"/>
    </row>
    <row r="241" spans="3:21" s="37" customFormat="1" ht="12" x14ac:dyDescent="0.2">
      <c r="C241" s="38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41"/>
      <c r="S241" s="337"/>
      <c r="T241" s="41"/>
      <c r="U241" s="362"/>
    </row>
    <row r="242" spans="3:21" s="37" customFormat="1" ht="12" x14ac:dyDescent="0.2">
      <c r="C242" s="38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41"/>
      <c r="S242" s="337"/>
      <c r="T242" s="41"/>
      <c r="U242" s="362"/>
    </row>
    <row r="243" spans="3:21" s="37" customFormat="1" ht="12" x14ac:dyDescent="0.2">
      <c r="C243" s="38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41"/>
      <c r="S243" s="337"/>
      <c r="T243" s="41"/>
      <c r="U243" s="362"/>
    </row>
    <row r="244" spans="3:21" s="37" customFormat="1" ht="12" x14ac:dyDescent="0.2">
      <c r="C244" s="38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41"/>
      <c r="S244" s="337"/>
      <c r="T244" s="41"/>
      <c r="U244" s="362"/>
    </row>
    <row r="245" spans="3:21" s="37" customFormat="1" ht="12" x14ac:dyDescent="0.2">
      <c r="C245" s="38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41"/>
      <c r="S245" s="337"/>
      <c r="T245" s="41"/>
      <c r="U245" s="362"/>
    </row>
    <row r="246" spans="3:21" s="37" customFormat="1" ht="12" x14ac:dyDescent="0.2">
      <c r="C246" s="38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41"/>
      <c r="S246" s="337"/>
      <c r="T246" s="41"/>
      <c r="U246" s="362"/>
    </row>
    <row r="247" spans="3:21" s="37" customFormat="1" ht="12" x14ac:dyDescent="0.2">
      <c r="C247" s="38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41"/>
      <c r="S247" s="337"/>
      <c r="T247" s="41"/>
      <c r="U247" s="362"/>
    </row>
    <row r="248" spans="3:21" s="37" customFormat="1" ht="12" x14ac:dyDescent="0.2">
      <c r="C248" s="38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41"/>
      <c r="S248" s="337"/>
      <c r="T248" s="41"/>
      <c r="U248" s="362"/>
    </row>
    <row r="249" spans="3:21" s="37" customFormat="1" ht="12" x14ac:dyDescent="0.2">
      <c r="C249" s="38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41"/>
      <c r="S249" s="337"/>
      <c r="T249" s="41"/>
      <c r="U249" s="362"/>
    </row>
    <row r="250" spans="3:21" s="37" customFormat="1" ht="12" x14ac:dyDescent="0.2">
      <c r="C250" s="38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41"/>
      <c r="S250" s="337"/>
      <c r="T250" s="41"/>
      <c r="U250" s="362"/>
    </row>
    <row r="251" spans="3:21" s="37" customFormat="1" ht="12" x14ac:dyDescent="0.2">
      <c r="C251" s="38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41"/>
      <c r="S251" s="337"/>
      <c r="T251" s="41"/>
      <c r="U251" s="362"/>
    </row>
    <row r="252" spans="3:21" s="37" customFormat="1" ht="12" x14ac:dyDescent="0.2">
      <c r="C252" s="38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41"/>
      <c r="S252" s="337"/>
      <c r="T252" s="41"/>
      <c r="U252" s="362"/>
    </row>
    <row r="253" spans="3:21" s="37" customFormat="1" ht="12" x14ac:dyDescent="0.2">
      <c r="C253" s="38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41"/>
      <c r="S253" s="337"/>
      <c r="T253" s="41"/>
      <c r="U253" s="362"/>
    </row>
    <row r="254" spans="3:21" s="37" customFormat="1" ht="12" x14ac:dyDescent="0.2">
      <c r="C254" s="38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41"/>
      <c r="S254" s="337"/>
      <c r="T254" s="41"/>
      <c r="U254" s="362"/>
    </row>
    <row r="255" spans="3:21" s="37" customFormat="1" ht="12" x14ac:dyDescent="0.2">
      <c r="C255" s="38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41"/>
      <c r="S255" s="337"/>
      <c r="T255" s="41"/>
      <c r="U255" s="362"/>
    </row>
    <row r="256" spans="3:21" s="37" customFormat="1" ht="12" x14ac:dyDescent="0.2">
      <c r="C256" s="38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41"/>
      <c r="S256" s="337"/>
      <c r="T256" s="41"/>
      <c r="U256" s="362"/>
    </row>
    <row r="257" spans="3:21" s="37" customFormat="1" ht="12" x14ac:dyDescent="0.2">
      <c r="C257" s="38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41"/>
      <c r="S257" s="337"/>
      <c r="T257" s="41"/>
      <c r="U257" s="362"/>
    </row>
    <row r="258" spans="3:21" s="37" customFormat="1" ht="12" x14ac:dyDescent="0.2">
      <c r="C258" s="38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41"/>
      <c r="S258" s="337"/>
      <c r="T258" s="41"/>
      <c r="U258" s="362"/>
    </row>
    <row r="259" spans="3:21" s="37" customFormat="1" ht="12" x14ac:dyDescent="0.2">
      <c r="C259" s="38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41"/>
      <c r="S259" s="337"/>
      <c r="T259" s="41"/>
      <c r="U259" s="362"/>
    </row>
    <row r="260" spans="3:21" s="37" customFormat="1" ht="12" x14ac:dyDescent="0.2">
      <c r="C260" s="38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41"/>
      <c r="S260" s="337"/>
      <c r="T260" s="41"/>
      <c r="U260" s="362"/>
    </row>
    <row r="261" spans="3:21" s="37" customFormat="1" ht="12" x14ac:dyDescent="0.2">
      <c r="C261" s="38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41"/>
      <c r="S261" s="337"/>
      <c r="T261" s="41"/>
      <c r="U261" s="362"/>
    </row>
    <row r="262" spans="3:21" s="37" customFormat="1" ht="12" x14ac:dyDescent="0.2">
      <c r="C262" s="38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41"/>
      <c r="S262" s="337"/>
      <c r="T262" s="41"/>
      <c r="U262" s="362"/>
    </row>
    <row r="263" spans="3:21" s="37" customFormat="1" ht="12" x14ac:dyDescent="0.2">
      <c r="C263" s="38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41"/>
      <c r="S263" s="337"/>
      <c r="T263" s="41"/>
      <c r="U263" s="362"/>
    </row>
    <row r="264" spans="3:21" s="37" customFormat="1" ht="12" x14ac:dyDescent="0.2">
      <c r="C264" s="38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41"/>
      <c r="S264" s="337"/>
      <c r="T264" s="41"/>
      <c r="U264" s="362"/>
    </row>
    <row r="265" spans="3:21" s="37" customFormat="1" ht="12" x14ac:dyDescent="0.2">
      <c r="C265" s="38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41"/>
      <c r="S265" s="337"/>
      <c r="T265" s="41"/>
      <c r="U265" s="362"/>
    </row>
    <row r="266" spans="3:21" s="37" customFormat="1" ht="12" x14ac:dyDescent="0.2">
      <c r="C266" s="38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41"/>
      <c r="S266" s="337"/>
      <c r="T266" s="41"/>
      <c r="U266" s="362"/>
    </row>
    <row r="267" spans="3:21" s="37" customFormat="1" ht="12" x14ac:dyDescent="0.2">
      <c r="C267" s="38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41"/>
      <c r="S267" s="337"/>
      <c r="T267" s="41"/>
      <c r="U267" s="362"/>
    </row>
    <row r="268" spans="3:21" s="37" customFormat="1" ht="12" x14ac:dyDescent="0.2">
      <c r="C268" s="38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41"/>
      <c r="S268" s="337"/>
      <c r="T268" s="41"/>
      <c r="U268" s="362"/>
    </row>
    <row r="269" spans="3:21" s="37" customFormat="1" ht="12" x14ac:dyDescent="0.2">
      <c r="C269" s="38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41"/>
      <c r="S269" s="337"/>
      <c r="T269" s="41"/>
      <c r="U269" s="362"/>
    </row>
    <row r="270" spans="3:21" s="37" customFormat="1" ht="12" x14ac:dyDescent="0.2">
      <c r="C270" s="38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41"/>
      <c r="S270" s="337"/>
      <c r="T270" s="41"/>
      <c r="U270" s="362"/>
    </row>
    <row r="271" spans="3:21" s="37" customFormat="1" ht="12" x14ac:dyDescent="0.2">
      <c r="C271" s="38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41"/>
      <c r="S271" s="337"/>
      <c r="T271" s="41"/>
      <c r="U271" s="362"/>
    </row>
    <row r="272" spans="3:21" s="37" customFormat="1" ht="12" x14ac:dyDescent="0.2">
      <c r="C272" s="38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41"/>
      <c r="S272" s="337"/>
      <c r="T272" s="41"/>
      <c r="U272" s="362"/>
    </row>
    <row r="273" spans="3:21" s="37" customFormat="1" ht="12" x14ac:dyDescent="0.2">
      <c r="C273" s="38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41"/>
      <c r="S273" s="337"/>
      <c r="T273" s="41"/>
      <c r="U273" s="362"/>
    </row>
    <row r="274" spans="3:21" s="37" customFormat="1" ht="12" x14ac:dyDescent="0.2">
      <c r="C274" s="38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41"/>
      <c r="S274" s="337"/>
      <c r="T274" s="41"/>
      <c r="U274" s="362"/>
    </row>
    <row r="275" spans="3:21" s="37" customFormat="1" ht="12" x14ac:dyDescent="0.2">
      <c r="C275" s="38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41"/>
      <c r="S275" s="337"/>
      <c r="T275" s="41"/>
      <c r="U275" s="362"/>
    </row>
    <row r="276" spans="3:21" s="37" customFormat="1" ht="12" x14ac:dyDescent="0.2">
      <c r="C276" s="38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41"/>
      <c r="S276" s="337"/>
      <c r="T276" s="41"/>
      <c r="U276" s="362"/>
    </row>
    <row r="277" spans="3:21" x14ac:dyDescent="0.25"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R277" s="27"/>
      <c r="T277" s="27"/>
    </row>
  </sheetData>
  <mergeCells count="1">
    <mergeCell ref="E144:P144"/>
  </mergeCells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1"/>
  </sheetPr>
  <dimension ref="A1:N103"/>
  <sheetViews>
    <sheetView topLeftCell="A16" workbookViewId="0">
      <selection activeCell="R118" sqref="R118"/>
    </sheetView>
  </sheetViews>
  <sheetFormatPr defaultColWidth="13.42578125" defaultRowHeight="11.25" x14ac:dyDescent="0.2"/>
  <cols>
    <col min="1" max="1" width="10.28515625" style="273" bestFit="1" customWidth="1"/>
    <col min="2" max="2" width="16.7109375" style="273" bestFit="1" customWidth="1"/>
    <col min="3" max="3" width="17.5703125" style="273" bestFit="1" customWidth="1"/>
    <col min="4" max="4" width="22.85546875" style="273" bestFit="1" customWidth="1"/>
    <col min="5" max="5" width="26" style="273" customWidth="1"/>
    <col min="6" max="6" width="8" style="273" bestFit="1" customWidth="1"/>
    <col min="7" max="7" width="12.7109375" style="272" customWidth="1"/>
    <col min="8" max="8" width="18.140625" style="272" bestFit="1" customWidth="1"/>
    <col min="9" max="9" width="10.5703125" style="272" bestFit="1" customWidth="1"/>
    <col min="10" max="14" width="13.42578125" style="277"/>
    <col min="15" max="257" width="13.42578125" style="272"/>
    <col min="258" max="258" width="10.28515625" style="272" bestFit="1" customWidth="1"/>
    <col min="259" max="259" width="16.7109375" style="272" bestFit="1" customWidth="1"/>
    <col min="260" max="260" width="17.5703125" style="272" bestFit="1" customWidth="1"/>
    <col min="261" max="261" width="12" style="272" bestFit="1" customWidth="1"/>
    <col min="262" max="262" width="26" style="272" customWidth="1"/>
    <col min="263" max="263" width="8" style="272" bestFit="1" customWidth="1"/>
    <col min="264" max="264" width="18.140625" style="272" bestFit="1" customWidth="1"/>
    <col min="265" max="265" width="10.5703125" style="272" bestFit="1" customWidth="1"/>
    <col min="266" max="513" width="13.42578125" style="272"/>
    <col min="514" max="514" width="10.28515625" style="272" bestFit="1" customWidth="1"/>
    <col min="515" max="515" width="16.7109375" style="272" bestFit="1" customWidth="1"/>
    <col min="516" max="516" width="17.5703125" style="272" bestFit="1" customWidth="1"/>
    <col min="517" max="517" width="12" style="272" bestFit="1" customWidth="1"/>
    <col min="518" max="518" width="26" style="272" customWidth="1"/>
    <col min="519" max="519" width="8" style="272" bestFit="1" customWidth="1"/>
    <col min="520" max="520" width="18.140625" style="272" bestFit="1" customWidth="1"/>
    <col min="521" max="521" width="10.5703125" style="272" bestFit="1" customWidth="1"/>
    <col min="522" max="769" width="13.42578125" style="272"/>
    <col min="770" max="770" width="10.28515625" style="272" bestFit="1" customWidth="1"/>
    <col min="771" max="771" width="16.7109375" style="272" bestFit="1" customWidth="1"/>
    <col min="772" max="772" width="17.5703125" style="272" bestFit="1" customWidth="1"/>
    <col min="773" max="773" width="12" style="272" bestFit="1" customWidth="1"/>
    <col min="774" max="774" width="26" style="272" customWidth="1"/>
    <col min="775" max="775" width="8" style="272" bestFit="1" customWidth="1"/>
    <col min="776" max="776" width="18.140625" style="272" bestFit="1" customWidth="1"/>
    <col min="777" max="777" width="10.5703125" style="272" bestFit="1" customWidth="1"/>
    <col min="778" max="1025" width="13.42578125" style="272"/>
    <col min="1026" max="1026" width="10.28515625" style="272" bestFit="1" customWidth="1"/>
    <col min="1027" max="1027" width="16.7109375" style="272" bestFit="1" customWidth="1"/>
    <col min="1028" max="1028" width="17.5703125" style="272" bestFit="1" customWidth="1"/>
    <col min="1029" max="1029" width="12" style="272" bestFit="1" customWidth="1"/>
    <col min="1030" max="1030" width="26" style="272" customWidth="1"/>
    <col min="1031" max="1031" width="8" style="272" bestFit="1" customWidth="1"/>
    <col min="1032" max="1032" width="18.140625" style="272" bestFit="1" customWidth="1"/>
    <col min="1033" max="1033" width="10.5703125" style="272" bestFit="1" customWidth="1"/>
    <col min="1034" max="1281" width="13.42578125" style="272"/>
    <col min="1282" max="1282" width="10.28515625" style="272" bestFit="1" customWidth="1"/>
    <col min="1283" max="1283" width="16.7109375" style="272" bestFit="1" customWidth="1"/>
    <col min="1284" max="1284" width="17.5703125" style="272" bestFit="1" customWidth="1"/>
    <col min="1285" max="1285" width="12" style="272" bestFit="1" customWidth="1"/>
    <col min="1286" max="1286" width="26" style="272" customWidth="1"/>
    <col min="1287" max="1287" width="8" style="272" bestFit="1" customWidth="1"/>
    <col min="1288" max="1288" width="18.140625" style="272" bestFit="1" customWidth="1"/>
    <col min="1289" max="1289" width="10.5703125" style="272" bestFit="1" customWidth="1"/>
    <col min="1290" max="1537" width="13.42578125" style="272"/>
    <col min="1538" max="1538" width="10.28515625" style="272" bestFit="1" customWidth="1"/>
    <col min="1539" max="1539" width="16.7109375" style="272" bestFit="1" customWidth="1"/>
    <col min="1540" max="1540" width="17.5703125" style="272" bestFit="1" customWidth="1"/>
    <col min="1541" max="1541" width="12" style="272" bestFit="1" customWidth="1"/>
    <col min="1542" max="1542" width="26" style="272" customWidth="1"/>
    <col min="1543" max="1543" width="8" style="272" bestFit="1" customWidth="1"/>
    <col min="1544" max="1544" width="18.140625" style="272" bestFit="1" customWidth="1"/>
    <col min="1545" max="1545" width="10.5703125" style="272" bestFit="1" customWidth="1"/>
    <col min="1546" max="1793" width="13.42578125" style="272"/>
    <col min="1794" max="1794" width="10.28515625" style="272" bestFit="1" customWidth="1"/>
    <col min="1795" max="1795" width="16.7109375" style="272" bestFit="1" customWidth="1"/>
    <col min="1796" max="1796" width="17.5703125" style="272" bestFit="1" customWidth="1"/>
    <col min="1797" max="1797" width="12" style="272" bestFit="1" customWidth="1"/>
    <col min="1798" max="1798" width="26" style="272" customWidth="1"/>
    <col min="1799" max="1799" width="8" style="272" bestFit="1" customWidth="1"/>
    <col min="1800" max="1800" width="18.140625" style="272" bestFit="1" customWidth="1"/>
    <col min="1801" max="1801" width="10.5703125" style="272" bestFit="1" customWidth="1"/>
    <col min="1802" max="2049" width="13.42578125" style="272"/>
    <col min="2050" max="2050" width="10.28515625" style="272" bestFit="1" customWidth="1"/>
    <col min="2051" max="2051" width="16.7109375" style="272" bestFit="1" customWidth="1"/>
    <col min="2052" max="2052" width="17.5703125" style="272" bestFit="1" customWidth="1"/>
    <col min="2053" max="2053" width="12" style="272" bestFit="1" customWidth="1"/>
    <col min="2054" max="2054" width="26" style="272" customWidth="1"/>
    <col min="2055" max="2055" width="8" style="272" bestFit="1" customWidth="1"/>
    <col min="2056" max="2056" width="18.140625" style="272" bestFit="1" customWidth="1"/>
    <col min="2057" max="2057" width="10.5703125" style="272" bestFit="1" customWidth="1"/>
    <col min="2058" max="2305" width="13.42578125" style="272"/>
    <col min="2306" max="2306" width="10.28515625" style="272" bestFit="1" customWidth="1"/>
    <col min="2307" max="2307" width="16.7109375" style="272" bestFit="1" customWidth="1"/>
    <col min="2308" max="2308" width="17.5703125" style="272" bestFit="1" customWidth="1"/>
    <col min="2309" max="2309" width="12" style="272" bestFit="1" customWidth="1"/>
    <col min="2310" max="2310" width="26" style="272" customWidth="1"/>
    <col min="2311" max="2311" width="8" style="272" bestFit="1" customWidth="1"/>
    <col min="2312" max="2312" width="18.140625" style="272" bestFit="1" customWidth="1"/>
    <col min="2313" max="2313" width="10.5703125" style="272" bestFit="1" customWidth="1"/>
    <col min="2314" max="2561" width="13.42578125" style="272"/>
    <col min="2562" max="2562" width="10.28515625" style="272" bestFit="1" customWidth="1"/>
    <col min="2563" max="2563" width="16.7109375" style="272" bestFit="1" customWidth="1"/>
    <col min="2564" max="2564" width="17.5703125" style="272" bestFit="1" customWidth="1"/>
    <col min="2565" max="2565" width="12" style="272" bestFit="1" customWidth="1"/>
    <col min="2566" max="2566" width="26" style="272" customWidth="1"/>
    <col min="2567" max="2567" width="8" style="272" bestFit="1" customWidth="1"/>
    <col min="2568" max="2568" width="18.140625" style="272" bestFit="1" customWidth="1"/>
    <col min="2569" max="2569" width="10.5703125" style="272" bestFit="1" customWidth="1"/>
    <col min="2570" max="2817" width="13.42578125" style="272"/>
    <col min="2818" max="2818" width="10.28515625" style="272" bestFit="1" customWidth="1"/>
    <col min="2819" max="2819" width="16.7109375" style="272" bestFit="1" customWidth="1"/>
    <col min="2820" max="2820" width="17.5703125" style="272" bestFit="1" customWidth="1"/>
    <col min="2821" max="2821" width="12" style="272" bestFit="1" customWidth="1"/>
    <col min="2822" max="2822" width="26" style="272" customWidth="1"/>
    <col min="2823" max="2823" width="8" style="272" bestFit="1" customWidth="1"/>
    <col min="2824" max="2824" width="18.140625" style="272" bestFit="1" customWidth="1"/>
    <col min="2825" max="2825" width="10.5703125" style="272" bestFit="1" customWidth="1"/>
    <col min="2826" max="3073" width="13.42578125" style="272"/>
    <col min="3074" max="3074" width="10.28515625" style="272" bestFit="1" customWidth="1"/>
    <col min="3075" max="3075" width="16.7109375" style="272" bestFit="1" customWidth="1"/>
    <col min="3076" max="3076" width="17.5703125" style="272" bestFit="1" customWidth="1"/>
    <col min="3077" max="3077" width="12" style="272" bestFit="1" customWidth="1"/>
    <col min="3078" max="3078" width="26" style="272" customWidth="1"/>
    <col min="3079" max="3079" width="8" style="272" bestFit="1" customWidth="1"/>
    <col min="3080" max="3080" width="18.140625" style="272" bestFit="1" customWidth="1"/>
    <col min="3081" max="3081" width="10.5703125" style="272" bestFit="1" customWidth="1"/>
    <col min="3082" max="3329" width="13.42578125" style="272"/>
    <col min="3330" max="3330" width="10.28515625" style="272" bestFit="1" customWidth="1"/>
    <col min="3331" max="3331" width="16.7109375" style="272" bestFit="1" customWidth="1"/>
    <col min="3332" max="3332" width="17.5703125" style="272" bestFit="1" customWidth="1"/>
    <col min="3333" max="3333" width="12" style="272" bestFit="1" customWidth="1"/>
    <col min="3334" max="3334" width="26" style="272" customWidth="1"/>
    <col min="3335" max="3335" width="8" style="272" bestFit="1" customWidth="1"/>
    <col min="3336" max="3336" width="18.140625" style="272" bestFit="1" customWidth="1"/>
    <col min="3337" max="3337" width="10.5703125" style="272" bestFit="1" customWidth="1"/>
    <col min="3338" max="3585" width="13.42578125" style="272"/>
    <col min="3586" max="3586" width="10.28515625" style="272" bestFit="1" customWidth="1"/>
    <col min="3587" max="3587" width="16.7109375" style="272" bestFit="1" customWidth="1"/>
    <col min="3588" max="3588" width="17.5703125" style="272" bestFit="1" customWidth="1"/>
    <col min="3589" max="3589" width="12" style="272" bestFit="1" customWidth="1"/>
    <col min="3590" max="3590" width="26" style="272" customWidth="1"/>
    <col min="3591" max="3591" width="8" style="272" bestFit="1" customWidth="1"/>
    <col min="3592" max="3592" width="18.140625" style="272" bestFit="1" customWidth="1"/>
    <col min="3593" max="3593" width="10.5703125" style="272" bestFit="1" customWidth="1"/>
    <col min="3594" max="3841" width="13.42578125" style="272"/>
    <col min="3842" max="3842" width="10.28515625" style="272" bestFit="1" customWidth="1"/>
    <col min="3843" max="3843" width="16.7109375" style="272" bestFit="1" customWidth="1"/>
    <col min="3844" max="3844" width="17.5703125" style="272" bestFit="1" customWidth="1"/>
    <col min="3845" max="3845" width="12" style="272" bestFit="1" customWidth="1"/>
    <col min="3846" max="3846" width="26" style="272" customWidth="1"/>
    <col min="3847" max="3847" width="8" style="272" bestFit="1" customWidth="1"/>
    <col min="3848" max="3848" width="18.140625" style="272" bestFit="1" customWidth="1"/>
    <col min="3849" max="3849" width="10.5703125" style="272" bestFit="1" customWidth="1"/>
    <col min="3850" max="4097" width="13.42578125" style="272"/>
    <col min="4098" max="4098" width="10.28515625" style="272" bestFit="1" customWidth="1"/>
    <col min="4099" max="4099" width="16.7109375" style="272" bestFit="1" customWidth="1"/>
    <col min="4100" max="4100" width="17.5703125" style="272" bestFit="1" customWidth="1"/>
    <col min="4101" max="4101" width="12" style="272" bestFit="1" customWidth="1"/>
    <col min="4102" max="4102" width="26" style="272" customWidth="1"/>
    <col min="4103" max="4103" width="8" style="272" bestFit="1" customWidth="1"/>
    <col min="4104" max="4104" width="18.140625" style="272" bestFit="1" customWidth="1"/>
    <col min="4105" max="4105" width="10.5703125" style="272" bestFit="1" customWidth="1"/>
    <col min="4106" max="4353" width="13.42578125" style="272"/>
    <col min="4354" max="4354" width="10.28515625" style="272" bestFit="1" customWidth="1"/>
    <col min="4355" max="4355" width="16.7109375" style="272" bestFit="1" customWidth="1"/>
    <col min="4356" max="4356" width="17.5703125" style="272" bestFit="1" customWidth="1"/>
    <col min="4357" max="4357" width="12" style="272" bestFit="1" customWidth="1"/>
    <col min="4358" max="4358" width="26" style="272" customWidth="1"/>
    <col min="4359" max="4359" width="8" style="272" bestFit="1" customWidth="1"/>
    <col min="4360" max="4360" width="18.140625" style="272" bestFit="1" customWidth="1"/>
    <col min="4361" max="4361" width="10.5703125" style="272" bestFit="1" customWidth="1"/>
    <col min="4362" max="4609" width="13.42578125" style="272"/>
    <col min="4610" max="4610" width="10.28515625" style="272" bestFit="1" customWidth="1"/>
    <col min="4611" max="4611" width="16.7109375" style="272" bestFit="1" customWidth="1"/>
    <col min="4612" max="4612" width="17.5703125" style="272" bestFit="1" customWidth="1"/>
    <col min="4613" max="4613" width="12" style="272" bestFit="1" customWidth="1"/>
    <col min="4614" max="4614" width="26" style="272" customWidth="1"/>
    <col min="4615" max="4615" width="8" style="272" bestFit="1" customWidth="1"/>
    <col min="4616" max="4616" width="18.140625" style="272" bestFit="1" customWidth="1"/>
    <col min="4617" max="4617" width="10.5703125" style="272" bestFit="1" customWidth="1"/>
    <col min="4618" max="4865" width="13.42578125" style="272"/>
    <col min="4866" max="4866" width="10.28515625" style="272" bestFit="1" customWidth="1"/>
    <col min="4867" max="4867" width="16.7109375" style="272" bestFit="1" customWidth="1"/>
    <col min="4868" max="4868" width="17.5703125" style="272" bestFit="1" customWidth="1"/>
    <col min="4869" max="4869" width="12" style="272" bestFit="1" customWidth="1"/>
    <col min="4870" max="4870" width="26" style="272" customWidth="1"/>
    <col min="4871" max="4871" width="8" style="272" bestFit="1" customWidth="1"/>
    <col min="4872" max="4872" width="18.140625" style="272" bestFit="1" customWidth="1"/>
    <col min="4873" max="4873" width="10.5703125" style="272" bestFit="1" customWidth="1"/>
    <col min="4874" max="5121" width="13.42578125" style="272"/>
    <col min="5122" max="5122" width="10.28515625" style="272" bestFit="1" customWidth="1"/>
    <col min="5123" max="5123" width="16.7109375" style="272" bestFit="1" customWidth="1"/>
    <col min="5124" max="5124" width="17.5703125" style="272" bestFit="1" customWidth="1"/>
    <col min="5125" max="5125" width="12" style="272" bestFit="1" customWidth="1"/>
    <col min="5126" max="5126" width="26" style="272" customWidth="1"/>
    <col min="5127" max="5127" width="8" style="272" bestFit="1" customWidth="1"/>
    <col min="5128" max="5128" width="18.140625" style="272" bestFit="1" customWidth="1"/>
    <col min="5129" max="5129" width="10.5703125" style="272" bestFit="1" customWidth="1"/>
    <col min="5130" max="5377" width="13.42578125" style="272"/>
    <col min="5378" max="5378" width="10.28515625" style="272" bestFit="1" customWidth="1"/>
    <col min="5379" max="5379" width="16.7109375" style="272" bestFit="1" customWidth="1"/>
    <col min="5380" max="5380" width="17.5703125" style="272" bestFit="1" customWidth="1"/>
    <col min="5381" max="5381" width="12" style="272" bestFit="1" customWidth="1"/>
    <col min="5382" max="5382" width="26" style="272" customWidth="1"/>
    <col min="5383" max="5383" width="8" style="272" bestFit="1" customWidth="1"/>
    <col min="5384" max="5384" width="18.140625" style="272" bestFit="1" customWidth="1"/>
    <col min="5385" max="5385" width="10.5703125" style="272" bestFit="1" customWidth="1"/>
    <col min="5386" max="5633" width="13.42578125" style="272"/>
    <col min="5634" max="5634" width="10.28515625" style="272" bestFit="1" customWidth="1"/>
    <col min="5635" max="5635" width="16.7109375" style="272" bestFit="1" customWidth="1"/>
    <col min="5636" max="5636" width="17.5703125" style="272" bestFit="1" customWidth="1"/>
    <col min="5637" max="5637" width="12" style="272" bestFit="1" customWidth="1"/>
    <col min="5638" max="5638" width="26" style="272" customWidth="1"/>
    <col min="5639" max="5639" width="8" style="272" bestFit="1" customWidth="1"/>
    <col min="5640" max="5640" width="18.140625" style="272" bestFit="1" customWidth="1"/>
    <col min="5641" max="5641" width="10.5703125" style="272" bestFit="1" customWidth="1"/>
    <col min="5642" max="5889" width="13.42578125" style="272"/>
    <col min="5890" max="5890" width="10.28515625" style="272" bestFit="1" customWidth="1"/>
    <col min="5891" max="5891" width="16.7109375" style="272" bestFit="1" customWidth="1"/>
    <col min="5892" max="5892" width="17.5703125" style="272" bestFit="1" customWidth="1"/>
    <col min="5893" max="5893" width="12" style="272" bestFit="1" customWidth="1"/>
    <col min="5894" max="5894" width="26" style="272" customWidth="1"/>
    <col min="5895" max="5895" width="8" style="272" bestFit="1" customWidth="1"/>
    <col min="5896" max="5896" width="18.140625" style="272" bestFit="1" customWidth="1"/>
    <col min="5897" max="5897" width="10.5703125" style="272" bestFit="1" customWidth="1"/>
    <col min="5898" max="6145" width="13.42578125" style="272"/>
    <col min="6146" max="6146" width="10.28515625" style="272" bestFit="1" customWidth="1"/>
    <col min="6147" max="6147" width="16.7109375" style="272" bestFit="1" customWidth="1"/>
    <col min="6148" max="6148" width="17.5703125" style="272" bestFit="1" customWidth="1"/>
    <col min="6149" max="6149" width="12" style="272" bestFit="1" customWidth="1"/>
    <col min="6150" max="6150" width="26" style="272" customWidth="1"/>
    <col min="6151" max="6151" width="8" style="272" bestFit="1" customWidth="1"/>
    <col min="6152" max="6152" width="18.140625" style="272" bestFit="1" customWidth="1"/>
    <col min="6153" max="6153" width="10.5703125" style="272" bestFit="1" customWidth="1"/>
    <col min="6154" max="6401" width="13.42578125" style="272"/>
    <col min="6402" max="6402" width="10.28515625" style="272" bestFit="1" customWidth="1"/>
    <col min="6403" max="6403" width="16.7109375" style="272" bestFit="1" customWidth="1"/>
    <col min="6404" max="6404" width="17.5703125" style="272" bestFit="1" customWidth="1"/>
    <col min="6405" max="6405" width="12" style="272" bestFit="1" customWidth="1"/>
    <col min="6406" max="6406" width="26" style="272" customWidth="1"/>
    <col min="6407" max="6407" width="8" style="272" bestFit="1" customWidth="1"/>
    <col min="6408" max="6408" width="18.140625" style="272" bestFit="1" customWidth="1"/>
    <col min="6409" max="6409" width="10.5703125" style="272" bestFit="1" customWidth="1"/>
    <col min="6410" max="6657" width="13.42578125" style="272"/>
    <col min="6658" max="6658" width="10.28515625" style="272" bestFit="1" customWidth="1"/>
    <col min="6659" max="6659" width="16.7109375" style="272" bestFit="1" customWidth="1"/>
    <col min="6660" max="6660" width="17.5703125" style="272" bestFit="1" customWidth="1"/>
    <col min="6661" max="6661" width="12" style="272" bestFit="1" customWidth="1"/>
    <col min="6662" max="6662" width="26" style="272" customWidth="1"/>
    <col min="6663" max="6663" width="8" style="272" bestFit="1" customWidth="1"/>
    <col min="6664" max="6664" width="18.140625" style="272" bestFit="1" customWidth="1"/>
    <col min="6665" max="6665" width="10.5703125" style="272" bestFit="1" customWidth="1"/>
    <col min="6666" max="6913" width="13.42578125" style="272"/>
    <col min="6914" max="6914" width="10.28515625" style="272" bestFit="1" customWidth="1"/>
    <col min="6915" max="6915" width="16.7109375" style="272" bestFit="1" customWidth="1"/>
    <col min="6916" max="6916" width="17.5703125" style="272" bestFit="1" customWidth="1"/>
    <col min="6917" max="6917" width="12" style="272" bestFit="1" customWidth="1"/>
    <col min="6918" max="6918" width="26" style="272" customWidth="1"/>
    <col min="6919" max="6919" width="8" style="272" bestFit="1" customWidth="1"/>
    <col min="6920" max="6920" width="18.140625" style="272" bestFit="1" customWidth="1"/>
    <col min="6921" max="6921" width="10.5703125" style="272" bestFit="1" customWidth="1"/>
    <col min="6922" max="7169" width="13.42578125" style="272"/>
    <col min="7170" max="7170" width="10.28515625" style="272" bestFit="1" customWidth="1"/>
    <col min="7171" max="7171" width="16.7109375" style="272" bestFit="1" customWidth="1"/>
    <col min="7172" max="7172" width="17.5703125" style="272" bestFit="1" customWidth="1"/>
    <col min="7173" max="7173" width="12" style="272" bestFit="1" customWidth="1"/>
    <col min="7174" max="7174" width="26" style="272" customWidth="1"/>
    <col min="7175" max="7175" width="8" style="272" bestFit="1" customWidth="1"/>
    <col min="7176" max="7176" width="18.140625" style="272" bestFit="1" customWidth="1"/>
    <col min="7177" max="7177" width="10.5703125" style="272" bestFit="1" customWidth="1"/>
    <col min="7178" max="7425" width="13.42578125" style="272"/>
    <col min="7426" max="7426" width="10.28515625" style="272" bestFit="1" customWidth="1"/>
    <col min="7427" max="7427" width="16.7109375" style="272" bestFit="1" customWidth="1"/>
    <col min="7428" max="7428" width="17.5703125" style="272" bestFit="1" customWidth="1"/>
    <col min="7429" max="7429" width="12" style="272" bestFit="1" customWidth="1"/>
    <col min="7430" max="7430" width="26" style="272" customWidth="1"/>
    <col min="7431" max="7431" width="8" style="272" bestFit="1" customWidth="1"/>
    <col min="7432" max="7432" width="18.140625" style="272" bestFit="1" customWidth="1"/>
    <col min="7433" max="7433" width="10.5703125" style="272" bestFit="1" customWidth="1"/>
    <col min="7434" max="7681" width="13.42578125" style="272"/>
    <col min="7682" max="7682" width="10.28515625" style="272" bestFit="1" customWidth="1"/>
    <col min="7683" max="7683" width="16.7109375" style="272" bestFit="1" customWidth="1"/>
    <col min="7684" max="7684" width="17.5703125" style="272" bestFit="1" customWidth="1"/>
    <col min="7685" max="7685" width="12" style="272" bestFit="1" customWidth="1"/>
    <col min="7686" max="7686" width="26" style="272" customWidth="1"/>
    <col min="7687" max="7687" width="8" style="272" bestFit="1" customWidth="1"/>
    <col min="7688" max="7688" width="18.140625" style="272" bestFit="1" customWidth="1"/>
    <col min="7689" max="7689" width="10.5703125" style="272" bestFit="1" customWidth="1"/>
    <col min="7690" max="7937" width="13.42578125" style="272"/>
    <col min="7938" max="7938" width="10.28515625" style="272" bestFit="1" customWidth="1"/>
    <col min="7939" max="7939" width="16.7109375" style="272" bestFit="1" customWidth="1"/>
    <col min="7940" max="7940" width="17.5703125" style="272" bestFit="1" customWidth="1"/>
    <col min="7941" max="7941" width="12" style="272" bestFit="1" customWidth="1"/>
    <col min="7942" max="7942" width="26" style="272" customWidth="1"/>
    <col min="7943" max="7943" width="8" style="272" bestFit="1" customWidth="1"/>
    <col min="7944" max="7944" width="18.140625" style="272" bestFit="1" customWidth="1"/>
    <col min="7945" max="7945" width="10.5703125" style="272" bestFit="1" customWidth="1"/>
    <col min="7946" max="8193" width="13.42578125" style="272"/>
    <col min="8194" max="8194" width="10.28515625" style="272" bestFit="1" customWidth="1"/>
    <col min="8195" max="8195" width="16.7109375" style="272" bestFit="1" customWidth="1"/>
    <col min="8196" max="8196" width="17.5703125" style="272" bestFit="1" customWidth="1"/>
    <col min="8197" max="8197" width="12" style="272" bestFit="1" customWidth="1"/>
    <col min="8198" max="8198" width="26" style="272" customWidth="1"/>
    <col min="8199" max="8199" width="8" style="272" bestFit="1" customWidth="1"/>
    <col min="8200" max="8200" width="18.140625" style="272" bestFit="1" customWidth="1"/>
    <col min="8201" max="8201" width="10.5703125" style="272" bestFit="1" customWidth="1"/>
    <col min="8202" max="8449" width="13.42578125" style="272"/>
    <col min="8450" max="8450" width="10.28515625" style="272" bestFit="1" customWidth="1"/>
    <col min="8451" max="8451" width="16.7109375" style="272" bestFit="1" customWidth="1"/>
    <col min="8452" max="8452" width="17.5703125" style="272" bestFit="1" customWidth="1"/>
    <col min="8453" max="8453" width="12" style="272" bestFit="1" customWidth="1"/>
    <col min="8454" max="8454" width="26" style="272" customWidth="1"/>
    <col min="8455" max="8455" width="8" style="272" bestFit="1" customWidth="1"/>
    <col min="8456" max="8456" width="18.140625" style="272" bestFit="1" customWidth="1"/>
    <col min="8457" max="8457" width="10.5703125" style="272" bestFit="1" customWidth="1"/>
    <col min="8458" max="8705" width="13.42578125" style="272"/>
    <col min="8706" max="8706" width="10.28515625" style="272" bestFit="1" customWidth="1"/>
    <col min="8707" max="8707" width="16.7109375" style="272" bestFit="1" customWidth="1"/>
    <col min="8708" max="8708" width="17.5703125" style="272" bestFit="1" customWidth="1"/>
    <col min="8709" max="8709" width="12" style="272" bestFit="1" customWidth="1"/>
    <col min="8710" max="8710" width="26" style="272" customWidth="1"/>
    <col min="8711" max="8711" width="8" style="272" bestFit="1" customWidth="1"/>
    <col min="8712" max="8712" width="18.140625" style="272" bestFit="1" customWidth="1"/>
    <col min="8713" max="8713" width="10.5703125" style="272" bestFit="1" customWidth="1"/>
    <col min="8714" max="8961" width="13.42578125" style="272"/>
    <col min="8962" max="8962" width="10.28515625" style="272" bestFit="1" customWidth="1"/>
    <col min="8963" max="8963" width="16.7109375" style="272" bestFit="1" customWidth="1"/>
    <col min="8964" max="8964" width="17.5703125" style="272" bestFit="1" customWidth="1"/>
    <col min="8965" max="8965" width="12" style="272" bestFit="1" customWidth="1"/>
    <col min="8966" max="8966" width="26" style="272" customWidth="1"/>
    <col min="8967" max="8967" width="8" style="272" bestFit="1" customWidth="1"/>
    <col min="8968" max="8968" width="18.140625" style="272" bestFit="1" customWidth="1"/>
    <col min="8969" max="8969" width="10.5703125" style="272" bestFit="1" customWidth="1"/>
    <col min="8970" max="9217" width="13.42578125" style="272"/>
    <col min="9218" max="9218" width="10.28515625" style="272" bestFit="1" customWidth="1"/>
    <col min="9219" max="9219" width="16.7109375" style="272" bestFit="1" customWidth="1"/>
    <col min="9220" max="9220" width="17.5703125" style="272" bestFit="1" customWidth="1"/>
    <col min="9221" max="9221" width="12" style="272" bestFit="1" customWidth="1"/>
    <col min="9222" max="9222" width="26" style="272" customWidth="1"/>
    <col min="9223" max="9223" width="8" style="272" bestFit="1" customWidth="1"/>
    <col min="9224" max="9224" width="18.140625" style="272" bestFit="1" customWidth="1"/>
    <col min="9225" max="9225" width="10.5703125" style="272" bestFit="1" customWidth="1"/>
    <col min="9226" max="9473" width="13.42578125" style="272"/>
    <col min="9474" max="9474" width="10.28515625" style="272" bestFit="1" customWidth="1"/>
    <col min="9475" max="9475" width="16.7109375" style="272" bestFit="1" customWidth="1"/>
    <col min="9476" max="9476" width="17.5703125" style="272" bestFit="1" customWidth="1"/>
    <col min="9477" max="9477" width="12" style="272" bestFit="1" customWidth="1"/>
    <col min="9478" max="9478" width="26" style="272" customWidth="1"/>
    <col min="9479" max="9479" width="8" style="272" bestFit="1" customWidth="1"/>
    <col min="9480" max="9480" width="18.140625" style="272" bestFit="1" customWidth="1"/>
    <col min="9481" max="9481" width="10.5703125" style="272" bestFit="1" customWidth="1"/>
    <col min="9482" max="9729" width="13.42578125" style="272"/>
    <col min="9730" max="9730" width="10.28515625" style="272" bestFit="1" customWidth="1"/>
    <col min="9731" max="9731" width="16.7109375" style="272" bestFit="1" customWidth="1"/>
    <col min="9732" max="9732" width="17.5703125" style="272" bestFit="1" customWidth="1"/>
    <col min="9733" max="9733" width="12" style="272" bestFit="1" customWidth="1"/>
    <col min="9734" max="9734" width="26" style="272" customWidth="1"/>
    <col min="9735" max="9735" width="8" style="272" bestFit="1" customWidth="1"/>
    <col min="9736" max="9736" width="18.140625" style="272" bestFit="1" customWidth="1"/>
    <col min="9737" max="9737" width="10.5703125" style="272" bestFit="1" customWidth="1"/>
    <col min="9738" max="9985" width="13.42578125" style="272"/>
    <col min="9986" max="9986" width="10.28515625" style="272" bestFit="1" customWidth="1"/>
    <col min="9987" max="9987" width="16.7109375" style="272" bestFit="1" customWidth="1"/>
    <col min="9988" max="9988" width="17.5703125" style="272" bestFit="1" customWidth="1"/>
    <col min="9989" max="9989" width="12" style="272" bestFit="1" customWidth="1"/>
    <col min="9990" max="9990" width="26" style="272" customWidth="1"/>
    <col min="9991" max="9991" width="8" style="272" bestFit="1" customWidth="1"/>
    <col min="9992" max="9992" width="18.140625" style="272" bestFit="1" customWidth="1"/>
    <col min="9993" max="9993" width="10.5703125" style="272" bestFit="1" customWidth="1"/>
    <col min="9994" max="10241" width="13.42578125" style="272"/>
    <col min="10242" max="10242" width="10.28515625" style="272" bestFit="1" customWidth="1"/>
    <col min="10243" max="10243" width="16.7109375" style="272" bestFit="1" customWidth="1"/>
    <col min="10244" max="10244" width="17.5703125" style="272" bestFit="1" customWidth="1"/>
    <col min="10245" max="10245" width="12" style="272" bestFit="1" customWidth="1"/>
    <col min="10246" max="10246" width="26" style="272" customWidth="1"/>
    <col min="10247" max="10247" width="8" style="272" bestFit="1" customWidth="1"/>
    <col min="10248" max="10248" width="18.140625" style="272" bestFit="1" customWidth="1"/>
    <col min="10249" max="10249" width="10.5703125" style="272" bestFit="1" customWidth="1"/>
    <col min="10250" max="10497" width="13.42578125" style="272"/>
    <col min="10498" max="10498" width="10.28515625" style="272" bestFit="1" customWidth="1"/>
    <col min="10499" max="10499" width="16.7109375" style="272" bestFit="1" customWidth="1"/>
    <col min="10500" max="10500" width="17.5703125" style="272" bestFit="1" customWidth="1"/>
    <col min="10501" max="10501" width="12" style="272" bestFit="1" customWidth="1"/>
    <col min="10502" max="10502" width="26" style="272" customWidth="1"/>
    <col min="10503" max="10503" width="8" style="272" bestFit="1" customWidth="1"/>
    <col min="10504" max="10504" width="18.140625" style="272" bestFit="1" customWidth="1"/>
    <col min="10505" max="10505" width="10.5703125" style="272" bestFit="1" customWidth="1"/>
    <col min="10506" max="10753" width="13.42578125" style="272"/>
    <col min="10754" max="10754" width="10.28515625" style="272" bestFit="1" customWidth="1"/>
    <col min="10755" max="10755" width="16.7109375" style="272" bestFit="1" customWidth="1"/>
    <col min="10756" max="10756" width="17.5703125" style="272" bestFit="1" customWidth="1"/>
    <col min="10757" max="10757" width="12" style="272" bestFit="1" customWidth="1"/>
    <col min="10758" max="10758" width="26" style="272" customWidth="1"/>
    <col min="10759" max="10759" width="8" style="272" bestFit="1" customWidth="1"/>
    <col min="10760" max="10760" width="18.140625" style="272" bestFit="1" customWidth="1"/>
    <col min="10761" max="10761" width="10.5703125" style="272" bestFit="1" customWidth="1"/>
    <col min="10762" max="11009" width="13.42578125" style="272"/>
    <col min="11010" max="11010" width="10.28515625" style="272" bestFit="1" customWidth="1"/>
    <col min="11011" max="11011" width="16.7109375" style="272" bestFit="1" customWidth="1"/>
    <col min="11012" max="11012" width="17.5703125" style="272" bestFit="1" customWidth="1"/>
    <col min="11013" max="11013" width="12" style="272" bestFit="1" customWidth="1"/>
    <col min="11014" max="11014" width="26" style="272" customWidth="1"/>
    <col min="11015" max="11015" width="8" style="272" bestFit="1" customWidth="1"/>
    <col min="11016" max="11016" width="18.140625" style="272" bestFit="1" customWidth="1"/>
    <col min="11017" max="11017" width="10.5703125" style="272" bestFit="1" customWidth="1"/>
    <col min="11018" max="11265" width="13.42578125" style="272"/>
    <col min="11266" max="11266" width="10.28515625" style="272" bestFit="1" customWidth="1"/>
    <col min="11267" max="11267" width="16.7109375" style="272" bestFit="1" customWidth="1"/>
    <col min="11268" max="11268" width="17.5703125" style="272" bestFit="1" customWidth="1"/>
    <col min="11269" max="11269" width="12" style="272" bestFit="1" customWidth="1"/>
    <col min="11270" max="11270" width="26" style="272" customWidth="1"/>
    <col min="11271" max="11271" width="8" style="272" bestFit="1" customWidth="1"/>
    <col min="11272" max="11272" width="18.140625" style="272" bestFit="1" customWidth="1"/>
    <col min="11273" max="11273" width="10.5703125" style="272" bestFit="1" customWidth="1"/>
    <col min="11274" max="11521" width="13.42578125" style="272"/>
    <col min="11522" max="11522" width="10.28515625" style="272" bestFit="1" customWidth="1"/>
    <col min="11523" max="11523" width="16.7109375" style="272" bestFit="1" customWidth="1"/>
    <col min="11524" max="11524" width="17.5703125" style="272" bestFit="1" customWidth="1"/>
    <col min="11525" max="11525" width="12" style="272" bestFit="1" customWidth="1"/>
    <col min="11526" max="11526" width="26" style="272" customWidth="1"/>
    <col min="11527" max="11527" width="8" style="272" bestFit="1" customWidth="1"/>
    <col min="11528" max="11528" width="18.140625" style="272" bestFit="1" customWidth="1"/>
    <col min="11529" max="11529" width="10.5703125" style="272" bestFit="1" customWidth="1"/>
    <col min="11530" max="11777" width="13.42578125" style="272"/>
    <col min="11778" max="11778" width="10.28515625" style="272" bestFit="1" customWidth="1"/>
    <col min="11779" max="11779" width="16.7109375" style="272" bestFit="1" customWidth="1"/>
    <col min="11780" max="11780" width="17.5703125" style="272" bestFit="1" customWidth="1"/>
    <col min="11781" max="11781" width="12" style="272" bestFit="1" customWidth="1"/>
    <col min="11782" max="11782" width="26" style="272" customWidth="1"/>
    <col min="11783" max="11783" width="8" style="272" bestFit="1" customWidth="1"/>
    <col min="11784" max="11784" width="18.140625" style="272" bestFit="1" customWidth="1"/>
    <col min="11785" max="11785" width="10.5703125" style="272" bestFit="1" customWidth="1"/>
    <col min="11786" max="12033" width="13.42578125" style="272"/>
    <col min="12034" max="12034" width="10.28515625" style="272" bestFit="1" customWidth="1"/>
    <col min="12035" max="12035" width="16.7109375" style="272" bestFit="1" customWidth="1"/>
    <col min="12036" max="12036" width="17.5703125" style="272" bestFit="1" customWidth="1"/>
    <col min="12037" max="12037" width="12" style="272" bestFit="1" customWidth="1"/>
    <col min="12038" max="12038" width="26" style="272" customWidth="1"/>
    <col min="12039" max="12039" width="8" style="272" bestFit="1" customWidth="1"/>
    <col min="12040" max="12040" width="18.140625" style="272" bestFit="1" customWidth="1"/>
    <col min="12041" max="12041" width="10.5703125" style="272" bestFit="1" customWidth="1"/>
    <col min="12042" max="12289" width="13.42578125" style="272"/>
    <col min="12290" max="12290" width="10.28515625" style="272" bestFit="1" customWidth="1"/>
    <col min="12291" max="12291" width="16.7109375" style="272" bestFit="1" customWidth="1"/>
    <col min="12292" max="12292" width="17.5703125" style="272" bestFit="1" customWidth="1"/>
    <col min="12293" max="12293" width="12" style="272" bestFit="1" customWidth="1"/>
    <col min="12294" max="12294" width="26" style="272" customWidth="1"/>
    <col min="12295" max="12295" width="8" style="272" bestFit="1" customWidth="1"/>
    <col min="12296" max="12296" width="18.140625" style="272" bestFit="1" customWidth="1"/>
    <col min="12297" max="12297" width="10.5703125" style="272" bestFit="1" customWidth="1"/>
    <col min="12298" max="12545" width="13.42578125" style="272"/>
    <col min="12546" max="12546" width="10.28515625" style="272" bestFit="1" customWidth="1"/>
    <col min="12547" max="12547" width="16.7109375" style="272" bestFit="1" customWidth="1"/>
    <col min="12548" max="12548" width="17.5703125" style="272" bestFit="1" customWidth="1"/>
    <col min="12549" max="12549" width="12" style="272" bestFit="1" customWidth="1"/>
    <col min="12550" max="12550" width="26" style="272" customWidth="1"/>
    <col min="12551" max="12551" width="8" style="272" bestFit="1" customWidth="1"/>
    <col min="12552" max="12552" width="18.140625" style="272" bestFit="1" customWidth="1"/>
    <col min="12553" max="12553" width="10.5703125" style="272" bestFit="1" customWidth="1"/>
    <col min="12554" max="12801" width="13.42578125" style="272"/>
    <col min="12802" max="12802" width="10.28515625" style="272" bestFit="1" customWidth="1"/>
    <col min="12803" max="12803" width="16.7109375" style="272" bestFit="1" customWidth="1"/>
    <col min="12804" max="12804" width="17.5703125" style="272" bestFit="1" customWidth="1"/>
    <col min="12805" max="12805" width="12" style="272" bestFit="1" customWidth="1"/>
    <col min="12806" max="12806" width="26" style="272" customWidth="1"/>
    <col min="12807" max="12807" width="8" style="272" bestFit="1" customWidth="1"/>
    <col min="12808" max="12808" width="18.140625" style="272" bestFit="1" customWidth="1"/>
    <col min="12809" max="12809" width="10.5703125" style="272" bestFit="1" customWidth="1"/>
    <col min="12810" max="13057" width="13.42578125" style="272"/>
    <col min="13058" max="13058" width="10.28515625" style="272" bestFit="1" customWidth="1"/>
    <col min="13059" max="13059" width="16.7109375" style="272" bestFit="1" customWidth="1"/>
    <col min="13060" max="13060" width="17.5703125" style="272" bestFit="1" customWidth="1"/>
    <col min="13061" max="13061" width="12" style="272" bestFit="1" customWidth="1"/>
    <col min="13062" max="13062" width="26" style="272" customWidth="1"/>
    <col min="13063" max="13063" width="8" style="272" bestFit="1" customWidth="1"/>
    <col min="13064" max="13064" width="18.140625" style="272" bestFit="1" customWidth="1"/>
    <col min="13065" max="13065" width="10.5703125" style="272" bestFit="1" customWidth="1"/>
    <col min="13066" max="13313" width="13.42578125" style="272"/>
    <col min="13314" max="13314" width="10.28515625" style="272" bestFit="1" customWidth="1"/>
    <col min="13315" max="13315" width="16.7109375" style="272" bestFit="1" customWidth="1"/>
    <col min="13316" max="13316" width="17.5703125" style="272" bestFit="1" customWidth="1"/>
    <col min="13317" max="13317" width="12" style="272" bestFit="1" customWidth="1"/>
    <col min="13318" max="13318" width="26" style="272" customWidth="1"/>
    <col min="13319" max="13319" width="8" style="272" bestFit="1" customWidth="1"/>
    <col min="13320" max="13320" width="18.140625" style="272" bestFit="1" customWidth="1"/>
    <col min="13321" max="13321" width="10.5703125" style="272" bestFit="1" customWidth="1"/>
    <col min="13322" max="13569" width="13.42578125" style="272"/>
    <col min="13570" max="13570" width="10.28515625" style="272" bestFit="1" customWidth="1"/>
    <col min="13571" max="13571" width="16.7109375" style="272" bestFit="1" customWidth="1"/>
    <col min="13572" max="13572" width="17.5703125" style="272" bestFit="1" customWidth="1"/>
    <col min="13573" max="13573" width="12" style="272" bestFit="1" customWidth="1"/>
    <col min="13574" max="13574" width="26" style="272" customWidth="1"/>
    <col min="13575" max="13575" width="8" style="272" bestFit="1" customWidth="1"/>
    <col min="13576" max="13576" width="18.140625" style="272" bestFit="1" customWidth="1"/>
    <col min="13577" max="13577" width="10.5703125" style="272" bestFit="1" customWidth="1"/>
    <col min="13578" max="13825" width="13.42578125" style="272"/>
    <col min="13826" max="13826" width="10.28515625" style="272" bestFit="1" customWidth="1"/>
    <col min="13827" max="13827" width="16.7109375" style="272" bestFit="1" customWidth="1"/>
    <col min="13828" max="13828" width="17.5703125" style="272" bestFit="1" customWidth="1"/>
    <col min="13829" max="13829" width="12" style="272" bestFit="1" customWidth="1"/>
    <col min="13830" max="13830" width="26" style="272" customWidth="1"/>
    <col min="13831" max="13831" width="8" style="272" bestFit="1" customWidth="1"/>
    <col min="13832" max="13832" width="18.140625" style="272" bestFit="1" customWidth="1"/>
    <col min="13833" max="13833" width="10.5703125" style="272" bestFit="1" customWidth="1"/>
    <col min="13834" max="14081" width="13.42578125" style="272"/>
    <col min="14082" max="14082" width="10.28515625" style="272" bestFit="1" customWidth="1"/>
    <col min="14083" max="14083" width="16.7109375" style="272" bestFit="1" customWidth="1"/>
    <col min="14084" max="14084" width="17.5703125" style="272" bestFit="1" customWidth="1"/>
    <col min="14085" max="14085" width="12" style="272" bestFit="1" customWidth="1"/>
    <col min="14086" max="14086" width="26" style="272" customWidth="1"/>
    <col min="14087" max="14087" width="8" style="272" bestFit="1" customWidth="1"/>
    <col min="14088" max="14088" width="18.140625" style="272" bestFit="1" customWidth="1"/>
    <col min="14089" max="14089" width="10.5703125" style="272" bestFit="1" customWidth="1"/>
    <col min="14090" max="14337" width="13.42578125" style="272"/>
    <col min="14338" max="14338" width="10.28515625" style="272" bestFit="1" customWidth="1"/>
    <col min="14339" max="14339" width="16.7109375" style="272" bestFit="1" customWidth="1"/>
    <col min="14340" max="14340" width="17.5703125" style="272" bestFit="1" customWidth="1"/>
    <col min="14341" max="14341" width="12" style="272" bestFit="1" customWidth="1"/>
    <col min="14342" max="14342" width="26" style="272" customWidth="1"/>
    <col min="14343" max="14343" width="8" style="272" bestFit="1" customWidth="1"/>
    <col min="14344" max="14344" width="18.140625" style="272" bestFit="1" customWidth="1"/>
    <col min="14345" max="14345" width="10.5703125" style="272" bestFit="1" customWidth="1"/>
    <col min="14346" max="14593" width="13.42578125" style="272"/>
    <col min="14594" max="14594" width="10.28515625" style="272" bestFit="1" customWidth="1"/>
    <col min="14595" max="14595" width="16.7109375" style="272" bestFit="1" customWidth="1"/>
    <col min="14596" max="14596" width="17.5703125" style="272" bestFit="1" customWidth="1"/>
    <col min="14597" max="14597" width="12" style="272" bestFit="1" customWidth="1"/>
    <col min="14598" max="14598" width="26" style="272" customWidth="1"/>
    <col min="14599" max="14599" width="8" style="272" bestFit="1" customWidth="1"/>
    <col min="14600" max="14600" width="18.140625" style="272" bestFit="1" customWidth="1"/>
    <col min="14601" max="14601" width="10.5703125" style="272" bestFit="1" customWidth="1"/>
    <col min="14602" max="14849" width="13.42578125" style="272"/>
    <col min="14850" max="14850" width="10.28515625" style="272" bestFit="1" customWidth="1"/>
    <col min="14851" max="14851" width="16.7109375" style="272" bestFit="1" customWidth="1"/>
    <col min="14852" max="14852" width="17.5703125" style="272" bestFit="1" customWidth="1"/>
    <col min="14853" max="14853" width="12" style="272" bestFit="1" customWidth="1"/>
    <col min="14854" max="14854" width="26" style="272" customWidth="1"/>
    <col min="14855" max="14855" width="8" style="272" bestFit="1" customWidth="1"/>
    <col min="14856" max="14856" width="18.140625" style="272" bestFit="1" customWidth="1"/>
    <col min="14857" max="14857" width="10.5703125" style="272" bestFit="1" customWidth="1"/>
    <col min="14858" max="15105" width="13.42578125" style="272"/>
    <col min="15106" max="15106" width="10.28515625" style="272" bestFit="1" customWidth="1"/>
    <col min="15107" max="15107" width="16.7109375" style="272" bestFit="1" customWidth="1"/>
    <col min="15108" max="15108" width="17.5703125" style="272" bestFit="1" customWidth="1"/>
    <col min="15109" max="15109" width="12" style="272" bestFit="1" customWidth="1"/>
    <col min="15110" max="15110" width="26" style="272" customWidth="1"/>
    <col min="15111" max="15111" width="8" style="272" bestFit="1" customWidth="1"/>
    <col min="15112" max="15112" width="18.140625" style="272" bestFit="1" customWidth="1"/>
    <col min="15113" max="15113" width="10.5703125" style="272" bestFit="1" customWidth="1"/>
    <col min="15114" max="15361" width="13.42578125" style="272"/>
    <col min="15362" max="15362" width="10.28515625" style="272" bestFit="1" customWidth="1"/>
    <col min="15363" max="15363" width="16.7109375" style="272" bestFit="1" customWidth="1"/>
    <col min="15364" max="15364" width="17.5703125" style="272" bestFit="1" customWidth="1"/>
    <col min="15365" max="15365" width="12" style="272" bestFit="1" customWidth="1"/>
    <col min="15366" max="15366" width="26" style="272" customWidth="1"/>
    <col min="15367" max="15367" width="8" style="272" bestFit="1" customWidth="1"/>
    <col min="15368" max="15368" width="18.140625" style="272" bestFit="1" customWidth="1"/>
    <col min="15369" max="15369" width="10.5703125" style="272" bestFit="1" customWidth="1"/>
    <col min="15370" max="15617" width="13.42578125" style="272"/>
    <col min="15618" max="15618" width="10.28515625" style="272" bestFit="1" customWidth="1"/>
    <col min="15619" max="15619" width="16.7109375" style="272" bestFit="1" customWidth="1"/>
    <col min="15620" max="15620" width="17.5703125" style="272" bestFit="1" customWidth="1"/>
    <col min="15621" max="15621" width="12" style="272" bestFit="1" customWidth="1"/>
    <col min="15622" max="15622" width="26" style="272" customWidth="1"/>
    <col min="15623" max="15623" width="8" style="272" bestFit="1" customWidth="1"/>
    <col min="15624" max="15624" width="18.140625" style="272" bestFit="1" customWidth="1"/>
    <col min="15625" max="15625" width="10.5703125" style="272" bestFit="1" customWidth="1"/>
    <col min="15626" max="15873" width="13.42578125" style="272"/>
    <col min="15874" max="15874" width="10.28515625" style="272" bestFit="1" customWidth="1"/>
    <col min="15875" max="15875" width="16.7109375" style="272" bestFit="1" customWidth="1"/>
    <col min="15876" max="15876" width="17.5703125" style="272" bestFit="1" customWidth="1"/>
    <col min="15877" max="15877" width="12" style="272" bestFit="1" customWidth="1"/>
    <col min="15878" max="15878" width="26" style="272" customWidth="1"/>
    <col min="15879" max="15879" width="8" style="272" bestFit="1" customWidth="1"/>
    <col min="15880" max="15880" width="18.140625" style="272" bestFit="1" customWidth="1"/>
    <col min="15881" max="15881" width="10.5703125" style="272" bestFit="1" customWidth="1"/>
    <col min="15882" max="16129" width="13.42578125" style="272"/>
    <col min="16130" max="16130" width="10.28515625" style="272" bestFit="1" customWidth="1"/>
    <col min="16131" max="16131" width="16.7109375" style="272" bestFit="1" customWidth="1"/>
    <col min="16132" max="16132" width="17.5703125" style="272" bestFit="1" customWidth="1"/>
    <col min="16133" max="16133" width="12" style="272" bestFit="1" customWidth="1"/>
    <col min="16134" max="16134" width="26" style="272" customWidth="1"/>
    <col min="16135" max="16135" width="8" style="272" bestFit="1" customWidth="1"/>
    <col min="16136" max="16136" width="18.140625" style="272" bestFit="1" customWidth="1"/>
    <col min="16137" max="16137" width="10.5703125" style="272" bestFit="1" customWidth="1"/>
    <col min="16138" max="16384" width="13.42578125" style="272"/>
  </cols>
  <sheetData>
    <row r="1" spans="1:14" s="263" customFormat="1" x14ac:dyDescent="0.2">
      <c r="A1" s="261" t="s">
        <v>294</v>
      </c>
      <c r="B1" s="262" t="s">
        <v>295</v>
      </c>
      <c r="C1" s="262" t="s">
        <v>296</v>
      </c>
      <c r="D1" s="262" t="s">
        <v>297</v>
      </c>
      <c r="E1" s="262" t="s">
        <v>298</v>
      </c>
      <c r="F1" s="262" t="s">
        <v>299</v>
      </c>
      <c r="G1" s="263" t="s">
        <v>613</v>
      </c>
      <c r="H1" s="263" t="s">
        <v>300</v>
      </c>
      <c r="I1" s="263" t="s">
        <v>301</v>
      </c>
      <c r="J1" s="274" t="s">
        <v>292</v>
      </c>
      <c r="K1" s="274" t="s">
        <v>315</v>
      </c>
      <c r="L1" s="274" t="s">
        <v>314</v>
      </c>
      <c r="M1" s="274" t="s">
        <v>316</v>
      </c>
      <c r="N1" s="274" t="s">
        <v>336</v>
      </c>
    </row>
    <row r="2" spans="1:14" s="267" customFormat="1" x14ac:dyDescent="0.2">
      <c r="A2" s="264" t="s">
        <v>302</v>
      </c>
      <c r="B2" s="265" t="s">
        <v>302</v>
      </c>
      <c r="C2" s="265" t="s">
        <v>302</v>
      </c>
      <c r="D2" s="265" t="s">
        <v>302</v>
      </c>
      <c r="E2" s="265" t="s">
        <v>302</v>
      </c>
      <c r="F2" s="265" t="s">
        <v>302</v>
      </c>
      <c r="G2" s="266"/>
      <c r="H2" s="266"/>
      <c r="I2" s="266"/>
      <c r="J2" s="275"/>
      <c r="K2" s="275"/>
      <c r="L2" s="275"/>
      <c r="M2" s="275"/>
      <c r="N2" s="275"/>
    </row>
    <row r="3" spans="1:14" s="270" customFormat="1" ht="102" thickBot="1" x14ac:dyDescent="0.25">
      <c r="A3" s="268" t="s">
        <v>303</v>
      </c>
      <c r="B3" s="269" t="s">
        <v>304</v>
      </c>
      <c r="C3" s="269" t="s">
        <v>305</v>
      </c>
      <c r="D3" s="269" t="s">
        <v>306</v>
      </c>
      <c r="E3" s="269" t="s">
        <v>307</v>
      </c>
      <c r="F3" s="269" t="s">
        <v>308</v>
      </c>
      <c r="H3" s="270" t="s">
        <v>309</v>
      </c>
      <c r="I3" s="270" t="s">
        <v>310</v>
      </c>
      <c r="J3" s="276"/>
      <c r="K3" s="276"/>
      <c r="L3" s="276"/>
      <c r="M3" s="276"/>
      <c r="N3" s="276"/>
    </row>
    <row r="4" spans="1:14" x14ac:dyDescent="0.2">
      <c r="G4" s="675"/>
    </row>
    <row r="5" spans="1:14" x14ac:dyDescent="0.2">
      <c r="A5" s="271" t="s">
        <v>250</v>
      </c>
      <c r="B5" s="271" t="s">
        <v>311</v>
      </c>
      <c r="C5" s="271" t="s">
        <v>312</v>
      </c>
      <c r="D5" s="676" t="str">
        <f>CONCATENATE("100-000-",K5,"-",L5,"-",M5,"-",N5)</f>
        <v>100-000-0000-1110-000-00-06</v>
      </c>
      <c r="E5" s="273" t="s">
        <v>148</v>
      </c>
      <c r="F5" s="676">
        <f>IFERROR(G5,0)</f>
        <v>117089.28000000001</v>
      </c>
      <c r="G5" s="675">
        <f>VLOOKUP(L5,'Function-Grant'!C:AN,3,FALSE)</f>
        <v>117089.28000000001</v>
      </c>
      <c r="H5" s="272" t="s">
        <v>312</v>
      </c>
      <c r="J5" s="277" t="s">
        <v>259</v>
      </c>
      <c r="K5" s="677" t="str">
        <f>LEFT(J5,4)</f>
        <v>0000</v>
      </c>
      <c r="L5" s="677">
        <v>1110</v>
      </c>
      <c r="M5" s="677" t="str">
        <f t="shared" ref="M5:M76" si="0">RIGHT(J5,3)</f>
        <v>000</v>
      </c>
      <c r="N5" s="277" t="s">
        <v>614</v>
      </c>
    </row>
    <row r="6" spans="1:14" x14ac:dyDescent="0.2">
      <c r="A6" s="271" t="s">
        <v>250</v>
      </c>
      <c r="B6" s="271" t="s">
        <v>311</v>
      </c>
      <c r="C6" s="271" t="s">
        <v>312</v>
      </c>
      <c r="D6" s="676" t="str">
        <f t="shared" ref="D6:D20" si="1">CONCATENATE("100-000-",K6,"-",L6,"-",M6,"-",N6)</f>
        <v>100-000-0000-1120-000-00-06</v>
      </c>
      <c r="E6" s="273" t="s">
        <v>148</v>
      </c>
      <c r="F6" s="676">
        <f t="shared" ref="F6:F45" si="2">IFERROR(G6,0)</f>
        <v>128620.79999999994</v>
      </c>
      <c r="G6" s="675">
        <f>VLOOKUP(L6,'Function-Grant'!C:AN,3,FALSE)</f>
        <v>128620.79999999994</v>
      </c>
      <c r="H6" s="272" t="s">
        <v>312</v>
      </c>
      <c r="J6" s="277" t="s">
        <v>259</v>
      </c>
      <c r="K6" s="677" t="str">
        <f t="shared" ref="K6:K78" si="3">LEFT(J6,4)</f>
        <v>0000</v>
      </c>
      <c r="L6" s="677">
        <v>1120</v>
      </c>
      <c r="M6" s="677" t="str">
        <f t="shared" si="0"/>
        <v>000</v>
      </c>
      <c r="N6" s="277" t="s">
        <v>614</v>
      </c>
    </row>
    <row r="7" spans="1:14" x14ac:dyDescent="0.2">
      <c r="A7" s="271" t="s">
        <v>250</v>
      </c>
      <c r="B7" s="271" t="s">
        <v>311</v>
      </c>
      <c r="C7" s="271" t="s">
        <v>312</v>
      </c>
      <c r="D7" s="676" t="str">
        <f t="shared" si="1"/>
        <v>100-000-0000-1191-000-00-06</v>
      </c>
      <c r="E7" s="273" t="s">
        <v>148</v>
      </c>
      <c r="F7" s="676">
        <f t="shared" si="2"/>
        <v>443.51999999999981</v>
      </c>
      <c r="G7" s="675">
        <f>VLOOKUP(L7,'Function-Grant'!C:AN,3,FALSE)</f>
        <v>443.51999999999981</v>
      </c>
      <c r="H7" s="272" t="s">
        <v>312</v>
      </c>
      <c r="J7" s="277" t="s">
        <v>259</v>
      </c>
      <c r="K7" s="677" t="str">
        <f t="shared" si="3"/>
        <v>0000</v>
      </c>
      <c r="L7" s="677">
        <v>1191</v>
      </c>
      <c r="M7" s="677" t="str">
        <f t="shared" si="0"/>
        <v>000</v>
      </c>
      <c r="N7" s="277" t="s">
        <v>614</v>
      </c>
    </row>
    <row r="8" spans="1:14" x14ac:dyDescent="0.2">
      <c r="A8" s="271" t="s">
        <v>250</v>
      </c>
      <c r="B8" s="271" t="s">
        <v>311</v>
      </c>
      <c r="C8" s="271" t="s">
        <v>312</v>
      </c>
      <c r="D8" s="676" t="str">
        <f t="shared" si="1"/>
        <v>100-000-0000-1192-000-00-06</v>
      </c>
      <c r="E8" s="273" t="s">
        <v>148</v>
      </c>
      <c r="F8" s="676">
        <f t="shared" si="2"/>
        <v>13749.12</v>
      </c>
      <c r="G8" s="675">
        <f>VLOOKUP(L8,'Function-Grant'!C:AN,3,FALSE)</f>
        <v>13749.12</v>
      </c>
      <c r="H8" s="272" t="s">
        <v>312</v>
      </c>
      <c r="J8" s="277" t="s">
        <v>259</v>
      </c>
      <c r="K8" s="677" t="str">
        <f t="shared" si="3"/>
        <v>0000</v>
      </c>
      <c r="L8" s="677">
        <v>1192</v>
      </c>
      <c r="M8" s="677" t="str">
        <f t="shared" si="0"/>
        <v>000</v>
      </c>
      <c r="N8" s="277" t="s">
        <v>614</v>
      </c>
    </row>
    <row r="9" spans="1:14" x14ac:dyDescent="0.2">
      <c r="A9" s="271" t="s">
        <v>250</v>
      </c>
      <c r="B9" s="271" t="s">
        <v>311</v>
      </c>
      <c r="C9" s="271" t="s">
        <v>312</v>
      </c>
      <c r="D9" s="676" t="str">
        <f t="shared" si="1"/>
        <v>100-000-0000-1790-000-00-06</v>
      </c>
      <c r="E9" s="273" t="s">
        <v>148</v>
      </c>
      <c r="F9" s="676">
        <f t="shared" si="2"/>
        <v>0</v>
      </c>
      <c r="G9" s="675">
        <f>VLOOKUP(L9,'Function-Grant'!C:AN,3,FALSE)</f>
        <v>0</v>
      </c>
      <c r="H9" s="272" t="s">
        <v>312</v>
      </c>
      <c r="J9" s="277" t="s">
        <v>259</v>
      </c>
      <c r="K9" s="677" t="str">
        <f t="shared" si="3"/>
        <v>0000</v>
      </c>
      <c r="L9" s="677">
        <v>1790</v>
      </c>
      <c r="M9" s="677" t="str">
        <f t="shared" si="0"/>
        <v>000</v>
      </c>
      <c r="N9" s="277" t="s">
        <v>614</v>
      </c>
    </row>
    <row r="10" spans="1:14" x14ac:dyDescent="0.2">
      <c r="A10" s="271" t="s">
        <v>250</v>
      </c>
      <c r="B10" s="271" t="s">
        <v>311</v>
      </c>
      <c r="C10" s="271" t="s">
        <v>312</v>
      </c>
      <c r="D10" s="676" t="str">
        <f t="shared" si="1"/>
        <v>100-000-0000-3110-000-00-06</v>
      </c>
      <c r="E10" s="273" t="s">
        <v>148</v>
      </c>
      <c r="F10" s="676">
        <f t="shared" si="2"/>
        <v>183617.28</v>
      </c>
      <c r="G10" s="675">
        <f>VLOOKUP(L10,'Function-Grant'!C:AN,3,FALSE)</f>
        <v>183617.28</v>
      </c>
      <c r="H10" s="272" t="s">
        <v>312</v>
      </c>
      <c r="J10" s="277" t="s">
        <v>259</v>
      </c>
      <c r="K10" s="677" t="str">
        <f t="shared" si="3"/>
        <v>0000</v>
      </c>
      <c r="L10" s="677">
        <v>3110</v>
      </c>
      <c r="M10" s="677" t="str">
        <f t="shared" si="0"/>
        <v>000</v>
      </c>
      <c r="N10" s="277" t="s">
        <v>614</v>
      </c>
    </row>
    <row r="11" spans="1:14" x14ac:dyDescent="0.2">
      <c r="A11" s="271" t="s">
        <v>250</v>
      </c>
      <c r="B11" s="271" t="s">
        <v>311</v>
      </c>
      <c r="C11" s="271" t="s">
        <v>312</v>
      </c>
      <c r="D11" s="676" t="str">
        <f t="shared" si="1"/>
        <v>100-000-0000-3115-000-00-06</v>
      </c>
      <c r="E11" s="273" t="s">
        <v>148</v>
      </c>
      <c r="F11" s="676">
        <f t="shared" si="2"/>
        <v>0</v>
      </c>
      <c r="G11" s="675">
        <f>VLOOKUP(L11,'Function-Grant'!C:AN,3,FALSE)</f>
        <v>0</v>
      </c>
      <c r="H11" s="272" t="s">
        <v>312</v>
      </c>
      <c r="J11" s="277" t="s">
        <v>259</v>
      </c>
      <c r="K11" s="677" t="str">
        <f t="shared" si="3"/>
        <v>0000</v>
      </c>
      <c r="L11" s="677">
        <v>3115</v>
      </c>
      <c r="M11" s="677" t="str">
        <f t="shared" si="0"/>
        <v>000</v>
      </c>
      <c r="N11" s="277" t="s">
        <v>614</v>
      </c>
    </row>
    <row r="12" spans="1:14" x14ac:dyDescent="0.2">
      <c r="A12" s="271" t="s">
        <v>250</v>
      </c>
      <c r="B12" s="271" t="s">
        <v>311</v>
      </c>
      <c r="C12" s="271" t="s">
        <v>312</v>
      </c>
      <c r="D12" s="676" t="str">
        <f t="shared" si="1"/>
        <v>100-000-0000-3200-000-00-06</v>
      </c>
      <c r="E12" s="273" t="s">
        <v>148</v>
      </c>
      <c r="F12" s="676">
        <f t="shared" si="2"/>
        <v>0</v>
      </c>
      <c r="G12" s="675">
        <f>VLOOKUP(L12,'Function-Grant'!C:AN,3,FALSE)</f>
        <v>0</v>
      </c>
      <c r="H12" s="272" t="s">
        <v>312</v>
      </c>
      <c r="J12" s="277" t="s">
        <v>259</v>
      </c>
      <c r="K12" s="677" t="str">
        <f t="shared" si="3"/>
        <v>0000</v>
      </c>
      <c r="L12" s="677">
        <v>3200</v>
      </c>
      <c r="M12" s="677" t="str">
        <f t="shared" si="0"/>
        <v>000</v>
      </c>
      <c r="N12" s="277" t="s">
        <v>614</v>
      </c>
    </row>
    <row r="13" spans="1:14" x14ac:dyDescent="0.2">
      <c r="A13" s="271" t="s">
        <v>250</v>
      </c>
      <c r="B13" s="271" t="s">
        <v>311</v>
      </c>
      <c r="C13" s="271" t="s">
        <v>312</v>
      </c>
      <c r="D13" s="676" t="str">
        <f t="shared" si="1"/>
        <v>100-000-0000-3200-294-00-06</v>
      </c>
      <c r="E13" s="273" t="s">
        <v>148</v>
      </c>
      <c r="F13" s="676">
        <f t="shared" si="2"/>
        <v>0</v>
      </c>
      <c r="G13" s="675">
        <f>VLOOKUP(L13,'Function-Grant'!C:AN,3,FALSE)</f>
        <v>0</v>
      </c>
      <c r="H13" s="272" t="s">
        <v>312</v>
      </c>
      <c r="J13" s="277" t="s">
        <v>615</v>
      </c>
      <c r="K13" s="677" t="str">
        <f t="shared" si="3"/>
        <v>0000</v>
      </c>
      <c r="L13" s="677">
        <v>3200</v>
      </c>
      <c r="M13" s="677" t="str">
        <f t="shared" si="0"/>
        <v>294</v>
      </c>
      <c r="N13" s="277" t="s">
        <v>614</v>
      </c>
    </row>
    <row r="14" spans="1:14" x14ac:dyDescent="0.2">
      <c r="A14" s="271" t="s">
        <v>250</v>
      </c>
      <c r="B14" s="271" t="s">
        <v>311</v>
      </c>
      <c r="C14" s="271" t="s">
        <v>312</v>
      </c>
      <c r="D14" s="676" t="str">
        <f t="shared" si="1"/>
        <v>100-000-0000-3200-325-00-06</v>
      </c>
      <c r="E14" s="273" t="s">
        <v>148</v>
      </c>
      <c r="F14" s="676">
        <f t="shared" si="2"/>
        <v>192</v>
      </c>
      <c r="G14" s="675">
        <f>VLOOKUP(L14,'Function-Grant'!C:AN,23,FALSE)</f>
        <v>192</v>
      </c>
      <c r="H14" s="272" t="s">
        <v>312</v>
      </c>
      <c r="J14" s="277" t="s">
        <v>278</v>
      </c>
      <c r="K14" s="677" t="str">
        <f t="shared" si="3"/>
        <v>0000</v>
      </c>
      <c r="L14" s="677">
        <v>3200</v>
      </c>
      <c r="M14" s="677" t="str">
        <f t="shared" si="0"/>
        <v>325</v>
      </c>
      <c r="N14" s="277" t="s">
        <v>614</v>
      </c>
    </row>
    <row r="15" spans="1:14" x14ac:dyDescent="0.2">
      <c r="A15" s="271" t="s">
        <v>250</v>
      </c>
      <c r="B15" s="271" t="s">
        <v>311</v>
      </c>
      <c r="C15" s="271" t="s">
        <v>312</v>
      </c>
      <c r="D15" s="676" t="str">
        <f t="shared" si="1"/>
        <v>100-000-0000-3200-352-00-06</v>
      </c>
      <c r="E15" s="273" t="s">
        <v>148</v>
      </c>
      <c r="F15" s="676">
        <f t="shared" si="2"/>
        <v>51000</v>
      </c>
      <c r="G15" s="675">
        <f>VLOOKUP(L15,'Function-Grant'!C:AN,25,FALSE)</f>
        <v>51000</v>
      </c>
      <c r="H15" s="272" t="s">
        <v>312</v>
      </c>
      <c r="J15" s="277" t="s">
        <v>280</v>
      </c>
      <c r="K15" s="677" t="str">
        <f t="shared" si="3"/>
        <v>0000</v>
      </c>
      <c r="L15" s="677">
        <v>3200</v>
      </c>
      <c r="M15" s="677" t="str">
        <f t="shared" si="0"/>
        <v>352</v>
      </c>
      <c r="N15" s="277" t="s">
        <v>614</v>
      </c>
    </row>
    <row r="16" spans="1:14" x14ac:dyDescent="0.2">
      <c r="A16" s="271" t="s">
        <v>250</v>
      </c>
      <c r="B16" s="271" t="s">
        <v>311</v>
      </c>
      <c r="C16" s="271" t="s">
        <v>312</v>
      </c>
      <c r="D16" s="676" t="str">
        <f t="shared" si="1"/>
        <v>100-000-0000-3200-390-00-06</v>
      </c>
      <c r="E16" s="273" t="s">
        <v>148</v>
      </c>
      <c r="F16" s="676">
        <f>IFERROR(G16,0)</f>
        <v>0</v>
      </c>
      <c r="G16" s="675">
        <f>VLOOKUP(L16,'Function-Grant'!C:AN,3,FALSE)</f>
        <v>0</v>
      </c>
      <c r="H16" s="272" t="s">
        <v>312</v>
      </c>
      <c r="J16" s="277" t="s">
        <v>616</v>
      </c>
      <c r="K16" s="677" t="str">
        <f t="shared" si="3"/>
        <v>0000</v>
      </c>
      <c r="L16" s="677">
        <v>3200</v>
      </c>
      <c r="M16" s="677" t="str">
        <f t="shared" si="0"/>
        <v>390</v>
      </c>
      <c r="N16" s="277" t="s">
        <v>614</v>
      </c>
    </row>
    <row r="17" spans="1:14" x14ac:dyDescent="0.2">
      <c r="A17" s="271" t="s">
        <v>250</v>
      </c>
      <c r="B17" s="271" t="s">
        <v>311</v>
      </c>
      <c r="C17" s="271" t="s">
        <v>312</v>
      </c>
      <c r="D17" s="676" t="str">
        <f t="shared" si="1"/>
        <v>100-000-0000-4500-000-00-06</v>
      </c>
      <c r="E17" s="273" t="s">
        <v>148</v>
      </c>
      <c r="F17" s="676">
        <f t="shared" si="2"/>
        <v>0</v>
      </c>
      <c r="G17" s="675">
        <f>VLOOKUP(L17,'Function-Grant'!C:AN,3,FALSE)</f>
        <v>0</v>
      </c>
      <c r="H17" s="272" t="s">
        <v>312</v>
      </c>
      <c r="J17" s="277" t="s">
        <v>259</v>
      </c>
      <c r="K17" s="677" t="str">
        <f t="shared" si="3"/>
        <v>0000</v>
      </c>
      <c r="L17" s="677">
        <v>4500</v>
      </c>
      <c r="M17" s="677" t="str">
        <f t="shared" si="0"/>
        <v>000</v>
      </c>
      <c r="N17" s="277" t="s">
        <v>614</v>
      </c>
    </row>
    <row r="18" spans="1:14" x14ac:dyDescent="0.2">
      <c r="A18" s="271" t="s">
        <v>250</v>
      </c>
      <c r="B18" s="271" t="s">
        <v>311</v>
      </c>
      <c r="C18" s="271" t="s">
        <v>312</v>
      </c>
      <c r="D18" s="676" t="str">
        <f t="shared" si="1"/>
        <v>100-000-0000-4500-633-00-06</v>
      </c>
      <c r="E18" s="273" t="s">
        <v>148</v>
      </c>
      <c r="F18" s="676">
        <f t="shared" si="2"/>
        <v>0</v>
      </c>
      <c r="G18" s="675">
        <f>VLOOKUP(L18,'Function-Grant'!C:AN,3,FALSE)</f>
        <v>0</v>
      </c>
      <c r="H18" s="272" t="s">
        <v>312</v>
      </c>
      <c r="J18" s="277" t="s">
        <v>617</v>
      </c>
      <c r="K18" s="677" t="str">
        <f t="shared" si="3"/>
        <v>0000</v>
      </c>
      <c r="L18" s="677">
        <v>4500</v>
      </c>
      <c r="M18" s="677" t="str">
        <f t="shared" si="0"/>
        <v>633</v>
      </c>
      <c r="N18" s="277" t="s">
        <v>614</v>
      </c>
    </row>
    <row r="19" spans="1:14" x14ac:dyDescent="0.2">
      <c r="A19" s="271" t="s">
        <v>250</v>
      </c>
      <c r="B19" s="271" t="s">
        <v>311</v>
      </c>
      <c r="C19" s="271" t="s">
        <v>312</v>
      </c>
      <c r="D19" s="676" t="str">
        <f t="shared" si="1"/>
        <v>100-000-0000-4571-000-00-06</v>
      </c>
      <c r="E19" s="273" t="s">
        <v>148</v>
      </c>
      <c r="F19" s="676">
        <f t="shared" si="2"/>
        <v>0</v>
      </c>
      <c r="G19" s="675">
        <f>VLOOKUP(L19,'Function-Grant'!C:AN,3,FALSE)</f>
        <v>0</v>
      </c>
      <c r="H19" s="272" t="s">
        <v>312</v>
      </c>
      <c r="J19" s="277" t="s">
        <v>259</v>
      </c>
      <c r="K19" s="677" t="str">
        <f t="shared" si="3"/>
        <v>0000</v>
      </c>
      <c r="L19" s="677">
        <v>4571</v>
      </c>
      <c r="M19" s="677" t="str">
        <f t="shared" si="0"/>
        <v>000</v>
      </c>
      <c r="N19" s="277" t="s">
        <v>614</v>
      </c>
    </row>
    <row r="20" spans="1:14" x14ac:dyDescent="0.2">
      <c r="A20" s="271" t="s">
        <v>250</v>
      </c>
      <c r="B20" s="271" t="s">
        <v>311</v>
      </c>
      <c r="C20" s="271" t="s">
        <v>312</v>
      </c>
      <c r="D20" s="676" t="str">
        <f t="shared" si="1"/>
        <v>100-000-0000-4703-000-00-06</v>
      </c>
      <c r="E20" s="273" t="s">
        <v>148</v>
      </c>
      <c r="F20" s="676">
        <f t="shared" si="2"/>
        <v>0</v>
      </c>
      <c r="G20" s="675">
        <f>VLOOKUP(L20,'Function-Grant'!C:AN,3,FALSE)</f>
        <v>0</v>
      </c>
      <c r="H20" s="272" t="s">
        <v>312</v>
      </c>
      <c r="J20" s="277" t="s">
        <v>259</v>
      </c>
      <c r="K20" s="677" t="str">
        <f t="shared" si="3"/>
        <v>0000</v>
      </c>
      <c r="L20" s="677">
        <v>4703</v>
      </c>
      <c r="M20" s="677" t="str">
        <f t="shared" si="0"/>
        <v>000</v>
      </c>
      <c r="N20" s="277" t="s">
        <v>614</v>
      </c>
    </row>
    <row r="21" spans="1:14" x14ac:dyDescent="0.2">
      <c r="A21" s="271" t="s">
        <v>250</v>
      </c>
      <c r="B21" s="271" t="s">
        <v>311</v>
      </c>
      <c r="C21" s="271" t="s">
        <v>312</v>
      </c>
      <c r="D21" s="676" t="str">
        <f>CONCATENATE("100-100-",K21,"-",L21,"-",M21,"-",N21)</f>
        <v>100-100-1000--000-32-06</v>
      </c>
      <c r="G21" s="675"/>
      <c r="H21" s="272" t="s">
        <v>312</v>
      </c>
      <c r="J21" s="277" t="s">
        <v>260</v>
      </c>
      <c r="K21" s="677" t="str">
        <f t="shared" si="3"/>
        <v>1000</v>
      </c>
      <c r="L21" s="677"/>
      <c r="M21" s="677" t="str">
        <f t="shared" si="0"/>
        <v>000</v>
      </c>
      <c r="N21" s="277" t="s">
        <v>618</v>
      </c>
    </row>
    <row r="22" spans="1:14" x14ac:dyDescent="0.2">
      <c r="A22" s="271" t="s">
        <v>250</v>
      </c>
      <c r="B22" s="271" t="s">
        <v>311</v>
      </c>
      <c r="C22" s="271" t="s">
        <v>312</v>
      </c>
      <c r="D22" s="676" t="str">
        <f t="shared" ref="D22:D86" si="4">CONCATENATE("100-100-",K22,"-",L22,"-",M22,"-",N22)</f>
        <v>100-100-1000-6111-000-32-06</v>
      </c>
      <c r="E22" s="271" t="s">
        <v>313</v>
      </c>
      <c r="F22" s="676">
        <f t="shared" si="2"/>
        <v>70273.646999999997</v>
      </c>
      <c r="G22" s="675">
        <f>VLOOKUP(L22,'Function-Grant'!C:AN,4,FALSE)</f>
        <v>70273.646999999997</v>
      </c>
      <c r="H22" s="272" t="s">
        <v>312</v>
      </c>
      <c r="J22" s="277" t="s">
        <v>260</v>
      </c>
      <c r="K22" s="677" t="str">
        <f t="shared" si="3"/>
        <v>1000</v>
      </c>
      <c r="L22" s="677">
        <v>6111</v>
      </c>
      <c r="M22" s="677" t="str">
        <f t="shared" si="0"/>
        <v>000</v>
      </c>
      <c r="N22" s="277" t="s">
        <v>618</v>
      </c>
    </row>
    <row r="23" spans="1:14" x14ac:dyDescent="0.2">
      <c r="A23" s="271" t="s">
        <v>250</v>
      </c>
      <c r="B23" s="271" t="s">
        <v>311</v>
      </c>
      <c r="C23" s="271" t="s">
        <v>312</v>
      </c>
      <c r="D23" s="676" t="str">
        <f t="shared" si="4"/>
        <v>100-100-1000-6151-000-32-06</v>
      </c>
      <c r="E23" s="271" t="s">
        <v>313</v>
      </c>
      <c r="F23" s="676">
        <f t="shared" si="2"/>
        <v>4200</v>
      </c>
      <c r="G23" s="675">
        <f>VLOOKUP(L23,'Function-Grant'!C:AN,4,FALSE)</f>
        <v>4200</v>
      </c>
      <c r="H23" s="272" t="s">
        <v>312</v>
      </c>
      <c r="J23" s="277" t="s">
        <v>260</v>
      </c>
      <c r="K23" s="677" t="str">
        <f t="shared" si="3"/>
        <v>1000</v>
      </c>
      <c r="L23" s="677">
        <v>6151</v>
      </c>
      <c r="M23" s="677" t="str">
        <f t="shared" si="0"/>
        <v>000</v>
      </c>
      <c r="N23" s="277" t="s">
        <v>618</v>
      </c>
    </row>
    <row r="24" spans="1:14" x14ac:dyDescent="0.2">
      <c r="A24" s="271" t="s">
        <v>250</v>
      </c>
      <c r="B24" s="271" t="s">
        <v>311</v>
      </c>
      <c r="C24" s="271" t="s">
        <v>312</v>
      </c>
      <c r="D24" s="676" t="str">
        <f t="shared" si="4"/>
        <v>100-100-1000-6161-000-32-06</v>
      </c>
      <c r="E24" s="271" t="s">
        <v>313</v>
      </c>
      <c r="F24" s="676">
        <f t="shared" si="2"/>
        <v>0</v>
      </c>
      <c r="G24" s="675">
        <f>VLOOKUP(L24,'Function-Grant'!C:AN,4,FALSE)</f>
        <v>0</v>
      </c>
      <c r="H24" s="272" t="s">
        <v>312</v>
      </c>
      <c r="J24" s="277" t="s">
        <v>260</v>
      </c>
      <c r="K24" s="677" t="str">
        <f t="shared" si="3"/>
        <v>1000</v>
      </c>
      <c r="L24" s="677">
        <v>6161</v>
      </c>
      <c r="M24" s="677" t="str">
        <f t="shared" si="0"/>
        <v>000</v>
      </c>
      <c r="N24" s="277" t="s">
        <v>618</v>
      </c>
    </row>
    <row r="25" spans="1:14" x14ac:dyDescent="0.2">
      <c r="A25" s="271" t="s">
        <v>250</v>
      </c>
      <c r="B25" s="271" t="s">
        <v>311</v>
      </c>
      <c r="C25" s="271" t="s">
        <v>312</v>
      </c>
      <c r="D25" s="676" t="str">
        <f t="shared" si="4"/>
        <v>100-100-1000-6161-633-32-06</v>
      </c>
      <c r="E25" s="271" t="s">
        <v>313</v>
      </c>
      <c r="F25" s="676">
        <f t="shared" si="2"/>
        <v>0</v>
      </c>
      <c r="G25" s="675">
        <f>VLOOKUP(L25,'Function-Grant'!C:AN,4,FALSE)</f>
        <v>0</v>
      </c>
      <c r="H25" s="272" t="s">
        <v>312</v>
      </c>
      <c r="J25" s="277" t="s">
        <v>566</v>
      </c>
      <c r="K25" s="677" t="str">
        <f t="shared" si="3"/>
        <v>1000</v>
      </c>
      <c r="L25" s="677">
        <v>6161</v>
      </c>
      <c r="M25" s="677" t="str">
        <f t="shared" si="0"/>
        <v>633</v>
      </c>
      <c r="N25" s="277" t="s">
        <v>618</v>
      </c>
    </row>
    <row r="26" spans="1:14" x14ac:dyDescent="0.2">
      <c r="A26" s="271" t="s">
        <v>250</v>
      </c>
      <c r="B26" s="271" t="s">
        <v>311</v>
      </c>
      <c r="C26" s="271" t="s">
        <v>312</v>
      </c>
      <c r="D26" s="676" t="str">
        <f t="shared" si="4"/>
        <v>100-100-1000-6211-000-32-06</v>
      </c>
      <c r="E26" s="271" t="s">
        <v>313</v>
      </c>
      <c r="F26" s="676">
        <f t="shared" si="2"/>
        <v>444</v>
      </c>
      <c r="G26" s="675">
        <f>VLOOKUP(L26,'Function-Grant'!C:AN,4,FALSE)</f>
        <v>444</v>
      </c>
      <c r="H26" s="272" t="s">
        <v>312</v>
      </c>
      <c r="J26" s="277" t="s">
        <v>260</v>
      </c>
      <c r="K26" s="677" t="str">
        <f t="shared" si="3"/>
        <v>1000</v>
      </c>
      <c r="L26" s="677">
        <v>6211</v>
      </c>
      <c r="M26" s="677" t="str">
        <f t="shared" si="0"/>
        <v>000</v>
      </c>
      <c r="N26" s="277" t="s">
        <v>618</v>
      </c>
    </row>
    <row r="27" spans="1:14" x14ac:dyDescent="0.2">
      <c r="A27" s="271" t="s">
        <v>250</v>
      </c>
      <c r="B27" s="271" t="s">
        <v>311</v>
      </c>
      <c r="C27" s="271" t="s">
        <v>312</v>
      </c>
      <c r="D27" s="676" t="str">
        <f t="shared" si="4"/>
        <v>100-100-1000-6231-000-32-06</v>
      </c>
      <c r="E27" s="271" t="s">
        <v>313</v>
      </c>
      <c r="F27" s="676">
        <f t="shared" si="2"/>
        <v>10716.731167500002</v>
      </c>
      <c r="G27" s="675">
        <f>VLOOKUP(L27,'Function-Grant'!C:AN,4,FALSE)</f>
        <v>10716.731167500002</v>
      </c>
      <c r="H27" s="272" t="s">
        <v>312</v>
      </c>
      <c r="J27" s="277" t="s">
        <v>260</v>
      </c>
      <c r="K27" s="677" t="str">
        <f t="shared" si="3"/>
        <v>1000</v>
      </c>
      <c r="L27" s="677">
        <v>6231</v>
      </c>
      <c r="M27" s="677" t="str">
        <f t="shared" si="0"/>
        <v>000</v>
      </c>
      <c r="N27" s="277" t="s">
        <v>618</v>
      </c>
    </row>
    <row r="28" spans="1:14" x14ac:dyDescent="0.2">
      <c r="A28" s="271" t="s">
        <v>250</v>
      </c>
      <c r="B28" s="271" t="s">
        <v>311</v>
      </c>
      <c r="C28" s="271" t="s">
        <v>312</v>
      </c>
      <c r="D28" s="676" t="str">
        <f t="shared" si="4"/>
        <v>100-100-1000-6241-000-32-06</v>
      </c>
      <c r="E28" s="271" t="s">
        <v>313</v>
      </c>
      <c r="F28" s="676">
        <f t="shared" si="2"/>
        <v>1079.8678815000003</v>
      </c>
      <c r="G28" s="675">
        <f>VLOOKUP(L28,'Function-Grant'!C:AN,4,FALSE)</f>
        <v>1079.8678815000003</v>
      </c>
      <c r="H28" s="272" t="s">
        <v>312</v>
      </c>
      <c r="J28" s="277" t="s">
        <v>260</v>
      </c>
      <c r="K28" s="677" t="str">
        <f t="shared" si="3"/>
        <v>1000</v>
      </c>
      <c r="L28" s="677">
        <v>6241</v>
      </c>
      <c r="M28" s="677" t="str">
        <f t="shared" si="0"/>
        <v>000</v>
      </c>
      <c r="N28" s="277" t="s">
        <v>618</v>
      </c>
    </row>
    <row r="29" spans="1:14" x14ac:dyDescent="0.2">
      <c r="A29" s="271" t="s">
        <v>250</v>
      </c>
      <c r="B29" s="271" t="s">
        <v>311</v>
      </c>
      <c r="C29" s="271" t="s">
        <v>312</v>
      </c>
      <c r="D29" s="676" t="str">
        <f t="shared" si="4"/>
        <v>100-100-1000-6261-000-32-06</v>
      </c>
      <c r="E29" s="271" t="s">
        <v>313</v>
      </c>
      <c r="F29" s="676">
        <f t="shared" si="2"/>
        <v>936</v>
      </c>
      <c r="G29" s="675">
        <f>VLOOKUP(L29,'Function-Grant'!C:AN,4,FALSE)</f>
        <v>936</v>
      </c>
      <c r="H29" s="272" t="s">
        <v>312</v>
      </c>
      <c r="J29" s="277" t="s">
        <v>260</v>
      </c>
      <c r="K29" s="677" t="str">
        <f t="shared" si="3"/>
        <v>1000</v>
      </c>
      <c r="L29" s="677">
        <v>6261</v>
      </c>
      <c r="M29" s="677" t="str">
        <f t="shared" si="0"/>
        <v>000</v>
      </c>
      <c r="N29" s="277" t="s">
        <v>618</v>
      </c>
    </row>
    <row r="30" spans="1:14" x14ac:dyDescent="0.2">
      <c r="A30" s="271" t="s">
        <v>250</v>
      </c>
      <c r="B30" s="271" t="s">
        <v>311</v>
      </c>
      <c r="C30" s="271" t="s">
        <v>312</v>
      </c>
      <c r="D30" s="676" t="str">
        <f t="shared" si="4"/>
        <v>100-100-1000-6271-000-32-06</v>
      </c>
      <c r="E30" s="271" t="s">
        <v>313</v>
      </c>
      <c r="F30" s="676">
        <f t="shared" si="2"/>
        <v>484.07870550000001</v>
      </c>
      <c r="G30" s="675">
        <f>VLOOKUP(L30,'Function-Grant'!C:AN,4,FALSE)</f>
        <v>484.07870550000001</v>
      </c>
      <c r="H30" s="272" t="s">
        <v>312</v>
      </c>
      <c r="J30" s="277" t="s">
        <v>260</v>
      </c>
      <c r="K30" s="677" t="str">
        <f t="shared" si="3"/>
        <v>1000</v>
      </c>
      <c r="L30" s="677">
        <v>6271</v>
      </c>
      <c r="M30" s="677" t="str">
        <f t="shared" si="0"/>
        <v>000</v>
      </c>
      <c r="N30" s="277" t="s">
        <v>618</v>
      </c>
    </row>
    <row r="31" spans="1:14" x14ac:dyDescent="0.2">
      <c r="A31" s="271" t="s">
        <v>250</v>
      </c>
      <c r="B31" s="271" t="s">
        <v>311</v>
      </c>
      <c r="C31" s="271" t="s">
        <v>312</v>
      </c>
      <c r="D31" s="676" t="str">
        <f t="shared" si="4"/>
        <v>100-100-1000-6281-000-32-06</v>
      </c>
      <c r="E31" s="271" t="s">
        <v>313</v>
      </c>
      <c r="F31" s="676">
        <f t="shared" si="2"/>
        <v>4860</v>
      </c>
      <c r="G31" s="675">
        <f>VLOOKUP(L31,'Function-Grant'!C:AN,4,FALSE)</f>
        <v>4860</v>
      </c>
      <c r="H31" s="272" t="s">
        <v>312</v>
      </c>
      <c r="J31" s="277" t="s">
        <v>260</v>
      </c>
      <c r="K31" s="677" t="str">
        <f t="shared" si="3"/>
        <v>1000</v>
      </c>
      <c r="L31" s="677">
        <v>6281</v>
      </c>
      <c r="M31" s="677" t="str">
        <f t="shared" si="0"/>
        <v>000</v>
      </c>
      <c r="N31" s="277" t="s">
        <v>618</v>
      </c>
    </row>
    <row r="32" spans="1:14" x14ac:dyDescent="0.2">
      <c r="A32" s="271" t="s">
        <v>250</v>
      </c>
      <c r="B32" s="271" t="s">
        <v>311</v>
      </c>
      <c r="C32" s="271" t="s">
        <v>312</v>
      </c>
      <c r="D32" s="676" t="str">
        <f t="shared" si="4"/>
        <v>100-100-1000-6300-000-32-06</v>
      </c>
      <c r="E32" s="271" t="s">
        <v>313</v>
      </c>
      <c r="F32" s="676">
        <f t="shared" si="2"/>
        <v>264</v>
      </c>
      <c r="G32" s="675">
        <f>VLOOKUP(L32,'Function-Grant'!C:AN,4,FALSE)</f>
        <v>264</v>
      </c>
      <c r="H32" s="272" t="s">
        <v>312</v>
      </c>
      <c r="J32" s="277" t="s">
        <v>260</v>
      </c>
      <c r="K32" s="677" t="str">
        <f t="shared" si="3"/>
        <v>1000</v>
      </c>
      <c r="L32" s="677">
        <v>6300</v>
      </c>
      <c r="M32" s="677" t="str">
        <f t="shared" si="0"/>
        <v>000</v>
      </c>
      <c r="N32" s="277" t="s">
        <v>618</v>
      </c>
    </row>
    <row r="33" spans="1:14" x14ac:dyDescent="0.2">
      <c r="A33" s="271" t="s">
        <v>250</v>
      </c>
      <c r="B33" s="271" t="s">
        <v>311</v>
      </c>
      <c r="C33" s="271" t="s">
        <v>312</v>
      </c>
      <c r="D33" s="676" t="str">
        <f t="shared" si="4"/>
        <v>100-100-1000-6331-000-32-06</v>
      </c>
      <c r="E33" s="271" t="s">
        <v>313</v>
      </c>
      <c r="F33" s="676">
        <f t="shared" si="2"/>
        <v>500</v>
      </c>
      <c r="G33" s="675">
        <f>VLOOKUP(L33,'Function-Grant'!C:AN,4,FALSE)</f>
        <v>500</v>
      </c>
      <c r="H33" s="272" t="s">
        <v>312</v>
      </c>
      <c r="J33" s="277" t="s">
        <v>260</v>
      </c>
      <c r="K33" s="677" t="str">
        <f t="shared" si="3"/>
        <v>1000</v>
      </c>
      <c r="L33" s="677">
        <v>6331</v>
      </c>
      <c r="M33" s="677" t="str">
        <f t="shared" si="0"/>
        <v>000</v>
      </c>
      <c r="N33" s="277" t="s">
        <v>618</v>
      </c>
    </row>
    <row r="34" spans="1:14" x14ac:dyDescent="0.2">
      <c r="A34" s="271" t="s">
        <v>250</v>
      </c>
      <c r="B34" s="271" t="s">
        <v>311</v>
      </c>
      <c r="C34" s="271" t="s">
        <v>312</v>
      </c>
      <c r="D34" s="676" t="str">
        <f t="shared" si="4"/>
        <v>100-100-1000-6441-000-32-06</v>
      </c>
      <c r="E34" s="271" t="s">
        <v>313</v>
      </c>
      <c r="F34" s="676">
        <f t="shared" si="2"/>
        <v>1000</v>
      </c>
      <c r="G34" s="675">
        <f>VLOOKUP(L34,'Function-Grant'!C:AN,4,FALSE)</f>
        <v>1000</v>
      </c>
      <c r="H34" s="272" t="s">
        <v>312</v>
      </c>
      <c r="J34" s="277" t="s">
        <v>260</v>
      </c>
      <c r="K34" s="677" t="str">
        <f t="shared" si="3"/>
        <v>1000</v>
      </c>
      <c r="L34" s="677">
        <v>6441</v>
      </c>
      <c r="M34" s="677" t="str">
        <f t="shared" si="0"/>
        <v>000</v>
      </c>
      <c r="N34" s="277" t="s">
        <v>618</v>
      </c>
    </row>
    <row r="35" spans="1:14" x14ac:dyDescent="0.2">
      <c r="A35" s="271" t="s">
        <v>250</v>
      </c>
      <c r="B35" s="271" t="s">
        <v>311</v>
      </c>
      <c r="C35" s="271" t="s">
        <v>312</v>
      </c>
      <c r="D35" s="676" t="str">
        <f t="shared" si="4"/>
        <v>100-100-1000-6522-000-32-06</v>
      </c>
      <c r="E35" s="271" t="s">
        <v>313</v>
      </c>
      <c r="F35" s="676">
        <f t="shared" si="2"/>
        <v>0</v>
      </c>
      <c r="G35" s="675">
        <f>VLOOKUP(L35,'Function-Grant'!C:AN,4,FALSE)</f>
        <v>0</v>
      </c>
      <c r="H35" s="272" t="s">
        <v>312</v>
      </c>
      <c r="J35" s="277" t="s">
        <v>260</v>
      </c>
      <c r="K35" s="677" t="str">
        <f t="shared" si="3"/>
        <v>1000</v>
      </c>
      <c r="L35" s="677">
        <v>6522</v>
      </c>
      <c r="M35" s="677" t="str">
        <f t="shared" si="0"/>
        <v>000</v>
      </c>
      <c r="N35" s="277" t="s">
        <v>618</v>
      </c>
    </row>
    <row r="36" spans="1:14" x14ac:dyDescent="0.2">
      <c r="A36" s="271" t="s">
        <v>250</v>
      </c>
      <c r="B36" s="271" t="s">
        <v>311</v>
      </c>
      <c r="C36" s="271" t="s">
        <v>312</v>
      </c>
      <c r="D36" s="676" t="str">
        <f t="shared" si="4"/>
        <v>100-100-1000-6535-000-32-06</v>
      </c>
      <c r="E36" s="271" t="s">
        <v>313</v>
      </c>
      <c r="F36" s="676">
        <f t="shared" si="2"/>
        <v>0</v>
      </c>
      <c r="G36" s="675">
        <f>VLOOKUP(L36,'Function-Grant'!C:AN,4,FALSE)</f>
        <v>0</v>
      </c>
      <c r="H36" s="272" t="s">
        <v>312</v>
      </c>
      <c r="J36" s="277" t="s">
        <v>260</v>
      </c>
      <c r="K36" s="677" t="str">
        <f t="shared" si="3"/>
        <v>1000</v>
      </c>
      <c r="L36" s="677">
        <v>6535</v>
      </c>
      <c r="M36" s="677" t="str">
        <f t="shared" si="0"/>
        <v>000</v>
      </c>
      <c r="N36" s="277" t="s">
        <v>618</v>
      </c>
    </row>
    <row r="37" spans="1:14" x14ac:dyDescent="0.2">
      <c r="A37" s="271" t="s">
        <v>250</v>
      </c>
      <c r="B37" s="271" t="s">
        <v>311</v>
      </c>
      <c r="C37" s="271" t="s">
        <v>312</v>
      </c>
      <c r="D37" s="676" t="str">
        <f t="shared" si="4"/>
        <v>100-100-1000-6568-352-32-06</v>
      </c>
      <c r="E37" s="271" t="s">
        <v>313</v>
      </c>
      <c r="F37" s="676">
        <f t="shared" si="2"/>
        <v>0</v>
      </c>
      <c r="G37" s="675">
        <f>VLOOKUP(L37,'Function-Grant'!C:AN,4,FALSE)</f>
        <v>0</v>
      </c>
      <c r="H37" s="272" t="s">
        <v>312</v>
      </c>
      <c r="J37" s="277" t="s">
        <v>281</v>
      </c>
      <c r="K37" s="677" t="str">
        <f t="shared" si="3"/>
        <v>1000</v>
      </c>
      <c r="L37" s="677">
        <v>6568</v>
      </c>
      <c r="M37" s="677" t="str">
        <f t="shared" si="0"/>
        <v>352</v>
      </c>
      <c r="N37" s="277" t="s">
        <v>618</v>
      </c>
    </row>
    <row r="38" spans="1:14" x14ac:dyDescent="0.2">
      <c r="A38" s="271" t="s">
        <v>250</v>
      </c>
      <c r="B38" s="271" t="s">
        <v>311</v>
      </c>
      <c r="C38" s="271" t="s">
        <v>312</v>
      </c>
      <c r="D38" s="676" t="str">
        <f t="shared" si="4"/>
        <v>100-100-1000-6569-000-32-06</v>
      </c>
      <c r="E38" s="271" t="s">
        <v>313</v>
      </c>
      <c r="F38" s="676">
        <f t="shared" si="2"/>
        <v>147550</v>
      </c>
      <c r="G38" s="675">
        <f>VLOOKUP(L38,'Function-Grant'!C:AN,4,FALSE)</f>
        <v>147550</v>
      </c>
      <c r="H38" s="272" t="s">
        <v>312</v>
      </c>
      <c r="J38" s="277" t="s">
        <v>260</v>
      </c>
      <c r="K38" s="677" t="str">
        <f t="shared" si="3"/>
        <v>1000</v>
      </c>
      <c r="L38" s="677">
        <v>6569</v>
      </c>
      <c r="M38" s="677" t="str">
        <f t="shared" si="0"/>
        <v>000</v>
      </c>
      <c r="N38" s="277" t="s">
        <v>618</v>
      </c>
    </row>
    <row r="39" spans="1:14" x14ac:dyDescent="0.2">
      <c r="A39" s="271" t="s">
        <v>250</v>
      </c>
      <c r="B39" s="271" t="s">
        <v>311</v>
      </c>
      <c r="C39" s="271" t="s">
        <v>312</v>
      </c>
      <c r="D39" s="676" t="str">
        <f t="shared" si="4"/>
        <v>100-100-1000-6569-352-32-06</v>
      </c>
      <c r="E39" s="271" t="s">
        <v>313</v>
      </c>
      <c r="F39" s="676">
        <f t="shared" si="2"/>
        <v>43350</v>
      </c>
      <c r="G39" s="675">
        <f>VLOOKUP(L39,'Function-Grant'!C:AN,26,FALSE)</f>
        <v>43350</v>
      </c>
      <c r="H39" s="272" t="s">
        <v>312</v>
      </c>
      <c r="J39" s="277" t="s">
        <v>281</v>
      </c>
      <c r="K39" s="677" t="str">
        <f t="shared" si="3"/>
        <v>1000</v>
      </c>
      <c r="L39" s="677">
        <v>6569</v>
      </c>
      <c r="M39" s="677" t="str">
        <f t="shared" si="0"/>
        <v>352</v>
      </c>
      <c r="N39" s="277" t="s">
        <v>618</v>
      </c>
    </row>
    <row r="40" spans="1:14" x14ac:dyDescent="0.2">
      <c r="A40" s="271" t="s">
        <v>250</v>
      </c>
      <c r="B40" s="271" t="s">
        <v>311</v>
      </c>
      <c r="C40" s="271" t="s">
        <v>312</v>
      </c>
      <c r="D40" s="676" t="str">
        <f t="shared" si="4"/>
        <v>100-100-1000-6610-000-32-06</v>
      </c>
      <c r="E40" s="271" t="s">
        <v>313</v>
      </c>
      <c r="F40" s="676">
        <f t="shared" si="2"/>
        <v>300</v>
      </c>
      <c r="G40" s="675">
        <f>VLOOKUP(L40,'Function-Grant'!C:AN,4,FALSE)</f>
        <v>300</v>
      </c>
      <c r="H40" s="272" t="s">
        <v>312</v>
      </c>
      <c r="J40" s="277" t="s">
        <v>260</v>
      </c>
      <c r="K40" s="677" t="str">
        <f t="shared" si="3"/>
        <v>1000</v>
      </c>
      <c r="L40" s="677">
        <v>6610</v>
      </c>
      <c r="M40" s="677" t="str">
        <f t="shared" si="0"/>
        <v>000</v>
      </c>
      <c r="N40" s="277" t="s">
        <v>618</v>
      </c>
    </row>
    <row r="41" spans="1:14" x14ac:dyDescent="0.2">
      <c r="A41" s="271" t="s">
        <v>250</v>
      </c>
      <c r="B41" s="271" t="s">
        <v>311</v>
      </c>
      <c r="C41" s="271" t="s">
        <v>312</v>
      </c>
      <c r="D41" s="676" t="str">
        <f t="shared" si="4"/>
        <v>100-100-1000-6610-325-32-06</v>
      </c>
      <c r="E41" s="271" t="s">
        <v>313</v>
      </c>
      <c r="F41" s="676">
        <f t="shared" si="2"/>
        <v>192</v>
      </c>
      <c r="G41" s="675">
        <f>VLOOKUP(L41,'Function-Grant'!C:AN,24,FALSE)</f>
        <v>192</v>
      </c>
      <c r="H41" s="272" t="s">
        <v>312</v>
      </c>
      <c r="J41" s="277" t="s">
        <v>279</v>
      </c>
      <c r="K41" s="677" t="str">
        <f t="shared" si="3"/>
        <v>1000</v>
      </c>
      <c r="L41" s="677">
        <v>6610</v>
      </c>
      <c r="M41" s="677" t="str">
        <f t="shared" si="0"/>
        <v>325</v>
      </c>
      <c r="N41" s="277" t="s">
        <v>618</v>
      </c>
    </row>
    <row r="42" spans="1:14" x14ac:dyDescent="0.2">
      <c r="A42" s="271" t="s">
        <v>250</v>
      </c>
      <c r="B42" s="271" t="s">
        <v>311</v>
      </c>
      <c r="C42" s="271" t="s">
        <v>312</v>
      </c>
      <c r="D42" s="676" t="str">
        <f t="shared" si="4"/>
        <v>100-100-1000-6641-000-32-06</v>
      </c>
      <c r="E42" s="271" t="s">
        <v>313</v>
      </c>
      <c r="F42" s="676">
        <f t="shared" si="2"/>
        <v>13465</v>
      </c>
      <c r="G42" s="675">
        <f>VLOOKUP(L42,'Function-Grant'!C:AN,4,FALSE)</f>
        <v>13465</v>
      </c>
      <c r="H42" s="272" t="s">
        <v>312</v>
      </c>
      <c r="J42" s="277" t="s">
        <v>260</v>
      </c>
      <c r="K42" s="677" t="str">
        <f t="shared" si="3"/>
        <v>1000</v>
      </c>
      <c r="L42" s="677">
        <v>6641</v>
      </c>
      <c r="M42" s="677" t="str">
        <f t="shared" si="0"/>
        <v>000</v>
      </c>
      <c r="N42" s="277" t="s">
        <v>618</v>
      </c>
    </row>
    <row r="43" spans="1:14" x14ac:dyDescent="0.2">
      <c r="A43" s="271" t="s">
        <v>250</v>
      </c>
      <c r="B43" s="271" t="s">
        <v>311</v>
      </c>
      <c r="C43" s="271" t="s">
        <v>312</v>
      </c>
      <c r="D43" s="676" t="str">
        <f t="shared" si="4"/>
        <v>100-100-1000-6641-352-32-06</v>
      </c>
      <c r="E43" s="271" t="s">
        <v>313</v>
      </c>
      <c r="F43" s="676">
        <f t="shared" si="2"/>
        <v>3655</v>
      </c>
      <c r="G43" s="675">
        <f>VLOOKUP(L43,'Function-Grant'!C:AN,26,FALSE)</f>
        <v>3655</v>
      </c>
      <c r="H43" s="272" t="s">
        <v>312</v>
      </c>
      <c r="J43" s="277" t="s">
        <v>281</v>
      </c>
      <c r="K43" s="677" t="str">
        <f t="shared" si="3"/>
        <v>1000</v>
      </c>
      <c r="L43" s="677">
        <v>6641</v>
      </c>
      <c r="M43" s="677" t="str">
        <f t="shared" si="0"/>
        <v>352</v>
      </c>
      <c r="N43" s="277" t="s">
        <v>618</v>
      </c>
    </row>
    <row r="44" spans="1:14" x14ac:dyDescent="0.2">
      <c r="A44" s="271" t="s">
        <v>250</v>
      </c>
      <c r="B44" s="271" t="s">
        <v>311</v>
      </c>
      <c r="C44" s="271" t="s">
        <v>312</v>
      </c>
      <c r="D44" s="676" t="str">
        <f t="shared" si="4"/>
        <v>100-100-1000-6642-000-32-06</v>
      </c>
      <c r="E44" s="271" t="s">
        <v>313</v>
      </c>
      <c r="F44" s="676">
        <f t="shared" si="2"/>
        <v>16685</v>
      </c>
      <c r="G44" s="675">
        <f>VLOOKUP(L44,'Function-Grant'!C:AN,4,FALSE)</f>
        <v>16685</v>
      </c>
      <c r="H44" s="272" t="s">
        <v>312</v>
      </c>
      <c r="J44" s="277" t="s">
        <v>260</v>
      </c>
      <c r="K44" s="677" t="str">
        <f t="shared" si="3"/>
        <v>1000</v>
      </c>
      <c r="L44" s="677">
        <v>6642</v>
      </c>
      <c r="M44" s="677" t="str">
        <f t="shared" si="0"/>
        <v>000</v>
      </c>
      <c r="N44" s="277" t="s">
        <v>618</v>
      </c>
    </row>
    <row r="45" spans="1:14" x14ac:dyDescent="0.2">
      <c r="A45" s="271" t="s">
        <v>250</v>
      </c>
      <c r="B45" s="271" t="s">
        <v>311</v>
      </c>
      <c r="C45" s="271" t="s">
        <v>312</v>
      </c>
      <c r="D45" s="676" t="str">
        <f t="shared" si="4"/>
        <v>100-100-1000-6642-352-32-06</v>
      </c>
      <c r="E45" s="271" t="s">
        <v>313</v>
      </c>
      <c r="F45" s="676">
        <f t="shared" si="2"/>
        <v>3995</v>
      </c>
      <c r="G45" s="675">
        <f>VLOOKUP(L45,'Function-Grant'!C:AN,26,FALSE)</f>
        <v>3995</v>
      </c>
      <c r="H45" s="272" t="s">
        <v>312</v>
      </c>
      <c r="J45" s="277" t="s">
        <v>281</v>
      </c>
      <c r="K45" s="677" t="str">
        <f t="shared" si="3"/>
        <v>1000</v>
      </c>
      <c r="L45" s="677">
        <v>6642</v>
      </c>
      <c r="M45" s="677" t="str">
        <f t="shared" si="0"/>
        <v>352</v>
      </c>
      <c r="N45" s="277" t="s">
        <v>618</v>
      </c>
    </row>
    <row r="46" spans="1:14" x14ac:dyDescent="0.2">
      <c r="A46" s="271" t="s">
        <v>250</v>
      </c>
      <c r="B46" s="271" t="s">
        <v>311</v>
      </c>
      <c r="C46" s="271" t="s">
        <v>312</v>
      </c>
      <c r="D46" s="676" t="str">
        <f t="shared" si="4"/>
        <v>100-100-2000--000-32-06</v>
      </c>
      <c r="G46" s="675"/>
      <c r="H46" s="272" t="s">
        <v>312</v>
      </c>
      <c r="J46" s="277" t="s">
        <v>337</v>
      </c>
      <c r="K46" s="677" t="str">
        <f t="shared" si="3"/>
        <v>2000</v>
      </c>
      <c r="L46" s="677"/>
      <c r="M46" s="677" t="str">
        <f t="shared" si="0"/>
        <v>000</v>
      </c>
      <c r="N46" s="277" t="s">
        <v>618</v>
      </c>
    </row>
    <row r="47" spans="1:14" x14ac:dyDescent="0.2">
      <c r="A47" s="271" t="s">
        <v>250</v>
      </c>
      <c r="B47" s="271" t="s">
        <v>311</v>
      </c>
      <c r="C47" s="271" t="s">
        <v>312</v>
      </c>
      <c r="D47" s="676" t="str">
        <f t="shared" si="4"/>
        <v>100-100-2140-6320-000-32-06</v>
      </c>
      <c r="E47" s="271" t="s">
        <v>313</v>
      </c>
      <c r="F47" s="676">
        <f t="shared" ref="F47" si="5">IFERROR(G47,0)</f>
        <v>0</v>
      </c>
      <c r="G47" s="675">
        <f>VLOOKUP(L47,'Function-Grant'!C:AN,3,FALSE)</f>
        <v>0</v>
      </c>
      <c r="H47" s="272" t="s">
        <v>312</v>
      </c>
      <c r="J47" s="277" t="s">
        <v>264</v>
      </c>
      <c r="K47" s="677" t="str">
        <f t="shared" si="3"/>
        <v>2140</v>
      </c>
      <c r="L47" s="677">
        <v>6320</v>
      </c>
      <c r="M47" s="677" t="str">
        <f t="shared" si="0"/>
        <v>000</v>
      </c>
      <c r="N47" s="277" t="s">
        <v>618</v>
      </c>
    </row>
    <row r="48" spans="1:14" x14ac:dyDescent="0.2">
      <c r="A48" s="271" t="s">
        <v>250</v>
      </c>
      <c r="B48" s="271" t="s">
        <v>311</v>
      </c>
      <c r="C48" s="271" t="s">
        <v>312</v>
      </c>
      <c r="D48" s="676" t="str">
        <f t="shared" si="4"/>
        <v>100-100-2410--000-32-06</v>
      </c>
      <c r="G48" s="675"/>
      <c r="H48" s="272" t="s">
        <v>312</v>
      </c>
      <c r="J48" s="277" t="s">
        <v>268</v>
      </c>
      <c r="K48" s="677" t="str">
        <f t="shared" si="3"/>
        <v>2410</v>
      </c>
      <c r="L48" s="677"/>
      <c r="M48" s="677" t="str">
        <f t="shared" si="0"/>
        <v>000</v>
      </c>
      <c r="N48" s="277" t="s">
        <v>618</v>
      </c>
    </row>
    <row r="49" spans="1:14" x14ac:dyDescent="0.2">
      <c r="A49" s="271" t="s">
        <v>250</v>
      </c>
      <c r="B49" s="271" t="s">
        <v>311</v>
      </c>
      <c r="C49" s="271" t="s">
        <v>312</v>
      </c>
      <c r="D49" s="676" t="str">
        <f t="shared" si="4"/>
        <v>100-100-2410-6114-000-32-06</v>
      </c>
      <c r="E49" s="271" t="s">
        <v>313</v>
      </c>
      <c r="F49" s="676">
        <f t="shared" ref="F49:F75" si="6">IFERROR(G49,0)</f>
        <v>21862.5</v>
      </c>
      <c r="G49" s="675">
        <f>VLOOKUP(L49,'Function-Grant'!C:AN,12,FALSE)</f>
        <v>21862.5</v>
      </c>
      <c r="H49" s="272" t="s">
        <v>312</v>
      </c>
      <c r="J49" s="277" t="s">
        <v>268</v>
      </c>
      <c r="K49" s="677" t="str">
        <f t="shared" si="3"/>
        <v>2410</v>
      </c>
      <c r="L49" s="677">
        <v>6114</v>
      </c>
      <c r="M49" s="677" t="str">
        <f t="shared" si="0"/>
        <v>000</v>
      </c>
      <c r="N49" s="277" t="s">
        <v>618</v>
      </c>
    </row>
    <row r="50" spans="1:14" x14ac:dyDescent="0.2">
      <c r="A50" s="271" t="s">
        <v>250</v>
      </c>
      <c r="B50" s="271" t="s">
        <v>311</v>
      </c>
      <c r="C50" s="271" t="s">
        <v>312</v>
      </c>
      <c r="D50" s="676" t="str">
        <f t="shared" si="4"/>
        <v>100-100-2410-6117-000-32-06</v>
      </c>
      <c r="E50" s="271" t="s">
        <v>313</v>
      </c>
      <c r="F50" s="676">
        <f t="shared" si="6"/>
        <v>40320.945</v>
      </c>
      <c r="G50" s="675">
        <f>VLOOKUP(L50,'Function-Grant'!C:AN,12,FALSE)</f>
        <v>40320.945</v>
      </c>
      <c r="H50" s="272" t="s">
        <v>312</v>
      </c>
      <c r="J50" s="277" t="s">
        <v>268</v>
      </c>
      <c r="K50" s="677" t="str">
        <f t="shared" si="3"/>
        <v>2410</v>
      </c>
      <c r="L50" s="677">
        <v>6117</v>
      </c>
      <c r="M50" s="677" t="str">
        <f t="shared" si="0"/>
        <v>000</v>
      </c>
      <c r="N50" s="277" t="s">
        <v>618</v>
      </c>
    </row>
    <row r="51" spans="1:14" x14ac:dyDescent="0.2">
      <c r="A51" s="271" t="s">
        <v>250</v>
      </c>
      <c r="B51" s="271" t="s">
        <v>311</v>
      </c>
      <c r="C51" s="271" t="s">
        <v>312</v>
      </c>
      <c r="D51" s="676" t="str">
        <f t="shared" si="4"/>
        <v>100-100-2410-6127-000-32-06</v>
      </c>
      <c r="E51" s="271" t="s">
        <v>313</v>
      </c>
      <c r="F51" s="676">
        <f t="shared" si="6"/>
        <v>10400</v>
      </c>
      <c r="G51" s="675">
        <f>VLOOKUP(L51,'Function-Grant'!C:AN,12,FALSE)</f>
        <v>10400</v>
      </c>
      <c r="H51" s="272" t="s">
        <v>312</v>
      </c>
      <c r="J51" s="277" t="s">
        <v>268</v>
      </c>
      <c r="K51" s="677" t="str">
        <f t="shared" si="3"/>
        <v>2410</v>
      </c>
      <c r="L51" s="677">
        <v>6127</v>
      </c>
      <c r="M51" s="677" t="str">
        <f t="shared" si="0"/>
        <v>000</v>
      </c>
      <c r="N51" s="277" t="s">
        <v>618</v>
      </c>
    </row>
    <row r="52" spans="1:14" x14ac:dyDescent="0.2">
      <c r="A52" s="271" t="s">
        <v>250</v>
      </c>
      <c r="B52" s="271" t="s">
        <v>311</v>
      </c>
      <c r="C52" s="271" t="s">
        <v>312</v>
      </c>
      <c r="D52" s="676" t="str">
        <f t="shared" si="4"/>
        <v>100-100-2410-6151-000-32-06</v>
      </c>
      <c r="E52" s="271" t="s">
        <v>313</v>
      </c>
      <c r="F52" s="676">
        <f t="shared" si="6"/>
        <v>0</v>
      </c>
      <c r="G52" s="675">
        <f>VLOOKUP(L52,'Function-Grant'!C:AN,12,FALSE)</f>
        <v>0</v>
      </c>
      <c r="H52" s="272" t="s">
        <v>312</v>
      </c>
      <c r="J52" s="277" t="s">
        <v>268</v>
      </c>
      <c r="K52" s="677" t="str">
        <f t="shared" si="3"/>
        <v>2410</v>
      </c>
      <c r="L52" s="677">
        <v>6151</v>
      </c>
      <c r="M52" s="677" t="str">
        <f t="shared" si="0"/>
        <v>000</v>
      </c>
      <c r="N52" s="277" t="s">
        <v>618</v>
      </c>
    </row>
    <row r="53" spans="1:14" x14ac:dyDescent="0.2">
      <c r="A53" s="271" t="s">
        <v>250</v>
      </c>
      <c r="B53" s="271" t="s">
        <v>311</v>
      </c>
      <c r="C53" s="271" t="s">
        <v>312</v>
      </c>
      <c r="D53" s="676" t="str">
        <f t="shared" si="4"/>
        <v>100-100-2410-6154-000-32-06</v>
      </c>
      <c r="E53" s="271" t="s">
        <v>313</v>
      </c>
      <c r="F53" s="676">
        <f t="shared" si="6"/>
        <v>1590</v>
      </c>
      <c r="G53" s="675">
        <f>VLOOKUP(L53,'Function-Grant'!C:AN,12,FALSE)</f>
        <v>1590</v>
      </c>
      <c r="H53" s="272" t="s">
        <v>312</v>
      </c>
      <c r="J53" s="277" t="s">
        <v>268</v>
      </c>
      <c r="K53" s="677" t="str">
        <f t="shared" si="3"/>
        <v>2410</v>
      </c>
      <c r="L53" s="677">
        <v>6154</v>
      </c>
      <c r="M53" s="677" t="str">
        <f t="shared" si="0"/>
        <v>000</v>
      </c>
      <c r="N53" s="277" t="s">
        <v>618</v>
      </c>
    </row>
    <row r="54" spans="1:14" x14ac:dyDescent="0.2">
      <c r="A54" s="271" t="s">
        <v>250</v>
      </c>
      <c r="B54" s="271" t="s">
        <v>311</v>
      </c>
      <c r="C54" s="271" t="s">
        <v>312</v>
      </c>
      <c r="D54" s="676" t="str">
        <f t="shared" si="4"/>
        <v>100-100-2410-6157-000-32-06</v>
      </c>
      <c r="E54" s="271" t="s">
        <v>313</v>
      </c>
      <c r="F54" s="676">
        <f t="shared" si="6"/>
        <v>3000</v>
      </c>
      <c r="G54" s="675">
        <f>VLOOKUP(L54,'Function-Grant'!C:AN,12,FALSE)</f>
        <v>3000</v>
      </c>
      <c r="H54" s="272" t="s">
        <v>312</v>
      </c>
      <c r="J54" s="277" t="s">
        <v>268</v>
      </c>
      <c r="K54" s="677" t="str">
        <f t="shared" si="3"/>
        <v>2410</v>
      </c>
      <c r="L54" s="677">
        <v>6157</v>
      </c>
      <c r="M54" s="677" t="str">
        <f t="shared" si="0"/>
        <v>000</v>
      </c>
      <c r="N54" s="277" t="s">
        <v>618</v>
      </c>
    </row>
    <row r="55" spans="1:14" x14ac:dyDescent="0.2">
      <c r="A55" s="271" t="s">
        <v>250</v>
      </c>
      <c r="B55" s="271" t="s">
        <v>311</v>
      </c>
      <c r="C55" s="271" t="s">
        <v>312</v>
      </c>
      <c r="D55" s="676" t="str">
        <f t="shared" si="4"/>
        <v>100-100-2410-6164-000-32-06</v>
      </c>
      <c r="E55" s="271" t="s">
        <v>313</v>
      </c>
      <c r="F55" s="676">
        <f t="shared" si="6"/>
        <v>0</v>
      </c>
      <c r="G55" s="675">
        <f>VLOOKUP(L55,'Function-Grant'!C:AN,12,FALSE)</f>
        <v>0</v>
      </c>
      <c r="H55" s="272" t="s">
        <v>312</v>
      </c>
      <c r="J55" s="277" t="s">
        <v>268</v>
      </c>
      <c r="K55" s="677" t="str">
        <f t="shared" si="3"/>
        <v>2410</v>
      </c>
      <c r="L55" s="677">
        <v>6164</v>
      </c>
      <c r="M55" s="677" t="str">
        <f t="shared" si="0"/>
        <v>000</v>
      </c>
      <c r="N55" s="277" t="s">
        <v>618</v>
      </c>
    </row>
    <row r="56" spans="1:14" x14ac:dyDescent="0.2">
      <c r="A56" s="271" t="s">
        <v>250</v>
      </c>
      <c r="B56" s="271" t="s">
        <v>311</v>
      </c>
      <c r="C56" s="271" t="s">
        <v>312</v>
      </c>
      <c r="D56" s="676" t="str">
        <f t="shared" si="4"/>
        <v>100-100-2410-6167-000-32-06</v>
      </c>
      <c r="E56" s="271" t="s">
        <v>313</v>
      </c>
      <c r="F56" s="676">
        <f t="shared" si="6"/>
        <v>0</v>
      </c>
      <c r="G56" s="675">
        <f>VLOOKUP(L56,'Function-Grant'!C:AN,12,FALSE)</f>
        <v>0</v>
      </c>
      <c r="H56" s="272" t="s">
        <v>312</v>
      </c>
      <c r="J56" s="277" t="s">
        <v>268</v>
      </c>
      <c r="K56" s="677" t="str">
        <f t="shared" si="3"/>
        <v>2410</v>
      </c>
      <c r="L56" s="677">
        <v>6167</v>
      </c>
      <c r="M56" s="677" t="str">
        <f t="shared" si="0"/>
        <v>000</v>
      </c>
      <c r="N56" s="277" t="s">
        <v>618</v>
      </c>
    </row>
    <row r="57" spans="1:14" x14ac:dyDescent="0.2">
      <c r="A57" s="271" t="s">
        <v>250</v>
      </c>
      <c r="B57" s="271" t="s">
        <v>311</v>
      </c>
      <c r="C57" s="271" t="s">
        <v>312</v>
      </c>
      <c r="D57" s="676" t="str">
        <f t="shared" si="4"/>
        <v>100-100-2410-6214-000-32-06</v>
      </c>
      <c r="E57" s="271" t="s">
        <v>313</v>
      </c>
      <c r="F57" s="676">
        <f t="shared" si="6"/>
        <v>111</v>
      </c>
      <c r="G57" s="675">
        <f>VLOOKUP(L57,'Function-Grant'!C:AN,12,FALSE)</f>
        <v>111</v>
      </c>
      <c r="H57" s="272" t="s">
        <v>312</v>
      </c>
      <c r="J57" s="277" t="s">
        <v>268</v>
      </c>
      <c r="K57" s="677" t="str">
        <f t="shared" si="3"/>
        <v>2410</v>
      </c>
      <c r="L57" s="677">
        <v>6214</v>
      </c>
      <c r="M57" s="677" t="str">
        <f t="shared" si="0"/>
        <v>000</v>
      </c>
      <c r="N57" s="277" t="s">
        <v>618</v>
      </c>
    </row>
    <row r="58" spans="1:14" x14ac:dyDescent="0.2">
      <c r="A58" s="271" t="s">
        <v>250</v>
      </c>
      <c r="B58" s="271" t="s">
        <v>311</v>
      </c>
      <c r="C58" s="271" t="s">
        <v>312</v>
      </c>
      <c r="D58" s="676" t="str">
        <f t="shared" si="4"/>
        <v>100-100-2410-6217-000-32-06</v>
      </c>
      <c r="E58" s="271" t="s">
        <v>313</v>
      </c>
      <c r="F58" s="676">
        <f t="shared" si="6"/>
        <v>444</v>
      </c>
      <c r="G58" s="675">
        <f>VLOOKUP(L58,'Function-Grant'!C:AN,12,FALSE)</f>
        <v>444</v>
      </c>
      <c r="H58" s="272" t="s">
        <v>312</v>
      </c>
      <c r="J58" s="277" t="s">
        <v>268</v>
      </c>
      <c r="K58" s="677" t="str">
        <f t="shared" si="3"/>
        <v>2410</v>
      </c>
      <c r="L58" s="677">
        <v>6217</v>
      </c>
      <c r="M58" s="677" t="str">
        <f t="shared" si="0"/>
        <v>000</v>
      </c>
      <c r="N58" s="277" t="s">
        <v>618</v>
      </c>
    </row>
    <row r="59" spans="1:14" x14ac:dyDescent="0.2">
      <c r="A59" s="271" t="s">
        <v>250</v>
      </c>
      <c r="B59" s="271" t="s">
        <v>311</v>
      </c>
      <c r="C59" s="271" t="s">
        <v>312</v>
      </c>
      <c r="D59" s="676" t="str">
        <f t="shared" si="4"/>
        <v>100-100-2410-6227-000-32-06</v>
      </c>
      <c r="E59" s="271" t="s">
        <v>313</v>
      </c>
      <c r="F59" s="676">
        <f t="shared" si="6"/>
        <v>644.80000000000007</v>
      </c>
      <c r="G59" s="675">
        <f>VLOOKUP(L59,'Function-Grant'!C:AN,12,FALSE)</f>
        <v>644.80000000000007</v>
      </c>
      <c r="H59" s="272" t="s">
        <v>312</v>
      </c>
      <c r="J59" s="277" t="s">
        <v>268</v>
      </c>
      <c r="K59" s="677" t="str">
        <f t="shared" si="3"/>
        <v>2410</v>
      </c>
      <c r="L59" s="677">
        <v>6227</v>
      </c>
      <c r="M59" s="677" t="str">
        <f t="shared" si="0"/>
        <v>000</v>
      </c>
      <c r="N59" s="277" t="s">
        <v>618</v>
      </c>
    </row>
    <row r="60" spans="1:14" x14ac:dyDescent="0.2">
      <c r="A60" s="271" t="s">
        <v>250</v>
      </c>
      <c r="B60" s="271" t="s">
        <v>311</v>
      </c>
      <c r="C60" s="271" t="s">
        <v>312</v>
      </c>
      <c r="D60" s="676" t="str">
        <f t="shared" si="4"/>
        <v>100-100-2410-6234-000-32-06</v>
      </c>
      <c r="E60" s="271" t="s">
        <v>313</v>
      </c>
      <c r="F60" s="676">
        <f t="shared" si="6"/>
        <v>6394.78125</v>
      </c>
      <c r="G60" s="675">
        <f>VLOOKUP(L60,'Function-Grant'!C:AN,12,FALSE)</f>
        <v>6394.78125</v>
      </c>
      <c r="H60" s="272" t="s">
        <v>312</v>
      </c>
      <c r="J60" s="277" t="s">
        <v>268</v>
      </c>
      <c r="K60" s="677" t="str">
        <f t="shared" si="3"/>
        <v>2410</v>
      </c>
      <c r="L60" s="677">
        <v>6234</v>
      </c>
      <c r="M60" s="677" t="str">
        <f t="shared" si="0"/>
        <v>000</v>
      </c>
      <c r="N60" s="277" t="s">
        <v>618</v>
      </c>
    </row>
    <row r="61" spans="1:14" x14ac:dyDescent="0.2">
      <c r="A61" s="271" t="s">
        <v>250</v>
      </c>
      <c r="B61" s="271" t="s">
        <v>311</v>
      </c>
      <c r="C61" s="271" t="s">
        <v>312</v>
      </c>
      <c r="D61" s="676" t="str">
        <f t="shared" si="4"/>
        <v>100-100-2410-6237-000-32-06</v>
      </c>
      <c r="E61" s="271" t="s">
        <v>313</v>
      </c>
      <c r="F61" s="676">
        <f t="shared" si="6"/>
        <v>6148.9441124999985</v>
      </c>
      <c r="G61" s="675">
        <f>VLOOKUP(L61,'Function-Grant'!C:AN,12,FALSE)</f>
        <v>6148.9441124999985</v>
      </c>
      <c r="H61" s="272" t="s">
        <v>312</v>
      </c>
      <c r="J61" s="277" t="s">
        <v>268</v>
      </c>
      <c r="K61" s="677" t="str">
        <f t="shared" si="3"/>
        <v>2410</v>
      </c>
      <c r="L61" s="677">
        <v>6237</v>
      </c>
      <c r="M61" s="677" t="str">
        <f t="shared" si="0"/>
        <v>000</v>
      </c>
      <c r="N61" s="277" t="s">
        <v>618</v>
      </c>
    </row>
    <row r="62" spans="1:14" x14ac:dyDescent="0.2">
      <c r="A62" s="271" t="s">
        <v>250</v>
      </c>
      <c r="B62" s="271" t="s">
        <v>311</v>
      </c>
      <c r="C62" s="271" t="s">
        <v>312</v>
      </c>
      <c r="D62" s="676" t="str">
        <f t="shared" si="4"/>
        <v>100-100-2410-6244-000-32-06</v>
      </c>
      <c r="E62" s="271" t="s">
        <v>313</v>
      </c>
      <c r="F62" s="676">
        <f t="shared" si="6"/>
        <v>340.06125000000009</v>
      </c>
      <c r="G62" s="675">
        <f>VLOOKUP(L62,'Function-Grant'!C:AN,12,FALSE)</f>
        <v>340.06125000000009</v>
      </c>
      <c r="H62" s="272" t="s">
        <v>312</v>
      </c>
      <c r="J62" s="277" t="s">
        <v>268</v>
      </c>
      <c r="K62" s="677" t="str">
        <f t="shared" si="3"/>
        <v>2410</v>
      </c>
      <c r="L62" s="677">
        <v>6244</v>
      </c>
      <c r="M62" s="677" t="str">
        <f t="shared" si="0"/>
        <v>000</v>
      </c>
      <c r="N62" s="277" t="s">
        <v>618</v>
      </c>
    </row>
    <row r="63" spans="1:14" x14ac:dyDescent="0.2">
      <c r="A63" s="271" t="s">
        <v>250</v>
      </c>
      <c r="B63" s="271" t="s">
        <v>311</v>
      </c>
      <c r="C63" s="271" t="s">
        <v>312</v>
      </c>
      <c r="D63" s="676" t="str">
        <f t="shared" si="4"/>
        <v>100-100-2410-6247-000-32-06</v>
      </c>
      <c r="E63" s="271" t="s">
        <v>313</v>
      </c>
      <c r="F63" s="676">
        <f t="shared" si="6"/>
        <v>778.95370249999996</v>
      </c>
      <c r="G63" s="675">
        <f>VLOOKUP(L63,'Function-Grant'!C:AN,12,FALSE)</f>
        <v>778.95370249999996</v>
      </c>
      <c r="H63" s="272" t="s">
        <v>312</v>
      </c>
      <c r="J63" s="277" t="s">
        <v>268</v>
      </c>
      <c r="K63" s="677" t="str">
        <f t="shared" si="3"/>
        <v>2410</v>
      </c>
      <c r="L63" s="677">
        <v>6247</v>
      </c>
      <c r="M63" s="677" t="str">
        <f t="shared" si="0"/>
        <v>000</v>
      </c>
      <c r="N63" s="277" t="s">
        <v>618</v>
      </c>
    </row>
    <row r="64" spans="1:14" x14ac:dyDescent="0.2">
      <c r="A64" s="271" t="s">
        <v>250</v>
      </c>
      <c r="B64" s="271" t="s">
        <v>311</v>
      </c>
      <c r="C64" s="271" t="s">
        <v>312</v>
      </c>
      <c r="D64" s="676" t="str">
        <f t="shared" si="4"/>
        <v>100-100-2410-6264-000-32-06</v>
      </c>
      <c r="E64" s="271" t="s">
        <v>313</v>
      </c>
      <c r="F64" s="676">
        <f t="shared" si="6"/>
        <v>655.875</v>
      </c>
      <c r="G64" s="675">
        <f>VLOOKUP(L64,'Function-Grant'!C:AN,12,FALSE)</f>
        <v>655.875</v>
      </c>
      <c r="H64" s="272" t="s">
        <v>312</v>
      </c>
      <c r="J64" s="277" t="s">
        <v>268</v>
      </c>
      <c r="K64" s="677" t="str">
        <f t="shared" si="3"/>
        <v>2410</v>
      </c>
      <c r="L64" s="677">
        <v>6264</v>
      </c>
      <c r="M64" s="677" t="str">
        <f t="shared" si="0"/>
        <v>000</v>
      </c>
      <c r="N64" s="277" t="s">
        <v>618</v>
      </c>
    </row>
    <row r="65" spans="1:14" x14ac:dyDescent="0.2">
      <c r="A65" s="271" t="s">
        <v>250</v>
      </c>
      <c r="B65" s="271" t="s">
        <v>311</v>
      </c>
      <c r="C65" s="271" t="s">
        <v>312</v>
      </c>
      <c r="D65" s="676" t="str">
        <f t="shared" si="4"/>
        <v>100-100-2410-6267-000-32-06</v>
      </c>
      <c r="E65" s="271" t="s">
        <v>313</v>
      </c>
      <c r="F65" s="676">
        <f t="shared" si="6"/>
        <v>1248</v>
      </c>
      <c r="G65" s="675">
        <f>VLOOKUP(L65,'Function-Grant'!C:AN,12,FALSE)</f>
        <v>1248</v>
      </c>
      <c r="H65" s="272" t="s">
        <v>312</v>
      </c>
      <c r="J65" s="277" t="s">
        <v>268</v>
      </c>
      <c r="K65" s="677" t="str">
        <f t="shared" si="3"/>
        <v>2410</v>
      </c>
      <c r="L65" s="677">
        <v>6267</v>
      </c>
      <c r="M65" s="677" t="str">
        <f t="shared" si="0"/>
        <v>000</v>
      </c>
      <c r="N65" s="277" t="s">
        <v>618</v>
      </c>
    </row>
    <row r="66" spans="1:14" x14ac:dyDescent="0.2">
      <c r="A66" s="271" t="s">
        <v>250</v>
      </c>
      <c r="B66" s="271" t="s">
        <v>311</v>
      </c>
      <c r="C66" s="271" t="s">
        <v>312</v>
      </c>
      <c r="D66" s="676" t="str">
        <f t="shared" si="4"/>
        <v>100-100-2410-6274-000-32-06</v>
      </c>
      <c r="E66" s="271" t="s">
        <v>313</v>
      </c>
      <c r="F66" s="676">
        <f t="shared" si="6"/>
        <v>152.44125000000003</v>
      </c>
      <c r="G66" s="675">
        <f>VLOOKUP(L66,'Function-Grant'!C:AN,12,FALSE)</f>
        <v>152.44125000000003</v>
      </c>
      <c r="H66" s="272" t="s">
        <v>312</v>
      </c>
      <c r="J66" s="277" t="s">
        <v>268</v>
      </c>
      <c r="K66" s="677" t="str">
        <f t="shared" si="3"/>
        <v>2410</v>
      </c>
      <c r="L66" s="677">
        <v>6274</v>
      </c>
      <c r="M66" s="677" t="str">
        <f t="shared" si="0"/>
        <v>000</v>
      </c>
      <c r="N66" s="277" t="s">
        <v>618</v>
      </c>
    </row>
    <row r="67" spans="1:14" x14ac:dyDescent="0.2">
      <c r="A67" s="271" t="s">
        <v>250</v>
      </c>
      <c r="B67" s="271" t="s">
        <v>311</v>
      </c>
      <c r="C67" s="271" t="s">
        <v>312</v>
      </c>
      <c r="D67" s="676" t="str">
        <f t="shared" si="4"/>
        <v>100-100-2410-6277-000-32-06</v>
      </c>
      <c r="E67" s="271" t="s">
        <v>313</v>
      </c>
      <c r="F67" s="676">
        <f t="shared" si="6"/>
        <v>349.18614249999996</v>
      </c>
      <c r="G67" s="675">
        <f>VLOOKUP(L67,'Function-Grant'!C:AN,12,FALSE)</f>
        <v>349.18614249999996</v>
      </c>
      <c r="H67" s="272" t="s">
        <v>312</v>
      </c>
      <c r="J67" s="277" t="s">
        <v>268</v>
      </c>
      <c r="K67" s="677" t="str">
        <f t="shared" si="3"/>
        <v>2410</v>
      </c>
      <c r="L67" s="677">
        <v>6277</v>
      </c>
      <c r="M67" s="677" t="str">
        <f t="shared" si="0"/>
        <v>000</v>
      </c>
      <c r="N67" s="277" t="s">
        <v>618</v>
      </c>
    </row>
    <row r="68" spans="1:14" x14ac:dyDescent="0.2">
      <c r="A68" s="271" t="s">
        <v>250</v>
      </c>
      <c r="B68" s="271" t="s">
        <v>311</v>
      </c>
      <c r="C68" s="271" t="s">
        <v>312</v>
      </c>
      <c r="D68" s="676" t="str">
        <f t="shared" si="4"/>
        <v>100-100-2410-6284-000-32-06</v>
      </c>
      <c r="E68" s="271" t="s">
        <v>313</v>
      </c>
      <c r="F68" s="676">
        <f t="shared" si="6"/>
        <v>1215</v>
      </c>
      <c r="G68" s="675">
        <f>VLOOKUP(L68,'Function-Grant'!C:AN,12,FALSE)</f>
        <v>1215</v>
      </c>
      <c r="H68" s="272" t="s">
        <v>312</v>
      </c>
      <c r="J68" s="277" t="s">
        <v>268</v>
      </c>
      <c r="K68" s="677" t="str">
        <f t="shared" si="3"/>
        <v>2410</v>
      </c>
      <c r="L68" s="677">
        <v>6284</v>
      </c>
      <c r="M68" s="677" t="str">
        <f t="shared" si="0"/>
        <v>000</v>
      </c>
      <c r="N68" s="277" t="s">
        <v>618</v>
      </c>
    </row>
    <row r="69" spans="1:14" x14ac:dyDescent="0.2">
      <c r="A69" s="271" t="s">
        <v>250</v>
      </c>
      <c r="B69" s="271" t="s">
        <v>311</v>
      </c>
      <c r="C69" s="271" t="s">
        <v>312</v>
      </c>
      <c r="D69" s="676" t="str">
        <f t="shared" si="4"/>
        <v>100-100-2410-6287-000-32-06</v>
      </c>
      <c r="E69" s="271" t="s">
        <v>313</v>
      </c>
      <c r="F69" s="676">
        <f t="shared" si="6"/>
        <v>4860</v>
      </c>
      <c r="G69" s="675">
        <f>VLOOKUP(L69,'Function-Grant'!C:AN,12,FALSE)</f>
        <v>4860</v>
      </c>
      <c r="H69" s="272" t="s">
        <v>312</v>
      </c>
      <c r="J69" s="277" t="s">
        <v>268</v>
      </c>
      <c r="K69" s="677" t="str">
        <f t="shared" si="3"/>
        <v>2410</v>
      </c>
      <c r="L69" s="677">
        <v>6287</v>
      </c>
      <c r="M69" s="677" t="str">
        <f t="shared" si="0"/>
        <v>000</v>
      </c>
      <c r="N69" s="277" t="s">
        <v>618</v>
      </c>
    </row>
    <row r="70" spans="1:14" x14ac:dyDescent="0.2">
      <c r="A70" s="271" t="s">
        <v>250</v>
      </c>
      <c r="B70" s="271" t="s">
        <v>311</v>
      </c>
      <c r="C70" s="271" t="s">
        <v>312</v>
      </c>
      <c r="D70" s="676" t="str">
        <f t="shared" ref="D70" si="7">CONCATENATE("100-100-",K70,"-",L70,"-",M70,"-",N70)</f>
        <v>100-100-2410-6320-000-32-06</v>
      </c>
      <c r="E70" s="271" t="s">
        <v>313</v>
      </c>
      <c r="F70" s="676">
        <f t="shared" ref="F70" si="8">IFERROR(G70,0)</f>
        <v>1000</v>
      </c>
      <c r="G70" s="675">
        <f>VLOOKUP(L70,'Function-Grant'!C:AN,12,FALSE)</f>
        <v>1000</v>
      </c>
      <c r="H70" s="272" t="s">
        <v>312</v>
      </c>
      <c r="J70" s="277" t="s">
        <v>268</v>
      </c>
      <c r="K70" s="677" t="str">
        <f t="shared" ref="K70" si="9">LEFT(J70,4)</f>
        <v>2410</v>
      </c>
      <c r="L70" s="677">
        <v>6320</v>
      </c>
      <c r="M70" s="677" t="str">
        <f t="shared" ref="M70" si="10">RIGHT(J70,3)</f>
        <v>000</v>
      </c>
      <c r="N70" s="277" t="s">
        <v>618</v>
      </c>
    </row>
    <row r="71" spans="1:14" x14ac:dyDescent="0.2">
      <c r="A71" s="271" t="s">
        <v>250</v>
      </c>
      <c r="B71" s="271" t="s">
        <v>311</v>
      </c>
      <c r="C71" s="271" t="s">
        <v>312</v>
      </c>
      <c r="D71" s="676" t="str">
        <f t="shared" si="4"/>
        <v>100-100-2410-6300-000-32-06</v>
      </c>
      <c r="E71" s="271" t="s">
        <v>313</v>
      </c>
      <c r="F71" s="676">
        <f t="shared" si="6"/>
        <v>0</v>
      </c>
      <c r="G71" s="675">
        <f>VLOOKUP(L71,'Function-Grant'!C:AN,12,FALSE)</f>
        <v>0</v>
      </c>
      <c r="H71" s="272" t="s">
        <v>312</v>
      </c>
      <c r="J71" s="277" t="s">
        <v>268</v>
      </c>
      <c r="K71" s="677" t="str">
        <f t="shared" si="3"/>
        <v>2410</v>
      </c>
      <c r="L71" s="677">
        <v>6300</v>
      </c>
      <c r="M71" s="677" t="str">
        <f t="shared" si="0"/>
        <v>000</v>
      </c>
      <c r="N71" s="277" t="s">
        <v>618</v>
      </c>
    </row>
    <row r="72" spans="1:14" x14ac:dyDescent="0.2">
      <c r="A72" s="271" t="s">
        <v>250</v>
      </c>
      <c r="B72" s="271" t="s">
        <v>311</v>
      </c>
      <c r="C72" s="271" t="s">
        <v>312</v>
      </c>
      <c r="D72" s="676" t="str">
        <f t="shared" si="4"/>
        <v>100-100-2410-6334-000-32-06</v>
      </c>
      <c r="E72" s="271" t="s">
        <v>313</v>
      </c>
      <c r="F72" s="676">
        <f t="shared" si="6"/>
        <v>0</v>
      </c>
      <c r="G72" s="675">
        <f>VLOOKUP(L72,'Function-Grant'!C:AN,12,FALSE)</f>
        <v>0</v>
      </c>
      <c r="H72" s="272" t="s">
        <v>312</v>
      </c>
      <c r="J72" s="277" t="s">
        <v>268</v>
      </c>
      <c r="K72" s="677" t="str">
        <f t="shared" si="3"/>
        <v>2410</v>
      </c>
      <c r="L72" s="677">
        <v>6334</v>
      </c>
      <c r="M72" s="677" t="str">
        <f t="shared" si="0"/>
        <v>000</v>
      </c>
      <c r="N72" s="277" t="s">
        <v>618</v>
      </c>
    </row>
    <row r="73" spans="1:14" x14ac:dyDescent="0.2">
      <c r="A73" s="271" t="s">
        <v>250</v>
      </c>
      <c r="B73" s="271" t="s">
        <v>311</v>
      </c>
      <c r="C73" s="271" t="s">
        <v>312</v>
      </c>
      <c r="D73" s="676" t="str">
        <f t="shared" si="4"/>
        <v>100-100-2410-6336-000-32-06</v>
      </c>
      <c r="E73" s="271" t="s">
        <v>313</v>
      </c>
      <c r="F73" s="676">
        <f t="shared" si="6"/>
        <v>0</v>
      </c>
      <c r="G73" s="675">
        <f>VLOOKUP(L73,'Function-Grant'!C:AN,12,FALSE)</f>
        <v>0</v>
      </c>
      <c r="H73" s="272" t="s">
        <v>312</v>
      </c>
      <c r="J73" s="277" t="s">
        <v>268</v>
      </c>
      <c r="K73" s="677" t="str">
        <f t="shared" si="3"/>
        <v>2410</v>
      </c>
      <c r="L73" s="677">
        <v>6336</v>
      </c>
      <c r="M73" s="677" t="str">
        <f t="shared" si="0"/>
        <v>000</v>
      </c>
      <c r="N73" s="277" t="s">
        <v>618</v>
      </c>
    </row>
    <row r="74" spans="1:14" x14ac:dyDescent="0.2">
      <c r="A74" s="271" t="s">
        <v>250</v>
      </c>
      <c r="B74" s="271" t="s">
        <v>311</v>
      </c>
      <c r="C74" s="271" t="s">
        <v>312</v>
      </c>
      <c r="D74" s="676" t="str">
        <f t="shared" si="4"/>
        <v>100-100-2410-6337-000-32-06</v>
      </c>
      <c r="E74" s="271" t="s">
        <v>313</v>
      </c>
      <c r="F74" s="676">
        <f t="shared" si="6"/>
        <v>500</v>
      </c>
      <c r="G74" s="675">
        <f>VLOOKUP(L74,'Function-Grant'!C:AN,12,FALSE)</f>
        <v>500</v>
      </c>
      <c r="H74" s="272" t="s">
        <v>312</v>
      </c>
      <c r="J74" s="277" t="s">
        <v>268</v>
      </c>
      <c r="K74" s="677" t="str">
        <f t="shared" si="3"/>
        <v>2410</v>
      </c>
      <c r="L74" s="677">
        <v>6337</v>
      </c>
      <c r="M74" s="677" t="str">
        <f t="shared" si="0"/>
        <v>000</v>
      </c>
      <c r="N74" s="277" t="s">
        <v>618</v>
      </c>
    </row>
    <row r="75" spans="1:14" x14ac:dyDescent="0.2">
      <c r="A75" s="271" t="s">
        <v>250</v>
      </c>
      <c r="B75" s="271" t="s">
        <v>311</v>
      </c>
      <c r="C75" s="271" t="s">
        <v>312</v>
      </c>
      <c r="D75" s="676" t="str">
        <f t="shared" si="4"/>
        <v>100-100-2410-6610-000-32-06</v>
      </c>
      <c r="E75" s="271" t="s">
        <v>313</v>
      </c>
      <c r="F75" s="676">
        <f t="shared" si="6"/>
        <v>300</v>
      </c>
      <c r="G75" s="675">
        <f>VLOOKUP(L75,'Function-Grant'!C:AN,12,FALSE)</f>
        <v>300</v>
      </c>
      <c r="H75" s="272" t="s">
        <v>312</v>
      </c>
      <c r="J75" s="277" t="s">
        <v>268</v>
      </c>
      <c r="K75" s="677" t="str">
        <f t="shared" si="3"/>
        <v>2410</v>
      </c>
      <c r="L75" s="677">
        <v>6610</v>
      </c>
      <c r="M75" s="677" t="str">
        <f t="shared" si="0"/>
        <v>000</v>
      </c>
      <c r="N75" s="277" t="s">
        <v>618</v>
      </c>
    </row>
    <row r="76" spans="1:14" x14ac:dyDescent="0.2">
      <c r="A76" s="271" t="s">
        <v>250</v>
      </c>
      <c r="B76" s="271" t="s">
        <v>311</v>
      </c>
      <c r="C76" s="271" t="s">
        <v>312</v>
      </c>
      <c r="D76" s="676" t="str">
        <f t="shared" si="4"/>
        <v>100-100-2500--000-32-06</v>
      </c>
      <c r="G76" s="675"/>
      <c r="H76" s="272" t="s">
        <v>312</v>
      </c>
      <c r="J76" s="277" t="s">
        <v>269</v>
      </c>
      <c r="K76" s="677" t="str">
        <f t="shared" si="3"/>
        <v>2500</v>
      </c>
      <c r="L76" s="677"/>
      <c r="M76" s="677" t="str">
        <f t="shared" si="0"/>
        <v>000</v>
      </c>
      <c r="N76" s="277" t="s">
        <v>618</v>
      </c>
    </row>
    <row r="77" spans="1:14" x14ac:dyDescent="0.2">
      <c r="A77" s="271" t="s">
        <v>250</v>
      </c>
      <c r="B77" s="271" t="s">
        <v>311</v>
      </c>
      <c r="C77" s="271" t="s">
        <v>312</v>
      </c>
      <c r="D77" s="676" t="str">
        <f t="shared" ref="D77" si="11">CONCATENATE("100-100-",K77,"-",L77,"-",M77,"-",N77)</f>
        <v>100-100-2500-6300-000-32-06</v>
      </c>
      <c r="E77" s="271" t="s">
        <v>313</v>
      </c>
      <c r="F77" s="676">
        <f t="shared" ref="F77" si="12">IFERROR(G77,0)</f>
        <v>900</v>
      </c>
      <c r="G77" s="675">
        <f>VLOOKUP(L77,'Function-Grant'!C:AN,13,FALSE)</f>
        <v>900</v>
      </c>
      <c r="H77" s="272" t="s">
        <v>312</v>
      </c>
      <c r="J77" s="277" t="s">
        <v>269</v>
      </c>
      <c r="K77" s="677" t="str">
        <f t="shared" ref="K77" si="13">LEFT(J77,4)</f>
        <v>2500</v>
      </c>
      <c r="L77" s="677">
        <v>6300</v>
      </c>
      <c r="M77" s="677" t="str">
        <f t="shared" ref="M77" si="14">RIGHT(J77,3)</f>
        <v>000</v>
      </c>
      <c r="N77" s="277" t="s">
        <v>618</v>
      </c>
    </row>
    <row r="78" spans="1:14" x14ac:dyDescent="0.2">
      <c r="A78" s="271" t="s">
        <v>250</v>
      </c>
      <c r="B78" s="271" t="s">
        <v>311</v>
      </c>
      <c r="C78" s="271" t="s">
        <v>312</v>
      </c>
      <c r="D78" s="676" t="str">
        <f t="shared" si="4"/>
        <v>100-100-2500-6531-000-32-06</v>
      </c>
      <c r="E78" s="271" t="s">
        <v>313</v>
      </c>
      <c r="F78" s="676">
        <f t="shared" ref="F78:F82" si="15">IFERROR(G78,0)</f>
        <v>0</v>
      </c>
      <c r="G78" s="675">
        <f>VLOOKUP(L78,'Function-Grant'!C:AN,13,FALSE)</f>
        <v>0</v>
      </c>
      <c r="H78" s="272" t="s">
        <v>312</v>
      </c>
      <c r="J78" s="277" t="s">
        <v>269</v>
      </c>
      <c r="K78" s="677" t="str">
        <f t="shared" si="3"/>
        <v>2500</v>
      </c>
      <c r="L78" s="677">
        <v>6531</v>
      </c>
      <c r="M78" s="677" t="str">
        <f t="shared" ref="M78:M102" si="16">RIGHT(J78,3)</f>
        <v>000</v>
      </c>
      <c r="N78" s="277" t="s">
        <v>618</v>
      </c>
    </row>
    <row r="79" spans="1:14" x14ac:dyDescent="0.2">
      <c r="A79" s="271" t="s">
        <v>250</v>
      </c>
      <c r="B79" s="271" t="s">
        <v>311</v>
      </c>
      <c r="C79" s="271" t="s">
        <v>312</v>
      </c>
      <c r="D79" s="676" t="str">
        <f t="shared" si="4"/>
        <v>100-100-2500-6535-000-32-06</v>
      </c>
      <c r="E79" s="271" t="s">
        <v>313</v>
      </c>
      <c r="F79" s="676">
        <f t="shared" si="15"/>
        <v>3624</v>
      </c>
      <c r="G79" s="675">
        <f>VLOOKUP(L79,'Function-Grant'!C:AN,13,FALSE)</f>
        <v>3624</v>
      </c>
      <c r="H79" s="272" t="s">
        <v>312</v>
      </c>
      <c r="J79" s="277" t="s">
        <v>269</v>
      </c>
      <c r="K79" s="677" t="str">
        <f t="shared" ref="K79:K101" si="17">LEFT(J79,4)</f>
        <v>2500</v>
      </c>
      <c r="L79" s="677">
        <v>6535</v>
      </c>
      <c r="M79" s="677" t="str">
        <f t="shared" si="16"/>
        <v>000</v>
      </c>
      <c r="N79" s="277" t="s">
        <v>618</v>
      </c>
    </row>
    <row r="80" spans="1:14" x14ac:dyDescent="0.2">
      <c r="A80" s="271" t="s">
        <v>250</v>
      </c>
      <c r="B80" s="271" t="s">
        <v>311</v>
      </c>
      <c r="C80" s="271" t="s">
        <v>312</v>
      </c>
      <c r="D80" s="676" t="str">
        <f t="shared" si="4"/>
        <v>100-100-2500-6540-000-32-06</v>
      </c>
      <c r="E80" s="271" t="s">
        <v>313</v>
      </c>
      <c r="F80" s="676">
        <f t="shared" si="15"/>
        <v>0</v>
      </c>
      <c r="G80" s="675">
        <f>VLOOKUP(L80,'Function-Grant'!C:AN,13,FALSE)</f>
        <v>0</v>
      </c>
      <c r="H80" s="272" t="s">
        <v>312</v>
      </c>
      <c r="J80" s="277" t="s">
        <v>269</v>
      </c>
      <c r="K80" s="677" t="str">
        <f t="shared" si="17"/>
        <v>2500</v>
      </c>
      <c r="L80" s="677">
        <v>6540</v>
      </c>
      <c r="M80" s="677" t="str">
        <f t="shared" si="16"/>
        <v>000</v>
      </c>
      <c r="N80" s="277" t="s">
        <v>618</v>
      </c>
    </row>
    <row r="81" spans="1:14" x14ac:dyDescent="0.2">
      <c r="A81" s="271" t="s">
        <v>250</v>
      </c>
      <c r="B81" s="271" t="s">
        <v>311</v>
      </c>
      <c r="C81" s="271" t="s">
        <v>312</v>
      </c>
      <c r="D81" s="676" t="str">
        <f t="shared" si="4"/>
        <v>100-100-2500-6610-000-32-06</v>
      </c>
      <c r="E81" s="271" t="s">
        <v>313</v>
      </c>
      <c r="F81" s="676">
        <f t="shared" si="15"/>
        <v>1500</v>
      </c>
      <c r="G81" s="675">
        <f>VLOOKUP(L81,'Function-Grant'!C:AN,13,FALSE)</f>
        <v>1500</v>
      </c>
      <c r="H81" s="272" t="s">
        <v>312</v>
      </c>
      <c r="J81" s="277" t="s">
        <v>269</v>
      </c>
      <c r="K81" s="677" t="str">
        <f t="shared" si="17"/>
        <v>2500</v>
      </c>
      <c r="L81" s="677">
        <v>6610</v>
      </c>
      <c r="M81" s="677" t="str">
        <f t="shared" si="16"/>
        <v>000</v>
      </c>
      <c r="N81" s="277" t="s">
        <v>618</v>
      </c>
    </row>
    <row r="82" spans="1:14" x14ac:dyDescent="0.2">
      <c r="A82" s="271" t="s">
        <v>250</v>
      </c>
      <c r="B82" s="271" t="s">
        <v>311</v>
      </c>
      <c r="C82" s="271" t="s">
        <v>312</v>
      </c>
      <c r="D82" s="676" t="str">
        <f t="shared" si="4"/>
        <v>100-100-2500-6612-000-32-06</v>
      </c>
      <c r="E82" s="271" t="s">
        <v>313</v>
      </c>
      <c r="F82" s="676">
        <f t="shared" si="15"/>
        <v>0</v>
      </c>
      <c r="G82" s="675">
        <f>VLOOKUP(L82,'Function-Grant'!C:AN,13,FALSE)</f>
        <v>0</v>
      </c>
      <c r="H82" s="272" t="s">
        <v>312</v>
      </c>
      <c r="J82" s="277" t="s">
        <v>269</v>
      </c>
      <c r="K82" s="677" t="str">
        <f t="shared" si="17"/>
        <v>2500</v>
      </c>
      <c r="L82" s="677">
        <v>6612</v>
      </c>
      <c r="M82" s="677" t="str">
        <f t="shared" si="16"/>
        <v>000</v>
      </c>
      <c r="N82" s="277" t="s">
        <v>618</v>
      </c>
    </row>
    <row r="83" spans="1:14" x14ac:dyDescent="0.2">
      <c r="A83" s="271" t="s">
        <v>250</v>
      </c>
      <c r="B83" s="271" t="s">
        <v>311</v>
      </c>
      <c r="C83" s="271" t="s">
        <v>312</v>
      </c>
      <c r="D83" s="676" t="str">
        <f t="shared" si="4"/>
        <v>100-100-2510--000-32-06</v>
      </c>
      <c r="G83" s="675"/>
      <c r="H83" s="272" t="s">
        <v>312</v>
      </c>
      <c r="J83" s="277" t="s">
        <v>324</v>
      </c>
      <c r="K83" s="677" t="str">
        <f t="shared" si="17"/>
        <v>2510</v>
      </c>
      <c r="L83" s="677"/>
      <c r="M83" s="677" t="str">
        <f t="shared" si="16"/>
        <v>000</v>
      </c>
      <c r="N83" s="277" t="s">
        <v>618</v>
      </c>
    </row>
    <row r="84" spans="1:14" x14ac:dyDescent="0.2">
      <c r="A84" s="271" t="s">
        <v>250</v>
      </c>
      <c r="B84" s="271" t="s">
        <v>311</v>
      </c>
      <c r="C84" s="271" t="s">
        <v>312</v>
      </c>
      <c r="D84" s="676" t="str">
        <f t="shared" si="4"/>
        <v>100-100-2510-6340-000-32-06</v>
      </c>
      <c r="E84" s="271" t="s">
        <v>313</v>
      </c>
      <c r="F84" s="676">
        <f t="shared" ref="F84:F85" si="18">IFERROR(G84,0)</f>
        <v>9504</v>
      </c>
      <c r="G84" s="675">
        <f>VLOOKUP(L84,'Function-Grant'!C:AN,14,FALSE)</f>
        <v>9504</v>
      </c>
      <c r="H84" s="272" t="s">
        <v>312</v>
      </c>
      <c r="J84" s="277" t="s">
        <v>324</v>
      </c>
      <c r="K84" s="677" t="str">
        <f t="shared" si="17"/>
        <v>2510</v>
      </c>
      <c r="L84" s="677">
        <v>6340</v>
      </c>
      <c r="M84" s="677" t="str">
        <f t="shared" si="16"/>
        <v>000</v>
      </c>
      <c r="N84" s="277" t="s">
        <v>618</v>
      </c>
    </row>
    <row r="85" spans="1:14" x14ac:dyDescent="0.2">
      <c r="A85" s="271" t="s">
        <v>250</v>
      </c>
      <c r="B85" s="271" t="s">
        <v>311</v>
      </c>
      <c r="C85" s="271" t="s">
        <v>312</v>
      </c>
      <c r="D85" s="676" t="str">
        <f t="shared" si="4"/>
        <v>100-100-2510-6810-000-32-06</v>
      </c>
      <c r="E85" s="271" t="s">
        <v>313</v>
      </c>
      <c r="F85" s="676">
        <f t="shared" si="18"/>
        <v>680</v>
      </c>
      <c r="G85" s="675">
        <f>VLOOKUP(L85,'Function-Grant'!C:AN,14,FALSE)</f>
        <v>680</v>
      </c>
      <c r="H85" s="272" t="s">
        <v>312</v>
      </c>
      <c r="J85" s="277" t="s">
        <v>324</v>
      </c>
      <c r="K85" s="677" t="str">
        <f t="shared" si="17"/>
        <v>2510</v>
      </c>
      <c r="L85" s="677">
        <v>6810</v>
      </c>
      <c r="M85" s="677" t="str">
        <f t="shared" si="16"/>
        <v>000</v>
      </c>
      <c r="N85" s="277" t="s">
        <v>618</v>
      </c>
    </row>
    <row r="86" spans="1:14" x14ac:dyDescent="0.2">
      <c r="A86" s="271" t="s">
        <v>250</v>
      </c>
      <c r="B86" s="271" t="s">
        <v>311</v>
      </c>
      <c r="C86" s="271" t="s">
        <v>312</v>
      </c>
      <c r="D86" s="676" t="str">
        <f t="shared" si="4"/>
        <v>100-100-2580--000-32-06</v>
      </c>
      <c r="G86" s="675"/>
      <c r="H86" s="272" t="s">
        <v>312</v>
      </c>
      <c r="J86" s="277" t="s">
        <v>272</v>
      </c>
      <c r="K86" s="677" t="str">
        <f t="shared" si="17"/>
        <v>2580</v>
      </c>
      <c r="L86" s="677"/>
      <c r="M86" s="677" t="str">
        <f t="shared" si="16"/>
        <v>000</v>
      </c>
      <c r="N86" s="277" t="s">
        <v>618</v>
      </c>
    </row>
    <row r="87" spans="1:14" x14ac:dyDescent="0.2">
      <c r="A87" s="271" t="s">
        <v>250</v>
      </c>
      <c r="B87" s="271" t="s">
        <v>311</v>
      </c>
      <c r="C87" s="271" t="s">
        <v>312</v>
      </c>
      <c r="D87" s="676" t="str">
        <f t="shared" ref="D87:D102" si="19">CONCATENATE("100-100-",K87,"-",L87,"-",M87,"-",N87)</f>
        <v>100-100-2580-6350-000-32-06</v>
      </c>
      <c r="E87" s="271" t="s">
        <v>313</v>
      </c>
      <c r="F87" s="676">
        <f t="shared" ref="F87:F89" si="20">IFERROR(G87,0)</f>
        <v>500</v>
      </c>
      <c r="G87" s="675">
        <f>VLOOKUP(L87,'Function-Grant'!C:AN,17,FALSE)</f>
        <v>500</v>
      </c>
      <c r="H87" s="272" t="s">
        <v>312</v>
      </c>
      <c r="J87" s="277" t="s">
        <v>272</v>
      </c>
      <c r="K87" s="677" t="str">
        <f t="shared" si="17"/>
        <v>2580</v>
      </c>
      <c r="L87" s="677">
        <v>6350</v>
      </c>
      <c r="M87" s="677" t="str">
        <f t="shared" si="16"/>
        <v>000</v>
      </c>
      <c r="N87" s="277" t="s">
        <v>618</v>
      </c>
    </row>
    <row r="88" spans="1:14" x14ac:dyDescent="0.2">
      <c r="A88" s="271" t="s">
        <v>250</v>
      </c>
      <c r="B88" s="271" t="s">
        <v>311</v>
      </c>
      <c r="C88" s="271" t="s">
        <v>312</v>
      </c>
      <c r="D88" s="676" t="str">
        <f t="shared" si="19"/>
        <v>100-100-2580-6651-000-32-06</v>
      </c>
      <c r="E88" s="271" t="s">
        <v>313</v>
      </c>
      <c r="F88" s="676">
        <f t="shared" si="20"/>
        <v>0</v>
      </c>
      <c r="G88" s="675">
        <f>VLOOKUP(L88,'Function-Grant'!C:AN,17,FALSE)</f>
        <v>0</v>
      </c>
      <c r="H88" s="272" t="s">
        <v>312</v>
      </c>
      <c r="J88" s="277" t="s">
        <v>272</v>
      </c>
      <c r="K88" s="677" t="str">
        <f t="shared" si="17"/>
        <v>2580</v>
      </c>
      <c r="L88" s="677">
        <v>6651</v>
      </c>
      <c r="M88" s="677" t="str">
        <f t="shared" si="16"/>
        <v>000</v>
      </c>
      <c r="N88" s="277" t="s">
        <v>618</v>
      </c>
    </row>
    <row r="89" spans="1:14" x14ac:dyDescent="0.2">
      <c r="A89" s="271" t="s">
        <v>250</v>
      </c>
      <c r="B89" s="271" t="s">
        <v>311</v>
      </c>
      <c r="C89" s="271" t="s">
        <v>312</v>
      </c>
      <c r="D89" s="676" t="str">
        <f t="shared" si="19"/>
        <v>100-100-2580-6652-000-32-06</v>
      </c>
      <c r="E89" s="271" t="s">
        <v>313</v>
      </c>
      <c r="F89" s="676">
        <f t="shared" si="20"/>
        <v>0</v>
      </c>
      <c r="G89" s="675">
        <f>VLOOKUP(L89,'Function-Grant'!C:AN,17,FALSE)</f>
        <v>0</v>
      </c>
      <c r="H89" s="272" t="s">
        <v>312</v>
      </c>
      <c r="J89" s="277" t="s">
        <v>272</v>
      </c>
      <c r="K89" s="677" t="str">
        <f t="shared" si="17"/>
        <v>2580</v>
      </c>
      <c r="L89" s="677">
        <v>6652</v>
      </c>
      <c r="M89" s="677" t="str">
        <f t="shared" si="16"/>
        <v>000</v>
      </c>
      <c r="N89" s="277" t="s">
        <v>618</v>
      </c>
    </row>
    <row r="90" spans="1:14" x14ac:dyDescent="0.2">
      <c r="A90" s="271" t="s">
        <v>250</v>
      </c>
      <c r="B90" s="271" t="s">
        <v>311</v>
      </c>
      <c r="C90" s="271" t="s">
        <v>312</v>
      </c>
      <c r="D90" s="676" t="str">
        <f t="shared" si="19"/>
        <v>100-100-2600--000-32-06</v>
      </c>
      <c r="G90" s="675"/>
      <c r="H90" s="272" t="s">
        <v>312</v>
      </c>
      <c r="J90" s="277" t="s">
        <v>273</v>
      </c>
      <c r="K90" s="677" t="str">
        <f t="shared" si="17"/>
        <v>2600</v>
      </c>
      <c r="L90" s="677"/>
      <c r="M90" s="677" t="str">
        <f t="shared" si="16"/>
        <v>000</v>
      </c>
      <c r="N90" s="277" t="s">
        <v>618</v>
      </c>
    </row>
    <row r="91" spans="1:14" x14ac:dyDescent="0.2">
      <c r="A91" s="271" t="s">
        <v>250</v>
      </c>
      <c r="B91" s="271" t="s">
        <v>311</v>
      </c>
      <c r="C91" s="271" t="s">
        <v>312</v>
      </c>
      <c r="D91" s="676" t="str">
        <f t="shared" si="19"/>
        <v>100-100-2600-6441-000-32-06</v>
      </c>
      <c r="E91" s="271" t="s">
        <v>313</v>
      </c>
      <c r="F91" s="676">
        <f t="shared" ref="F91:F98" si="21">IFERROR(G91,0)</f>
        <v>32760</v>
      </c>
      <c r="G91" s="675">
        <f>VLOOKUP(L91,'Function-Grant'!C:AN,18,FALSE)</f>
        <v>32760</v>
      </c>
      <c r="H91" s="272" t="s">
        <v>312</v>
      </c>
      <c r="J91" s="277" t="s">
        <v>273</v>
      </c>
      <c r="K91" s="677" t="str">
        <f t="shared" si="17"/>
        <v>2600</v>
      </c>
      <c r="L91" s="677">
        <v>6441</v>
      </c>
      <c r="M91" s="677" t="str">
        <f t="shared" si="16"/>
        <v>000</v>
      </c>
      <c r="N91" s="277" t="s">
        <v>618</v>
      </c>
    </row>
    <row r="92" spans="1:14" x14ac:dyDescent="0.2">
      <c r="A92" s="271" t="s">
        <v>250</v>
      </c>
      <c r="B92" s="271" t="s">
        <v>311</v>
      </c>
      <c r="C92" s="271" t="s">
        <v>312</v>
      </c>
      <c r="D92" s="676" t="str">
        <f t="shared" si="19"/>
        <v>100-100-2610--000-32-06</v>
      </c>
      <c r="G92" s="675"/>
      <c r="H92" s="272" t="s">
        <v>312</v>
      </c>
      <c r="J92" s="277" t="s">
        <v>274</v>
      </c>
      <c r="K92" s="677" t="str">
        <f t="shared" si="17"/>
        <v>2610</v>
      </c>
      <c r="L92" s="677"/>
      <c r="M92" s="677" t="str">
        <f t="shared" si="16"/>
        <v>000</v>
      </c>
      <c r="N92" s="277" t="s">
        <v>618</v>
      </c>
    </row>
    <row r="93" spans="1:14" x14ac:dyDescent="0.2">
      <c r="A93" s="271" t="s">
        <v>250</v>
      </c>
      <c r="B93" s="271" t="s">
        <v>311</v>
      </c>
      <c r="C93" s="271" t="s">
        <v>312</v>
      </c>
      <c r="D93" s="676" t="str">
        <f t="shared" si="19"/>
        <v>100-100-2610-6340-000-32-06</v>
      </c>
      <c r="E93" s="271" t="s">
        <v>313</v>
      </c>
      <c r="F93" s="676">
        <f t="shared" si="21"/>
        <v>0</v>
      </c>
      <c r="G93" s="675">
        <f>VLOOKUP(L93,'Function-Grant'!C:AN,19,FALSE)</f>
        <v>0</v>
      </c>
      <c r="H93" s="272" t="s">
        <v>312</v>
      </c>
      <c r="J93" s="277" t="s">
        <v>274</v>
      </c>
      <c r="K93" s="677" t="str">
        <f t="shared" si="17"/>
        <v>2610</v>
      </c>
      <c r="L93" s="677">
        <v>6340</v>
      </c>
      <c r="M93" s="677" t="str">
        <f t="shared" si="16"/>
        <v>000</v>
      </c>
      <c r="N93" s="277" t="s">
        <v>618</v>
      </c>
    </row>
    <row r="94" spans="1:14" x14ac:dyDescent="0.2">
      <c r="A94" s="271" t="s">
        <v>250</v>
      </c>
      <c r="B94" s="271" t="s">
        <v>311</v>
      </c>
      <c r="C94" s="271" t="s">
        <v>312</v>
      </c>
      <c r="D94" s="676" t="str">
        <f t="shared" si="19"/>
        <v>100-100-2610-6410-000-32-06</v>
      </c>
      <c r="E94" s="271" t="s">
        <v>313</v>
      </c>
      <c r="F94" s="676">
        <f t="shared" si="21"/>
        <v>600</v>
      </c>
      <c r="G94" s="675">
        <f>VLOOKUP(L94,'Function-Grant'!C:AN,19,FALSE)</f>
        <v>600</v>
      </c>
      <c r="H94" s="272" t="s">
        <v>312</v>
      </c>
      <c r="J94" s="277" t="s">
        <v>274</v>
      </c>
      <c r="K94" s="677" t="str">
        <f t="shared" si="17"/>
        <v>2610</v>
      </c>
      <c r="L94" s="677">
        <v>6410</v>
      </c>
      <c r="M94" s="677" t="str">
        <f t="shared" si="16"/>
        <v>000</v>
      </c>
      <c r="N94" s="277" t="s">
        <v>618</v>
      </c>
    </row>
    <row r="95" spans="1:14" x14ac:dyDescent="0.2">
      <c r="A95" s="271" t="s">
        <v>250</v>
      </c>
      <c r="B95" s="271" t="s">
        <v>311</v>
      </c>
      <c r="C95" s="271" t="s">
        <v>312</v>
      </c>
      <c r="D95" s="676" t="str">
        <f t="shared" si="19"/>
        <v>100-100-2610-6622-000-32-06</v>
      </c>
      <c r="E95" s="271" t="s">
        <v>313</v>
      </c>
      <c r="F95" s="676">
        <f t="shared" si="21"/>
        <v>1200</v>
      </c>
      <c r="G95" s="675">
        <f>VLOOKUP(L95,'Function-Grant'!C:AN,19,FALSE)</f>
        <v>1200</v>
      </c>
      <c r="H95" s="272" t="s">
        <v>312</v>
      </c>
      <c r="J95" s="277" t="s">
        <v>274</v>
      </c>
      <c r="K95" s="677" t="str">
        <f t="shared" si="17"/>
        <v>2610</v>
      </c>
      <c r="L95" s="677">
        <v>6622</v>
      </c>
      <c r="M95" s="677" t="str">
        <f t="shared" si="16"/>
        <v>000</v>
      </c>
      <c r="N95" s="277" t="s">
        <v>618</v>
      </c>
    </row>
    <row r="96" spans="1:14" x14ac:dyDescent="0.2">
      <c r="A96" s="271" t="s">
        <v>250</v>
      </c>
      <c r="B96" s="271" t="s">
        <v>311</v>
      </c>
      <c r="C96" s="271" t="s">
        <v>312</v>
      </c>
      <c r="D96" s="676" t="str">
        <f t="shared" si="19"/>
        <v>100-100-2620--000-32-06</v>
      </c>
      <c r="G96" s="675"/>
      <c r="H96" s="272" t="s">
        <v>312</v>
      </c>
      <c r="J96" s="277" t="s">
        <v>275</v>
      </c>
      <c r="K96" s="677" t="str">
        <f t="shared" si="17"/>
        <v>2620</v>
      </c>
      <c r="L96" s="677"/>
      <c r="M96" s="677" t="str">
        <f t="shared" si="16"/>
        <v>000</v>
      </c>
      <c r="N96" s="277" t="s">
        <v>618</v>
      </c>
    </row>
    <row r="97" spans="1:14" x14ac:dyDescent="0.2">
      <c r="A97" s="271" t="s">
        <v>250</v>
      </c>
      <c r="B97" s="271" t="s">
        <v>311</v>
      </c>
      <c r="C97" s="271" t="s">
        <v>312</v>
      </c>
      <c r="D97" s="676" t="str">
        <f t="shared" si="19"/>
        <v>100-100-2620-6420-000-32-06</v>
      </c>
      <c r="E97" s="271" t="s">
        <v>313</v>
      </c>
      <c r="F97" s="676">
        <f t="shared" si="21"/>
        <v>1600</v>
      </c>
      <c r="G97" s="675">
        <f>VLOOKUP(L97,'Function-Grant'!C:AN,20,FALSE)</f>
        <v>1600</v>
      </c>
      <c r="H97" s="272" t="s">
        <v>312</v>
      </c>
      <c r="J97" s="277" t="s">
        <v>275</v>
      </c>
      <c r="K97" s="677" t="str">
        <f t="shared" si="17"/>
        <v>2620</v>
      </c>
      <c r="L97" s="677">
        <v>6420</v>
      </c>
      <c r="M97" s="677" t="str">
        <f t="shared" si="16"/>
        <v>000</v>
      </c>
      <c r="N97" s="277" t="s">
        <v>618</v>
      </c>
    </row>
    <row r="98" spans="1:14" x14ac:dyDescent="0.2">
      <c r="A98" s="271" t="s">
        <v>250</v>
      </c>
      <c r="B98" s="271" t="s">
        <v>311</v>
      </c>
      <c r="C98" s="271" t="s">
        <v>312</v>
      </c>
      <c r="D98" s="676" t="str">
        <f t="shared" si="19"/>
        <v>100-100-2620-6430-000-32-06</v>
      </c>
      <c r="E98" s="271" t="s">
        <v>313</v>
      </c>
      <c r="F98" s="676">
        <f t="shared" si="21"/>
        <v>125</v>
      </c>
      <c r="G98" s="675">
        <f>VLOOKUP(L98,'Function-Grant'!C:AN,20,FALSE)</f>
        <v>125</v>
      </c>
      <c r="H98" s="272" t="s">
        <v>312</v>
      </c>
      <c r="J98" s="277" t="s">
        <v>275</v>
      </c>
      <c r="K98" s="677" t="str">
        <f t="shared" si="17"/>
        <v>2620</v>
      </c>
      <c r="L98" s="677">
        <v>6430</v>
      </c>
      <c r="M98" s="677" t="str">
        <f t="shared" si="16"/>
        <v>000</v>
      </c>
      <c r="N98" s="277" t="s">
        <v>618</v>
      </c>
    </row>
    <row r="99" spans="1:14" x14ac:dyDescent="0.2">
      <c r="A99" s="271" t="s">
        <v>250</v>
      </c>
      <c r="B99" s="271" t="s">
        <v>311</v>
      </c>
      <c r="C99" s="271" t="s">
        <v>312</v>
      </c>
      <c r="D99" s="676" t="str">
        <f t="shared" si="19"/>
        <v>100-100-2700--000-32-06</v>
      </c>
      <c r="G99" s="675"/>
      <c r="H99" s="272" t="s">
        <v>312</v>
      </c>
      <c r="J99" s="277" t="s">
        <v>338</v>
      </c>
      <c r="K99" s="677" t="str">
        <f t="shared" si="17"/>
        <v>2700</v>
      </c>
      <c r="L99" s="677"/>
      <c r="M99" s="677" t="str">
        <f t="shared" si="16"/>
        <v>000</v>
      </c>
      <c r="N99" s="277" t="s">
        <v>618</v>
      </c>
    </row>
    <row r="100" spans="1:14" x14ac:dyDescent="0.2">
      <c r="A100" s="271" t="s">
        <v>250</v>
      </c>
      <c r="B100" s="271" t="s">
        <v>311</v>
      </c>
      <c r="C100" s="271" t="s">
        <v>312</v>
      </c>
      <c r="D100" s="676" t="str">
        <f t="shared" si="19"/>
        <v>100-100-2710-6519-000-32-06</v>
      </c>
      <c r="E100" s="271" t="s">
        <v>313</v>
      </c>
      <c r="F100" s="676">
        <f t="shared" ref="F100:F102" si="22">IFERROR(G100,0)</f>
        <v>0</v>
      </c>
      <c r="G100" s="675">
        <f>VLOOKUP(L100,'Function-Grant'!C:AN,21,FALSE)</f>
        <v>0</v>
      </c>
      <c r="H100" s="272" t="s">
        <v>312</v>
      </c>
      <c r="J100" s="277" t="s">
        <v>276</v>
      </c>
      <c r="K100" s="677" t="str">
        <f t="shared" si="17"/>
        <v>2710</v>
      </c>
      <c r="L100" s="677">
        <v>6519</v>
      </c>
      <c r="M100" s="677" t="str">
        <f t="shared" si="16"/>
        <v>000</v>
      </c>
      <c r="N100" s="277" t="s">
        <v>618</v>
      </c>
    </row>
    <row r="101" spans="1:14" x14ac:dyDescent="0.2">
      <c r="A101" s="271" t="s">
        <v>250</v>
      </c>
      <c r="B101" s="271" t="s">
        <v>311</v>
      </c>
      <c r="C101" s="271" t="s">
        <v>312</v>
      </c>
      <c r="D101" s="676" t="str">
        <f t="shared" si="19"/>
        <v>100-100-2900--000-32-06</v>
      </c>
      <c r="G101" s="675"/>
      <c r="H101" s="272" t="s">
        <v>312</v>
      </c>
      <c r="J101" s="277" t="s">
        <v>277</v>
      </c>
      <c r="K101" s="677" t="str">
        <f t="shared" si="17"/>
        <v>2900</v>
      </c>
      <c r="L101" s="677"/>
      <c r="M101" s="677" t="str">
        <f t="shared" si="16"/>
        <v>000</v>
      </c>
      <c r="N101" s="277" t="s">
        <v>618</v>
      </c>
    </row>
    <row r="102" spans="1:14" x14ac:dyDescent="0.2">
      <c r="A102" s="271" t="s">
        <v>250</v>
      </c>
      <c r="B102" s="271" t="s">
        <v>311</v>
      </c>
      <c r="C102" s="271" t="s">
        <v>312</v>
      </c>
      <c r="D102" s="676" t="str">
        <f t="shared" si="19"/>
        <v>100-100-2900-6810-000-32-06</v>
      </c>
      <c r="E102" s="271" t="s">
        <v>313</v>
      </c>
      <c r="F102" s="676">
        <f t="shared" si="22"/>
        <v>0</v>
      </c>
      <c r="G102" s="675">
        <f>VLOOKUP(L102,'Function-Grant'!C:AN,22,FALSE)</f>
        <v>0</v>
      </c>
      <c r="H102" s="272" t="s">
        <v>312</v>
      </c>
      <c r="J102" s="277" t="s">
        <v>277</v>
      </c>
      <c r="K102" s="677" t="str">
        <f>LEFT(J102,4)</f>
        <v>2900</v>
      </c>
      <c r="L102" s="677">
        <v>6810</v>
      </c>
      <c r="M102" s="677" t="str">
        <f t="shared" si="16"/>
        <v>000</v>
      </c>
      <c r="N102" s="277" t="s">
        <v>618</v>
      </c>
    </row>
    <row r="103" spans="1:14" x14ac:dyDescent="0.2">
      <c r="G103" s="675"/>
    </row>
  </sheetData>
  <sortState ref="K5:K71">
    <sortCondition ref="K5"/>
  </sortState>
  <phoneticPr fontId="13" type="noConversion"/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M58"/>
  <sheetViews>
    <sheetView workbookViewId="0">
      <selection activeCell="S8" sqref="S8"/>
    </sheetView>
  </sheetViews>
  <sheetFormatPr defaultColWidth="8.85546875" defaultRowHeight="12.75" x14ac:dyDescent="0.2"/>
  <cols>
    <col min="1" max="1" width="1.7109375" style="119" customWidth="1"/>
    <col min="2" max="2" width="1.5703125" style="119" customWidth="1"/>
    <col min="3" max="3" width="20.85546875" style="119" bestFit="1" customWidth="1"/>
    <col min="4" max="4" width="1.28515625" style="119" customWidth="1"/>
    <col min="5" max="7" width="11.85546875" style="119" customWidth="1"/>
    <col min="8" max="8" width="2.28515625" style="119" customWidth="1"/>
    <col min="9" max="11" width="11.85546875" style="119" customWidth="1"/>
    <col min="12" max="12" width="1.85546875" style="119" customWidth="1"/>
    <col min="13" max="15" width="8.85546875" style="119"/>
    <col min="16" max="18" width="9.85546875" style="119" customWidth="1"/>
    <col min="19" max="19" width="8.85546875" style="119"/>
    <col min="20" max="20" width="21.28515625" style="119" customWidth="1"/>
    <col min="21" max="21" width="1.7109375" style="119" customWidth="1"/>
    <col min="22" max="26" width="12.7109375" style="119" customWidth="1"/>
    <col min="27" max="16384" width="8.85546875" style="119"/>
  </cols>
  <sheetData>
    <row r="1" spans="1:13" s="1" customFormat="1" ht="23.25" x14ac:dyDescent="0.35">
      <c r="A1" s="197" t="str">
        <f>'Rev &amp; Enroll'!$F$5</f>
        <v>Nevada State High School (Northwest)</v>
      </c>
      <c r="B1" s="81"/>
      <c r="C1" s="17"/>
      <c r="E1" s="2"/>
      <c r="G1" s="2"/>
      <c r="I1" s="2"/>
      <c r="K1" s="2"/>
      <c r="M1" s="2"/>
    </row>
    <row r="2" spans="1:13" s="1" customFormat="1" ht="15.75" x14ac:dyDescent="0.25">
      <c r="A2" s="198" t="str">
        <f>CONCATENATE('Rev &amp; Enroll'!F7," ","Board Summary")</f>
        <v>FY21 Board Summary</v>
      </c>
      <c r="B2" s="82"/>
      <c r="C2" s="17"/>
      <c r="D2" s="13"/>
      <c r="E2" s="2"/>
      <c r="G2" s="2"/>
      <c r="I2" s="2"/>
      <c r="K2" s="2"/>
      <c r="M2" s="2"/>
    </row>
    <row r="3" spans="1:13" s="6" customFormat="1" ht="13.5" customHeight="1" x14ac:dyDescent="0.2">
      <c r="A3" s="5" t="str">
        <f>'FY21'!A3</f>
        <v>Board Approved: Proposed: 4/16/2020</v>
      </c>
      <c r="B3" s="83"/>
      <c r="C3" s="17"/>
      <c r="E3" s="7"/>
      <c r="G3" s="7"/>
      <c r="I3" s="7"/>
      <c r="K3" s="7"/>
      <c r="M3" s="7"/>
    </row>
    <row r="4" spans="1:13" s="6" customFormat="1" ht="13.5" customHeight="1" x14ac:dyDescent="0.2">
      <c r="A4" s="5"/>
      <c r="B4" s="83"/>
      <c r="C4" s="17"/>
      <c r="E4" s="7"/>
      <c r="G4" s="7"/>
      <c r="I4" s="7"/>
      <c r="K4" s="7"/>
      <c r="M4" s="7"/>
    </row>
    <row r="5" spans="1:13" ht="15.6" customHeight="1" x14ac:dyDescent="0.2">
      <c r="A5" s="120"/>
      <c r="E5" s="684" t="s">
        <v>177</v>
      </c>
      <c r="F5" s="684"/>
      <c r="G5" s="684"/>
      <c r="H5" s="684"/>
      <c r="I5" s="684"/>
      <c r="J5" s="684"/>
      <c r="K5" s="684"/>
    </row>
    <row r="6" spans="1:13" x14ac:dyDescent="0.2">
      <c r="A6" s="120"/>
    </row>
    <row r="7" spans="1:13" x14ac:dyDescent="0.2">
      <c r="A7" s="120"/>
    </row>
    <row r="8" spans="1:13" x14ac:dyDescent="0.2">
      <c r="A8" s="120"/>
    </row>
    <row r="9" spans="1:13" x14ac:dyDescent="0.2">
      <c r="A9" s="121"/>
      <c r="B9" s="122"/>
      <c r="C9" s="122"/>
      <c r="D9" s="122"/>
      <c r="E9" s="122"/>
    </row>
    <row r="10" spans="1:13" x14ac:dyDescent="0.2">
      <c r="A10" s="121"/>
      <c r="B10" s="122"/>
      <c r="C10" s="122"/>
      <c r="D10" s="122"/>
      <c r="E10" s="122"/>
    </row>
    <row r="11" spans="1:13" x14ac:dyDescent="0.2">
      <c r="B11" s="123"/>
      <c r="C11" s="123"/>
      <c r="D11" s="123"/>
      <c r="E11" s="683" t="s">
        <v>560</v>
      </c>
      <c r="F11" s="683"/>
      <c r="G11" s="683"/>
      <c r="H11" s="123"/>
      <c r="I11" s="683" t="s">
        <v>146</v>
      </c>
      <c r="J11" s="683"/>
      <c r="K11" s="683"/>
    </row>
    <row r="12" spans="1:13" x14ac:dyDescent="0.2">
      <c r="B12" s="124"/>
      <c r="C12" s="125"/>
      <c r="D12" s="125"/>
      <c r="E12" s="126" t="s">
        <v>540</v>
      </c>
      <c r="F12" s="126" t="s">
        <v>509</v>
      </c>
      <c r="G12" s="126" t="s">
        <v>147</v>
      </c>
      <c r="H12" s="127"/>
      <c r="I12" s="126" t="s">
        <v>509</v>
      </c>
      <c r="J12" s="126" t="s">
        <v>526</v>
      </c>
      <c r="K12" s="126" t="s">
        <v>147</v>
      </c>
    </row>
    <row r="13" spans="1:13" x14ac:dyDescent="0.2">
      <c r="B13" s="124" t="s">
        <v>148</v>
      </c>
      <c r="C13" s="125"/>
      <c r="D13" s="125"/>
      <c r="E13" s="128"/>
      <c r="F13" s="129"/>
      <c r="G13" s="130"/>
      <c r="I13" s="128"/>
      <c r="J13" s="129"/>
      <c r="K13" s="130"/>
    </row>
    <row r="14" spans="1:13" x14ac:dyDescent="0.2">
      <c r="B14" s="124"/>
      <c r="C14" s="131" t="s">
        <v>172</v>
      </c>
      <c r="D14" s="131"/>
      <c r="E14" s="102">
        <f>'FY21'!U13</f>
        <v>295679.99999999994</v>
      </c>
      <c r="F14" s="171">
        <f>'Revised Budget'!U13</f>
        <v>0</v>
      </c>
      <c r="G14" s="103">
        <f>E14-F14</f>
        <v>295679.99999999994</v>
      </c>
      <c r="H14" s="104"/>
      <c r="I14" s="102">
        <f>'Revised Budget'!S13</f>
        <v>0</v>
      </c>
      <c r="J14" s="171">
        <f>'FY21'!S13</f>
        <v>443519.99999999994</v>
      </c>
      <c r="K14" s="103">
        <f>J14-I14</f>
        <v>443519.99999999994</v>
      </c>
    </row>
    <row r="15" spans="1:13" x14ac:dyDescent="0.2">
      <c r="B15" s="124"/>
      <c r="C15" s="125" t="s">
        <v>171</v>
      </c>
      <c r="D15" s="125"/>
      <c r="E15" s="105">
        <f>'FY21'!U17</f>
        <v>20400</v>
      </c>
      <c r="F15" s="172">
        <f>'Revised Budget'!U17</f>
        <v>0</v>
      </c>
      <c r="G15" s="106">
        <f t="shared" ref="G15:G17" si="0">E15-F15</f>
        <v>20400</v>
      </c>
      <c r="H15" s="107"/>
      <c r="I15" s="105">
        <f>'Revised Budget'!S17</f>
        <v>0</v>
      </c>
      <c r="J15" s="172">
        <f>'FY21'!S17</f>
        <v>51192</v>
      </c>
      <c r="K15" s="103">
        <f t="shared" ref="K15:K16" si="1">J15-I15</f>
        <v>51192</v>
      </c>
    </row>
    <row r="16" spans="1:13" x14ac:dyDescent="0.2">
      <c r="B16" s="124"/>
      <c r="C16" s="131" t="s">
        <v>149</v>
      </c>
      <c r="D16" s="131"/>
      <c r="E16" s="108">
        <f>'FY21'!U22</f>
        <v>0</v>
      </c>
      <c r="F16" s="152">
        <f>'Revised Budget'!U22</f>
        <v>0</v>
      </c>
      <c r="G16" s="109">
        <f t="shared" si="0"/>
        <v>0</v>
      </c>
      <c r="H16" s="110"/>
      <c r="I16" s="108">
        <f>'Revised Budget'!S22</f>
        <v>0</v>
      </c>
      <c r="J16" s="152">
        <f>'FY21'!S22</f>
        <v>0</v>
      </c>
      <c r="K16" s="103">
        <f t="shared" si="1"/>
        <v>0</v>
      </c>
      <c r="L16" s="110"/>
    </row>
    <row r="17" spans="2:13" ht="15" x14ac:dyDescent="0.35">
      <c r="B17" s="124"/>
      <c r="C17" s="132" t="s">
        <v>150</v>
      </c>
      <c r="D17" s="132"/>
      <c r="E17" s="111">
        <f>'FY21'!U25</f>
        <v>0</v>
      </c>
      <c r="F17" s="173">
        <f>'Revised Budget'!U25</f>
        <v>0</v>
      </c>
      <c r="G17" s="112">
        <f t="shared" si="0"/>
        <v>0</v>
      </c>
      <c r="H17" s="113"/>
      <c r="I17" s="111">
        <f>'Revised Budget'!S25</f>
        <v>0</v>
      </c>
      <c r="J17" s="173">
        <f>'FY21'!S25</f>
        <v>0</v>
      </c>
      <c r="K17" s="112">
        <f>J17-I17</f>
        <v>0</v>
      </c>
      <c r="L17" s="110"/>
    </row>
    <row r="18" spans="2:13" ht="5.0999999999999996" customHeight="1" x14ac:dyDescent="0.35">
      <c r="B18" s="124"/>
      <c r="C18" s="125"/>
      <c r="D18" s="125"/>
      <c r="E18" s="133"/>
      <c r="F18" s="152"/>
      <c r="G18" s="109"/>
      <c r="H18" s="110"/>
      <c r="I18" s="108"/>
      <c r="J18" s="152"/>
      <c r="K18" s="109"/>
      <c r="L18" s="110"/>
    </row>
    <row r="19" spans="2:13" s="120" customFormat="1" ht="15" x14ac:dyDescent="0.35">
      <c r="C19" s="124" t="s">
        <v>105</v>
      </c>
      <c r="D19" s="124"/>
      <c r="E19" s="133">
        <f>SUM(E14:E17)</f>
        <v>316079.99999999994</v>
      </c>
      <c r="F19" s="174">
        <f>SUM(F14:F17)</f>
        <v>0</v>
      </c>
      <c r="G19" s="134">
        <f>SUM(G14:G17)</f>
        <v>316079.99999999994</v>
      </c>
      <c r="H19" s="135"/>
      <c r="I19" s="133">
        <f>SUM(I14:I17)</f>
        <v>0</v>
      </c>
      <c r="J19" s="174">
        <f>SUM(J14:J17)</f>
        <v>494711.99999999994</v>
      </c>
      <c r="K19" s="134">
        <f>SUM(K14:K17)</f>
        <v>494711.99999999994</v>
      </c>
      <c r="L19" s="136"/>
      <c r="M19" s="372"/>
    </row>
    <row r="20" spans="2:13" ht="5.0999999999999996" customHeight="1" x14ac:dyDescent="0.2">
      <c r="B20" s="120"/>
      <c r="E20" s="108"/>
      <c r="F20" s="152"/>
      <c r="G20" s="109"/>
      <c r="H20" s="110"/>
      <c r="I20" s="108"/>
      <c r="J20" s="152"/>
      <c r="K20" s="109"/>
      <c r="L20" s="110"/>
    </row>
    <row r="21" spans="2:13" x14ac:dyDescent="0.2">
      <c r="B21" s="120" t="s">
        <v>59</v>
      </c>
      <c r="E21" s="114"/>
      <c r="F21" s="154"/>
      <c r="G21" s="115"/>
      <c r="H21" s="155"/>
      <c r="I21" s="114"/>
      <c r="J21" s="153"/>
      <c r="K21" s="115"/>
      <c r="L21" s="110"/>
    </row>
    <row r="22" spans="2:13" x14ac:dyDescent="0.2">
      <c r="B22" s="120"/>
      <c r="C22" s="119" t="s">
        <v>175</v>
      </c>
      <c r="E22" s="114">
        <f>'FY21'!U41</f>
        <v>101598.06133333335</v>
      </c>
      <c r="F22" s="154">
        <f>'Revised Budget'!U41</f>
        <v>0</v>
      </c>
      <c r="G22" s="115">
        <f>F22-E22</f>
        <v>-101598.06133333335</v>
      </c>
      <c r="H22" s="116"/>
      <c r="I22" s="114">
        <f>'Revised Budget'!S41</f>
        <v>0</v>
      </c>
      <c r="J22" s="153">
        <f>'FY21'!S41</f>
        <v>151647.092</v>
      </c>
      <c r="K22" s="115">
        <f>J22-I22</f>
        <v>151647.092</v>
      </c>
      <c r="L22" s="110"/>
    </row>
    <row r="23" spans="2:13" x14ac:dyDescent="0.2">
      <c r="B23" s="120"/>
      <c r="C23" s="119" t="s">
        <v>174</v>
      </c>
      <c r="E23" s="108">
        <f>'FY21'!U62</f>
        <v>27916.396974666663</v>
      </c>
      <c r="F23" s="175">
        <f>'Revised Budget'!U62</f>
        <v>0</v>
      </c>
      <c r="G23" s="109">
        <f t="shared" ref="G23:G30" si="2">F23-E23</f>
        <v>-27916.396974666663</v>
      </c>
      <c r="H23" s="110"/>
      <c r="I23" s="108">
        <f>'Revised Budget'!S62</f>
        <v>0</v>
      </c>
      <c r="J23" s="152">
        <f>'FY21'!S62</f>
        <v>41863.720461999997</v>
      </c>
      <c r="K23" s="115">
        <f t="shared" ref="K23:K29" si="3">J23-I23</f>
        <v>41863.720461999997</v>
      </c>
      <c r="L23" s="110"/>
    </row>
    <row r="24" spans="2:13" x14ac:dyDescent="0.2">
      <c r="B24" s="120"/>
      <c r="C24" s="137" t="s">
        <v>176</v>
      </c>
      <c r="D24" s="137"/>
      <c r="E24" s="108">
        <f>'FY21'!U74</f>
        <v>8778.6666666666661</v>
      </c>
      <c r="F24" s="175">
        <f>'Revised Budget'!U74</f>
        <v>0</v>
      </c>
      <c r="G24" s="109">
        <f t="shared" si="2"/>
        <v>-8778.6666666666661</v>
      </c>
      <c r="H24" s="110"/>
      <c r="I24" s="108">
        <f>'Revised Budget'!S74</f>
        <v>0</v>
      </c>
      <c r="J24" s="152">
        <f>'FY21'!S74</f>
        <v>13168</v>
      </c>
      <c r="K24" s="115">
        <f t="shared" si="3"/>
        <v>13168</v>
      </c>
      <c r="L24" s="110"/>
    </row>
    <row r="25" spans="2:13" x14ac:dyDescent="0.2">
      <c r="C25" s="137" t="s">
        <v>173</v>
      </c>
      <c r="D25" s="137"/>
      <c r="E25" s="108">
        <f>'FY21'!U80</f>
        <v>23240</v>
      </c>
      <c r="F25" s="175">
        <f>'Revised Budget'!U80</f>
        <v>0</v>
      </c>
      <c r="G25" s="109">
        <f t="shared" si="2"/>
        <v>-23240</v>
      </c>
      <c r="H25" s="110"/>
      <c r="I25" s="108">
        <f>'Revised Budget'!S80</f>
        <v>0</v>
      </c>
      <c r="J25" s="152">
        <f>'FY21'!S80</f>
        <v>36085</v>
      </c>
      <c r="K25" s="115">
        <f t="shared" si="3"/>
        <v>36085</v>
      </c>
      <c r="L25" s="110"/>
    </row>
    <row r="26" spans="2:13" x14ac:dyDescent="0.2">
      <c r="C26" s="137" t="s">
        <v>101</v>
      </c>
      <c r="D26" s="137"/>
      <c r="E26" s="108">
        <f>'FY21'!U94</f>
        <v>87016</v>
      </c>
      <c r="F26" s="175">
        <f>'Revised Budget'!U94</f>
        <v>0</v>
      </c>
      <c r="G26" s="109">
        <f t="shared" si="2"/>
        <v>-87016</v>
      </c>
      <c r="H26" s="110"/>
      <c r="I26" s="108">
        <f>'Revised Budget'!S94</f>
        <v>0</v>
      </c>
      <c r="J26" s="152">
        <f>'FY21'!S94</f>
        <v>194524</v>
      </c>
      <c r="K26" s="115">
        <f t="shared" si="3"/>
        <v>194524</v>
      </c>
      <c r="L26" s="110"/>
    </row>
    <row r="27" spans="2:13" x14ac:dyDescent="0.2">
      <c r="C27" s="137" t="s">
        <v>102</v>
      </c>
      <c r="D27" s="137"/>
      <c r="E27" s="108">
        <f>'FY21'!U103</f>
        <v>21742</v>
      </c>
      <c r="F27" s="175">
        <f>'Revised Budget'!U103</f>
        <v>0</v>
      </c>
      <c r="G27" s="109">
        <f t="shared" si="2"/>
        <v>-21742</v>
      </c>
      <c r="H27" s="110"/>
      <c r="I27" s="108">
        <f>'Revised Budget'!S103</f>
        <v>0</v>
      </c>
      <c r="J27" s="152">
        <f>'FY21'!S103</f>
        <v>41292</v>
      </c>
      <c r="K27" s="115">
        <f t="shared" si="3"/>
        <v>41292</v>
      </c>
      <c r="L27" s="110"/>
    </row>
    <row r="28" spans="2:13" x14ac:dyDescent="0.2">
      <c r="C28" s="137" t="s">
        <v>103</v>
      </c>
      <c r="D28" s="137"/>
      <c r="E28" s="108">
        <f>'FY21'!U106</f>
        <v>0</v>
      </c>
      <c r="F28" s="175">
        <f>'Revised Budget'!U106</f>
        <v>0</v>
      </c>
      <c r="G28" s="109">
        <f t="shared" si="2"/>
        <v>0</v>
      </c>
      <c r="H28" s="110"/>
      <c r="I28" s="108">
        <f>'Revised Budget'!S106</f>
        <v>0</v>
      </c>
      <c r="J28" s="152">
        <f>'FY21'!S106</f>
        <v>0</v>
      </c>
      <c r="K28" s="115">
        <f t="shared" si="3"/>
        <v>0</v>
      </c>
      <c r="L28" s="110"/>
    </row>
    <row r="29" spans="2:13" x14ac:dyDescent="0.2">
      <c r="C29" s="137" t="s">
        <v>104</v>
      </c>
      <c r="D29" s="137"/>
      <c r="E29" s="108">
        <f>'FY21'!U109</f>
        <v>640</v>
      </c>
      <c r="F29" s="175">
        <f>'Revised Budget'!U109</f>
        <v>0</v>
      </c>
      <c r="G29" s="109">
        <f t="shared" si="2"/>
        <v>-640</v>
      </c>
      <c r="H29" s="110"/>
      <c r="I29" s="108">
        <f>'Revised Budget'!S109</f>
        <v>0</v>
      </c>
      <c r="J29" s="152">
        <f>'FY21'!S109</f>
        <v>680</v>
      </c>
      <c r="K29" s="115">
        <f t="shared" si="3"/>
        <v>680</v>
      </c>
      <c r="L29" s="110"/>
    </row>
    <row r="30" spans="2:13" ht="15" x14ac:dyDescent="0.35">
      <c r="C30" s="137" t="s">
        <v>43</v>
      </c>
      <c r="D30" s="137"/>
      <c r="E30" s="607">
        <f>'FY21'!U113</f>
        <v>0</v>
      </c>
      <c r="F30" s="176">
        <f>'Revised Budget'!U113</f>
        <v>0</v>
      </c>
      <c r="G30" s="112">
        <f t="shared" si="2"/>
        <v>0</v>
      </c>
      <c r="H30" s="110"/>
      <c r="I30" s="111">
        <f>'Revised Budget'!S113</f>
        <v>0</v>
      </c>
      <c r="J30" s="176">
        <f>'FY21'!S113</f>
        <v>0</v>
      </c>
      <c r="K30" s="112">
        <f>J30-I30</f>
        <v>0</v>
      </c>
      <c r="L30" s="110"/>
    </row>
    <row r="31" spans="2:13" ht="5.0999999999999996" customHeight="1" x14ac:dyDescent="0.2">
      <c r="E31" s="108"/>
      <c r="F31" s="152"/>
      <c r="G31" s="109"/>
      <c r="H31" s="110"/>
      <c r="I31" s="108"/>
      <c r="J31" s="152"/>
      <c r="K31" s="109"/>
      <c r="L31" s="110"/>
    </row>
    <row r="32" spans="2:13" s="120" customFormat="1" ht="15" x14ac:dyDescent="0.35">
      <c r="C32" s="124" t="s">
        <v>107</v>
      </c>
      <c r="D32" s="124"/>
      <c r="E32" s="133">
        <f>ROUND(SUM(E22:E31),0)</f>
        <v>270931</v>
      </c>
      <c r="F32" s="174">
        <f>ROUND(SUM(F22:F31),0)</f>
        <v>0</v>
      </c>
      <c r="G32" s="134">
        <f>SUM(G22:G31)</f>
        <v>-270931.12497466663</v>
      </c>
      <c r="H32" s="135"/>
      <c r="I32" s="133">
        <f>ROUND(SUM(I22:I31),0)</f>
        <v>0</v>
      </c>
      <c r="J32" s="174">
        <f>ROUND(SUM(J22:J31),0)</f>
        <v>479260</v>
      </c>
      <c r="K32" s="134">
        <f>SUM(K22:K31)</f>
        <v>479259.812462</v>
      </c>
      <c r="L32" s="136"/>
      <c r="M32" s="119"/>
    </row>
    <row r="33" spans="2:13" x14ac:dyDescent="0.2">
      <c r="B33" s="124"/>
      <c r="C33" s="125"/>
      <c r="D33" s="125"/>
      <c r="E33" s="138"/>
      <c r="F33" s="237"/>
      <c r="G33" s="139"/>
      <c r="H33" s="140"/>
      <c r="I33" s="138"/>
      <c r="J33" s="237"/>
      <c r="K33" s="139"/>
    </row>
    <row r="34" spans="2:13" s="141" customFormat="1" x14ac:dyDescent="0.2">
      <c r="C34" s="141" t="s">
        <v>151</v>
      </c>
      <c r="E34" s="138">
        <f>E19-E32</f>
        <v>45148.999999999942</v>
      </c>
      <c r="F34" s="237">
        <f>F19-F32</f>
        <v>0</v>
      </c>
      <c r="G34" s="139">
        <f>G19+G32</f>
        <v>45148.875025333313</v>
      </c>
      <c r="H34" s="140"/>
      <c r="I34" s="138">
        <f>I19-I32</f>
        <v>0</v>
      </c>
      <c r="J34" s="237">
        <f>J19-J32</f>
        <v>15451.999999999942</v>
      </c>
      <c r="K34" s="139">
        <f>K19-K32</f>
        <v>15452.18753799994</v>
      </c>
    </row>
    <row r="35" spans="2:13" s="141" customFormat="1" ht="5.0999999999999996" customHeight="1" x14ac:dyDescent="0.2">
      <c r="E35" s="142"/>
      <c r="F35" s="235"/>
      <c r="G35" s="143"/>
      <c r="I35" s="142"/>
      <c r="J35" s="235"/>
      <c r="K35" s="143"/>
    </row>
    <row r="36" spans="2:13" s="141" customFormat="1" ht="15" x14ac:dyDescent="0.35">
      <c r="C36" s="144" t="s">
        <v>152</v>
      </c>
      <c r="E36" s="145">
        <f>Budget!E33</f>
        <v>120000</v>
      </c>
      <c r="F36" s="238">
        <f>E36</f>
        <v>120000</v>
      </c>
      <c r="G36" s="143"/>
      <c r="H36" s="146"/>
      <c r="I36" s="145">
        <f>E36</f>
        <v>120000</v>
      </c>
      <c r="J36" s="238">
        <f>E36</f>
        <v>120000</v>
      </c>
      <c r="K36" s="143"/>
    </row>
    <row r="37" spans="2:13" s="141" customFormat="1" ht="18" customHeight="1" x14ac:dyDescent="0.35">
      <c r="C37" s="147" t="s">
        <v>153</v>
      </c>
      <c r="E37" s="148">
        <f>E34+E36</f>
        <v>165148.99999999994</v>
      </c>
      <c r="F37" s="234">
        <f>F34+F36</f>
        <v>120000</v>
      </c>
      <c r="G37" s="143"/>
      <c r="H37" s="149"/>
      <c r="I37" s="148">
        <f>I34+I36</f>
        <v>120000</v>
      </c>
      <c r="J37" s="234">
        <f>J34+J36</f>
        <v>135451.99999999994</v>
      </c>
      <c r="K37" s="143"/>
    </row>
    <row r="38" spans="2:13" s="117" customFormat="1" ht="4.9000000000000004" customHeight="1" x14ac:dyDescent="0.2">
      <c r="C38" s="118"/>
      <c r="E38" s="244"/>
      <c r="F38" s="245"/>
      <c r="G38" s="246"/>
      <c r="H38" s="224"/>
      <c r="I38" s="244"/>
      <c r="J38" s="245"/>
      <c r="K38" s="247"/>
    </row>
    <row r="39" spans="2:13" s="117" customFormat="1" ht="13.35" customHeight="1" x14ac:dyDescent="0.2"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</row>
    <row r="40" spans="2:13" s="141" customFormat="1" x14ac:dyDescent="0.2">
      <c r="E40" s="242" t="s">
        <v>179</v>
      </c>
      <c r="F40" s="233"/>
      <c r="G40" s="233"/>
    </row>
    <row r="41" spans="2:13" s="141" customFormat="1" x14ac:dyDescent="0.2">
      <c r="E41" s="243" t="s">
        <v>251</v>
      </c>
      <c r="G41" s="233"/>
      <c r="I41" s="643" t="s">
        <v>345</v>
      </c>
      <c r="J41" s="603">
        <f>J37/(J32-J30)*365</f>
        <v>103.15899511747271</v>
      </c>
    </row>
    <row r="42" spans="2:13" s="141" customFormat="1" x14ac:dyDescent="0.2">
      <c r="E42" s="243" t="s">
        <v>180</v>
      </c>
      <c r="G42" s="233"/>
      <c r="H42" s="233"/>
      <c r="I42" s="600" t="s">
        <v>345</v>
      </c>
      <c r="J42" s="600" t="s">
        <v>345</v>
      </c>
    </row>
    <row r="43" spans="2:13" s="141" customFormat="1" x14ac:dyDescent="0.2">
      <c r="E43" s="243" t="s">
        <v>181</v>
      </c>
      <c r="G43" s="233"/>
      <c r="H43" s="233"/>
      <c r="I43" s="600" t="s">
        <v>345</v>
      </c>
      <c r="J43" s="604">
        <f>+J34/J19</f>
        <v>3.123433431976573E-2</v>
      </c>
    </row>
    <row r="44" spans="2:13" s="141" customFormat="1" x14ac:dyDescent="0.2">
      <c r="E44" s="243" t="s">
        <v>182</v>
      </c>
      <c r="G44" s="233"/>
      <c r="H44" s="233"/>
      <c r="I44" s="600" t="s">
        <v>345</v>
      </c>
      <c r="J44" s="605" t="s">
        <v>345</v>
      </c>
    </row>
    <row r="45" spans="2:13" s="141" customFormat="1" x14ac:dyDescent="0.2">
      <c r="E45" s="243" t="s">
        <v>183</v>
      </c>
      <c r="G45" s="233"/>
      <c r="H45" s="233"/>
      <c r="I45" s="600" t="s">
        <v>345</v>
      </c>
      <c r="J45" s="605" t="s">
        <v>345</v>
      </c>
    </row>
    <row r="46" spans="2:13" ht="5.0999999999999996" customHeight="1" x14ac:dyDescent="0.2">
      <c r="G46" s="233"/>
      <c r="I46" s="606"/>
      <c r="J46" s="150"/>
    </row>
    <row r="47" spans="2:13" ht="15" customHeight="1" x14ac:dyDescent="0.2"/>
    <row r="53" spans="3:4" x14ac:dyDescent="0.2">
      <c r="C53" s="151"/>
      <c r="D53" s="151"/>
    </row>
    <row r="54" spans="3:4" x14ac:dyDescent="0.2">
      <c r="C54" s="151"/>
      <c r="D54" s="151"/>
    </row>
    <row r="55" spans="3:4" x14ac:dyDescent="0.2">
      <c r="C55" s="151"/>
      <c r="D55" s="151"/>
    </row>
    <row r="56" spans="3:4" x14ac:dyDescent="0.2">
      <c r="C56" s="151"/>
      <c r="D56" s="151"/>
    </row>
    <row r="57" spans="3:4" x14ac:dyDescent="0.2">
      <c r="C57" s="151"/>
      <c r="D57" s="151"/>
    </row>
    <row r="58" spans="3:4" ht="5.0999999999999996" customHeight="1" x14ac:dyDescent="0.2"/>
  </sheetData>
  <mergeCells count="3">
    <mergeCell ref="E11:G11"/>
    <mergeCell ref="I11:K11"/>
    <mergeCell ref="E5:K5"/>
  </mergeCells>
  <printOptions horizontalCentered="1"/>
  <pageMargins left="0.3" right="0.2" top="0.35" bottom="0.25" header="0.3" footer="0.3"/>
  <pageSetup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A1:P288"/>
  <sheetViews>
    <sheetView workbookViewId="0">
      <selection sqref="A1:XFD1048576"/>
    </sheetView>
  </sheetViews>
  <sheetFormatPr defaultColWidth="8.85546875" defaultRowHeight="15" x14ac:dyDescent="0.25"/>
  <cols>
    <col min="1" max="1" width="3.140625" style="14" customWidth="1"/>
    <col min="2" max="2" width="2.140625" style="88" customWidth="1"/>
    <col min="3" max="3" width="7.85546875" style="20" customWidth="1"/>
    <col min="4" max="4" width="32.140625" style="14" customWidth="1"/>
    <col min="5" max="5" width="10.85546875" style="14" customWidth="1"/>
    <col min="6" max="6" width="1" style="14" customWidth="1"/>
    <col min="7" max="7" width="10.85546875" style="14" customWidth="1"/>
    <col min="8" max="8" width="1" style="14" customWidth="1"/>
    <col min="9" max="9" width="10.85546875" style="14" customWidth="1"/>
    <col min="10" max="10" width="1" style="14" customWidth="1"/>
    <col min="11" max="11" width="10.85546875" style="14" customWidth="1"/>
    <col min="12" max="12" width="1" style="14" customWidth="1"/>
    <col min="13" max="13" width="10.85546875" style="14" customWidth="1"/>
    <col min="14" max="16384" width="8.85546875" style="14"/>
  </cols>
  <sheetData>
    <row r="1" spans="1:13" s="1" customFormat="1" ht="21" x14ac:dyDescent="0.35">
      <c r="A1" s="11" t="str">
        <f>'Rev &amp; Enroll'!$F$5</f>
        <v>Nevada State High School (Northwest)</v>
      </c>
      <c r="B1" s="81"/>
      <c r="C1" s="17"/>
      <c r="E1" s="2"/>
      <c r="G1" s="2"/>
      <c r="I1" s="2"/>
      <c r="K1" s="2"/>
      <c r="M1" s="2"/>
    </row>
    <row r="2" spans="1:13" s="1" customFormat="1" x14ac:dyDescent="0.25">
      <c r="A2" s="12" t="s">
        <v>137</v>
      </c>
      <c r="B2" s="82"/>
      <c r="C2" s="17"/>
      <c r="D2" s="13"/>
      <c r="E2" s="2"/>
      <c r="G2" s="2"/>
      <c r="I2" s="2"/>
      <c r="K2" s="2"/>
      <c r="M2" s="2"/>
    </row>
    <row r="3" spans="1:13" s="6" customFormat="1" ht="13.5" customHeight="1" x14ac:dyDescent="0.2">
      <c r="A3" s="5" t="str">
        <f>'FY21'!A3</f>
        <v>Board Approved: Proposed: 4/16/2020</v>
      </c>
      <c r="B3" s="83"/>
      <c r="C3" s="17"/>
      <c r="E3" s="7"/>
      <c r="G3" s="7"/>
      <c r="I3" s="7"/>
      <c r="K3" s="7"/>
      <c r="M3" s="7"/>
    </row>
    <row r="4" spans="1:13" s="9" customFormat="1" ht="12" x14ac:dyDescent="0.25">
      <c r="B4" s="84"/>
      <c r="C4" s="19"/>
      <c r="D4" s="10"/>
      <c r="E4" s="33" t="str">
        <f>'Rev &amp; Enroll'!F7</f>
        <v>FY21</v>
      </c>
      <c r="G4" s="33" t="str">
        <f>'Rev &amp; Enroll'!H7</f>
        <v>FY22</v>
      </c>
      <c r="I4" s="33" t="str">
        <f>'Rev &amp; Enroll'!J7</f>
        <v>FY23</v>
      </c>
      <c r="K4" s="33" t="str">
        <f>'Rev &amp; Enroll'!L7</f>
        <v>FY24</v>
      </c>
      <c r="M4" s="33" t="str">
        <f>'Rev &amp; Enroll'!N7</f>
        <v>FY25</v>
      </c>
    </row>
    <row r="5" spans="1:13" s="54" customFormat="1" ht="12" x14ac:dyDescent="0.2">
      <c r="B5" s="85" t="s">
        <v>141</v>
      </c>
      <c r="C5" s="79"/>
      <c r="D5" s="10"/>
      <c r="E5" s="80"/>
      <c r="F5" s="80"/>
      <c r="G5" s="80"/>
      <c r="H5" s="80"/>
      <c r="I5" s="80"/>
      <c r="J5" s="80"/>
      <c r="K5" s="80"/>
      <c r="L5" s="80"/>
      <c r="M5" s="80"/>
    </row>
    <row r="6" spans="1:13" s="54" customFormat="1" ht="12" x14ac:dyDescent="0.2">
      <c r="B6" s="85"/>
      <c r="C6" s="79"/>
      <c r="D6" s="89" t="s">
        <v>142</v>
      </c>
      <c r="E6" s="90">
        <f>'Rev &amp; Enroll'!F24</f>
        <v>88</v>
      </c>
      <c r="F6" s="90"/>
      <c r="G6" s="90">
        <f>'Rev &amp; Enroll'!H24</f>
        <v>101.19999999999999</v>
      </c>
      <c r="H6" s="90"/>
      <c r="I6" s="90">
        <f>'Rev &amp; Enroll'!J24</f>
        <v>116.38</v>
      </c>
      <c r="J6" s="90"/>
      <c r="K6" s="90">
        <f>'Rev &amp; Enroll'!L24</f>
        <v>128.018</v>
      </c>
      <c r="L6" s="90"/>
      <c r="M6" s="91">
        <f>'Rev &amp; Enroll'!N24</f>
        <v>140.81979999999999</v>
      </c>
    </row>
    <row r="7" spans="1:13" s="54" customFormat="1" ht="12" x14ac:dyDescent="0.2">
      <c r="B7" s="85"/>
      <c r="C7" s="79"/>
      <c r="D7" s="92" t="s">
        <v>143</v>
      </c>
      <c r="E7" s="93">
        <f>'Rev &amp; Enroll'!F37</f>
        <v>5040</v>
      </c>
      <c r="F7" s="93"/>
      <c r="G7" s="93">
        <f>'Rev &amp; Enroll'!H37</f>
        <v>5040</v>
      </c>
      <c r="H7" s="93"/>
      <c r="I7" s="93">
        <f>'Rev &amp; Enroll'!J37</f>
        <v>5040</v>
      </c>
      <c r="J7" s="93"/>
      <c r="K7" s="93">
        <f>'Rev &amp; Enroll'!L37</f>
        <v>5040</v>
      </c>
      <c r="L7" s="93"/>
      <c r="M7" s="94">
        <f>'Rev &amp; Enroll'!N37</f>
        <v>5040</v>
      </c>
    </row>
    <row r="8" spans="1:13" s="54" customFormat="1" ht="12" x14ac:dyDescent="0.2">
      <c r="B8" s="85"/>
      <c r="C8" s="79"/>
      <c r="D8" s="95" t="s">
        <v>189</v>
      </c>
      <c r="E8" s="96" t="s">
        <v>84</v>
      </c>
      <c r="F8" s="97"/>
      <c r="G8" s="213">
        <f>'Rev &amp; Enroll'!H34</f>
        <v>0.15</v>
      </c>
      <c r="H8" s="213"/>
      <c r="I8" s="213">
        <f>'Rev &amp; Enroll'!J34</f>
        <v>0.15</v>
      </c>
      <c r="J8" s="213"/>
      <c r="K8" s="213">
        <f>'Rev &amp; Enroll'!L34</f>
        <v>0.1</v>
      </c>
      <c r="L8" s="213"/>
      <c r="M8" s="214">
        <f>'Rev &amp; Enroll'!N34</f>
        <v>0.1</v>
      </c>
    </row>
    <row r="9" spans="1:13" s="54" customFormat="1" ht="12" x14ac:dyDescent="0.2">
      <c r="B9" s="85"/>
      <c r="C9" s="79"/>
      <c r="D9" s="92" t="s">
        <v>144</v>
      </c>
      <c r="E9" s="209" t="s">
        <v>84</v>
      </c>
      <c r="F9" s="93"/>
      <c r="G9" s="210">
        <f>Payroll!Y7</f>
        <v>0.02</v>
      </c>
      <c r="H9" s="211"/>
      <c r="I9" s="210">
        <f>Payroll!AA7</f>
        <v>0.02</v>
      </c>
      <c r="J9" s="211"/>
      <c r="K9" s="210">
        <f>Payroll!AC7</f>
        <v>0.02</v>
      </c>
      <c r="L9" s="211"/>
      <c r="M9" s="212">
        <f>Payroll!AE7</f>
        <v>0.02</v>
      </c>
    </row>
    <row r="10" spans="1:13" s="54" customFormat="1" ht="12" x14ac:dyDescent="0.2">
      <c r="B10" s="85"/>
      <c r="C10" s="79"/>
      <c r="D10" s="215" t="s">
        <v>145</v>
      </c>
      <c r="E10" s="216" t="s">
        <v>84</v>
      </c>
      <c r="F10" s="217"/>
      <c r="G10" s="218">
        <v>0.02</v>
      </c>
      <c r="H10" s="219"/>
      <c r="I10" s="218">
        <v>0.02</v>
      </c>
      <c r="J10" s="219"/>
      <c r="K10" s="218">
        <v>0.02</v>
      </c>
      <c r="L10" s="219"/>
      <c r="M10" s="220">
        <v>0.02</v>
      </c>
    </row>
    <row r="11" spans="1:13" s="54" customFormat="1" ht="12" x14ac:dyDescent="0.2">
      <c r="B11" s="85"/>
      <c r="C11" s="79"/>
      <c r="D11" s="10"/>
      <c r="E11" s="80"/>
      <c r="F11" s="80"/>
      <c r="G11" s="80"/>
      <c r="H11" s="80"/>
      <c r="I11" s="80"/>
      <c r="J11" s="80"/>
      <c r="K11" s="80"/>
      <c r="L11" s="80"/>
      <c r="M11" s="80"/>
    </row>
    <row r="12" spans="1:13" s="37" customFormat="1" ht="12" x14ac:dyDescent="0.2">
      <c r="B12" s="45" t="s">
        <v>58</v>
      </c>
      <c r="C12" s="38"/>
      <c r="E12" s="39"/>
      <c r="F12" s="39"/>
      <c r="G12" s="39"/>
      <c r="H12" s="39"/>
      <c r="I12" s="39"/>
      <c r="J12" s="39"/>
      <c r="K12" s="39"/>
      <c r="L12" s="39"/>
      <c r="M12" s="39"/>
    </row>
    <row r="13" spans="1:13" s="37" customFormat="1" ht="12" x14ac:dyDescent="0.2">
      <c r="B13" s="45"/>
      <c r="C13" s="49" t="s">
        <v>170</v>
      </c>
      <c r="E13" s="39"/>
      <c r="F13" s="39"/>
      <c r="G13" s="39"/>
      <c r="H13" s="39"/>
      <c r="I13" s="39"/>
      <c r="J13" s="39"/>
      <c r="K13" s="39"/>
      <c r="L13" s="39"/>
      <c r="M13" s="39"/>
    </row>
    <row r="14" spans="1:13" s="37" customFormat="1" ht="12" x14ac:dyDescent="0.2">
      <c r="B14" s="86"/>
      <c r="C14" s="205">
        <v>1110</v>
      </c>
      <c r="D14" s="37" t="s">
        <v>0</v>
      </c>
      <c r="E14" s="180">
        <f>'FY21'!S8</f>
        <v>117089.28000000001</v>
      </c>
      <c r="F14" s="180"/>
      <c r="G14" s="180">
        <f>'FY22'!S8</f>
        <v>134652.67199999996</v>
      </c>
      <c r="H14" s="180"/>
      <c r="I14" s="180">
        <f>'FY23'!S8</f>
        <v>154850.57279999994</v>
      </c>
      <c r="J14" s="180"/>
      <c r="K14" s="180">
        <f>'FY24'!S8</f>
        <v>170335.63008</v>
      </c>
      <c r="L14" s="180"/>
      <c r="M14" s="180">
        <f>'FY25'!S8</f>
        <v>187369.19308799994</v>
      </c>
    </row>
    <row r="15" spans="1:13" s="37" customFormat="1" ht="12" x14ac:dyDescent="0.2">
      <c r="B15" s="86"/>
      <c r="C15" s="205">
        <v>1120</v>
      </c>
      <c r="D15" s="37" t="s">
        <v>1</v>
      </c>
      <c r="E15" s="39">
        <f>'FY21'!S9</f>
        <v>128620.79999999994</v>
      </c>
      <c r="F15" s="39"/>
      <c r="G15" s="362">
        <f>'FY22'!S9</f>
        <v>147913.91999999998</v>
      </c>
      <c r="H15" s="362"/>
      <c r="I15" s="362">
        <f>'FY23'!S9</f>
        <v>170101.008</v>
      </c>
      <c r="J15" s="362"/>
      <c r="K15" s="362">
        <f>'FY24'!S9</f>
        <v>187111.10879999996</v>
      </c>
      <c r="L15" s="362"/>
      <c r="M15" s="362">
        <f>'FY25'!S9</f>
        <v>205822.21968000001</v>
      </c>
    </row>
    <row r="16" spans="1:13" s="37" customFormat="1" ht="12" x14ac:dyDescent="0.2">
      <c r="B16" s="86"/>
      <c r="C16" s="205">
        <v>1191</v>
      </c>
      <c r="D16" s="37" t="s">
        <v>2</v>
      </c>
      <c r="E16" s="39">
        <f>'FY21'!S10</f>
        <v>443.51999999999981</v>
      </c>
      <c r="F16" s="39"/>
      <c r="G16" s="362">
        <f>'FY22'!S10</f>
        <v>510.048</v>
      </c>
      <c r="H16" s="362"/>
      <c r="I16" s="362">
        <f>'FY23'!S10</f>
        <v>586.55519999999979</v>
      </c>
      <c r="J16" s="362"/>
      <c r="K16" s="362">
        <f>'FY24'!S10</f>
        <v>645.21071999999992</v>
      </c>
      <c r="L16" s="362"/>
      <c r="M16" s="362">
        <f>'FY25'!S10</f>
        <v>709.73179199999993</v>
      </c>
    </row>
    <row r="17" spans="2:13" s="37" customFormat="1" ht="12" x14ac:dyDescent="0.2">
      <c r="B17" s="86"/>
      <c r="C17" s="205">
        <v>1192</v>
      </c>
      <c r="D17" s="37" t="s">
        <v>3</v>
      </c>
      <c r="E17" s="39">
        <f>'FY21'!S11</f>
        <v>13749.12</v>
      </c>
      <c r="F17" s="39"/>
      <c r="G17" s="362">
        <f>'FY22'!S11</f>
        <v>15811.487999999998</v>
      </c>
      <c r="H17" s="362"/>
      <c r="I17" s="362">
        <f>'FY23'!S11</f>
        <v>18183.211199999994</v>
      </c>
      <c r="J17" s="362"/>
      <c r="K17" s="362">
        <f>'FY24'!S11</f>
        <v>20001.532319999998</v>
      </c>
      <c r="L17" s="362"/>
      <c r="M17" s="362">
        <f>'FY25'!S11</f>
        <v>22001.685551999995</v>
      </c>
    </row>
    <row r="18" spans="2:13" s="37" customFormat="1" ht="12" x14ac:dyDescent="0.2">
      <c r="B18" s="86"/>
      <c r="C18" s="205">
        <v>3110</v>
      </c>
      <c r="D18" s="37" t="s">
        <v>73</v>
      </c>
      <c r="E18" s="39">
        <f>'FY21'!S12</f>
        <v>183617.28</v>
      </c>
      <c r="F18" s="39"/>
      <c r="G18" s="362">
        <f>'FY22'!S12</f>
        <v>211159.87199999989</v>
      </c>
      <c r="H18" s="362"/>
      <c r="I18" s="362">
        <f>'FY23'!S12</f>
        <v>242833.85279999996</v>
      </c>
      <c r="J18" s="362"/>
      <c r="K18" s="362">
        <f>'FY24'!S12</f>
        <v>267117.23807999992</v>
      </c>
      <c r="L18" s="362"/>
      <c r="M18" s="362">
        <f>'FY25'!S12</f>
        <v>293828.96188799996</v>
      </c>
    </row>
    <row r="19" spans="2:13" s="37" customFormat="1" ht="12" x14ac:dyDescent="0.2">
      <c r="B19" s="86"/>
      <c r="C19" s="38"/>
      <c r="E19" s="50">
        <f>SUBTOTAL(9,E14:E18)</f>
        <v>443519.99999999994</v>
      </c>
      <c r="F19" s="39"/>
      <c r="G19" s="50">
        <f>SUBTOTAL(9,G14:G18)</f>
        <v>510047.99999999988</v>
      </c>
      <c r="H19" s="39"/>
      <c r="I19" s="50">
        <f>SUBTOTAL(9,I14:I18)</f>
        <v>586555.19999999995</v>
      </c>
      <c r="J19" s="39"/>
      <c r="K19" s="50">
        <f>SUBTOTAL(9,K14:K18)</f>
        <v>645210.71999999986</v>
      </c>
      <c r="L19" s="39"/>
      <c r="M19" s="50">
        <f>SUBTOTAL(9,M14:M18)</f>
        <v>709731.7919999999</v>
      </c>
    </row>
    <row r="20" spans="2:13" s="37" customFormat="1" ht="12" x14ac:dyDescent="0.2">
      <c r="B20" s="86"/>
      <c r="C20" s="49" t="s">
        <v>171</v>
      </c>
      <c r="E20" s="39"/>
      <c r="F20" s="39"/>
      <c r="G20" s="39"/>
      <c r="H20" s="39"/>
      <c r="I20" s="39"/>
      <c r="J20" s="39"/>
      <c r="K20" s="39"/>
      <c r="L20" s="39"/>
      <c r="M20" s="39"/>
    </row>
    <row r="21" spans="2:13" s="37" customFormat="1" ht="12" x14ac:dyDescent="0.2">
      <c r="B21" s="86"/>
      <c r="C21" s="199">
        <v>3115</v>
      </c>
      <c r="D21" s="37" t="s">
        <v>5</v>
      </c>
      <c r="E21" s="39">
        <f>'FY21'!S15</f>
        <v>0</v>
      </c>
      <c r="F21" s="39"/>
      <c r="G21" s="39">
        <f>'FY22'!S15</f>
        <v>0</v>
      </c>
      <c r="H21" s="39"/>
      <c r="I21" s="39">
        <f>'FY23'!S15</f>
        <v>0</v>
      </c>
      <c r="J21" s="39"/>
      <c r="K21" s="39">
        <f>'FY24'!S15</f>
        <v>0</v>
      </c>
      <c r="L21" s="39"/>
      <c r="M21" s="39">
        <f>'FY25'!S15</f>
        <v>0</v>
      </c>
    </row>
    <row r="22" spans="2:13" s="37" customFormat="1" ht="12" x14ac:dyDescent="0.2">
      <c r="B22" s="86"/>
      <c r="C22" s="199">
        <v>3200</v>
      </c>
      <c r="D22" s="37" t="s">
        <v>6</v>
      </c>
      <c r="E22" s="39">
        <f>'FY21'!S16</f>
        <v>51192</v>
      </c>
      <c r="F22" s="39"/>
      <c r="G22" s="39">
        <f>'FY22'!S16</f>
        <v>0</v>
      </c>
      <c r="H22" s="39"/>
      <c r="I22" s="39">
        <f>'FY23'!S16</f>
        <v>0</v>
      </c>
      <c r="J22" s="39"/>
      <c r="K22" s="39">
        <f>'FY24'!S16</f>
        <v>0</v>
      </c>
      <c r="L22" s="39"/>
      <c r="M22" s="39">
        <f>'FY25'!S16</f>
        <v>0</v>
      </c>
    </row>
    <row r="23" spans="2:13" s="37" customFormat="1" ht="12" x14ac:dyDescent="0.2">
      <c r="B23" s="86"/>
      <c r="C23" s="38"/>
      <c r="E23" s="50">
        <f>SUBTOTAL(9,E21:E22)</f>
        <v>51192</v>
      </c>
      <c r="F23" s="39"/>
      <c r="G23" s="50">
        <f>SUBTOTAL(9,G21:G22)</f>
        <v>0</v>
      </c>
      <c r="H23" s="39"/>
      <c r="I23" s="50">
        <f>SUBTOTAL(9,I21:I22)</f>
        <v>0</v>
      </c>
      <c r="J23" s="39"/>
      <c r="K23" s="50">
        <f>SUBTOTAL(9,K21:K22)</f>
        <v>0</v>
      </c>
      <c r="L23" s="39"/>
      <c r="M23" s="50">
        <f>SUBTOTAL(9,M21:M22)</f>
        <v>0</v>
      </c>
    </row>
    <row r="24" spans="2:13" s="37" customFormat="1" ht="12" x14ac:dyDescent="0.2">
      <c r="B24" s="86"/>
      <c r="C24" s="49" t="s">
        <v>149</v>
      </c>
      <c r="E24" s="39"/>
      <c r="F24" s="39"/>
      <c r="G24" s="39"/>
      <c r="H24" s="39"/>
      <c r="I24" s="39"/>
      <c r="J24" s="39"/>
      <c r="K24" s="39"/>
      <c r="L24" s="39"/>
      <c r="M24" s="39"/>
    </row>
    <row r="25" spans="2:13" s="37" customFormat="1" ht="12" x14ac:dyDescent="0.2">
      <c r="B25" s="86"/>
      <c r="C25" s="199">
        <v>4500</v>
      </c>
      <c r="D25" s="37" t="s">
        <v>6</v>
      </c>
      <c r="E25" s="41">
        <f>'FY21'!S19</f>
        <v>0</v>
      </c>
      <c r="F25" s="41"/>
      <c r="G25" s="39">
        <f>'FY22'!S19</f>
        <v>0</v>
      </c>
      <c r="H25" s="39"/>
      <c r="I25" s="39">
        <f>'FY23'!S19</f>
        <v>0</v>
      </c>
      <c r="J25" s="39"/>
      <c r="K25" s="39">
        <f>'FY24'!S19</f>
        <v>0</v>
      </c>
      <c r="L25" s="39"/>
      <c r="M25" s="39">
        <f>'FY25'!S19</f>
        <v>0</v>
      </c>
    </row>
    <row r="26" spans="2:13" s="37" customFormat="1" ht="12" x14ac:dyDescent="0.2">
      <c r="B26" s="86"/>
      <c r="C26" s="199">
        <v>4571</v>
      </c>
      <c r="D26" s="37" t="s">
        <v>7</v>
      </c>
      <c r="E26" s="41">
        <f>'FY21'!S20</f>
        <v>0</v>
      </c>
      <c r="F26" s="41"/>
      <c r="G26" s="39">
        <f>'FY22'!S20</f>
        <v>0</v>
      </c>
      <c r="H26" s="39"/>
      <c r="I26" s="39">
        <f>'FY23'!S20</f>
        <v>0</v>
      </c>
      <c r="J26" s="39"/>
      <c r="K26" s="39">
        <f>'FY24'!S20</f>
        <v>0</v>
      </c>
      <c r="L26" s="39"/>
      <c r="M26" s="39">
        <f>'FY25'!S20</f>
        <v>0</v>
      </c>
    </row>
    <row r="27" spans="2:13" s="37" customFormat="1" ht="12" x14ac:dyDescent="0.2">
      <c r="B27" s="86"/>
      <c r="C27" s="199">
        <v>4703</v>
      </c>
      <c r="D27" s="37" t="s">
        <v>186</v>
      </c>
      <c r="E27" s="41">
        <f>'FY21'!S21</f>
        <v>0</v>
      </c>
      <c r="F27" s="41"/>
      <c r="G27" s="39">
        <f>'FY22'!S21</f>
        <v>0</v>
      </c>
      <c r="H27" s="39"/>
      <c r="I27" s="39">
        <f>'FY23'!S21</f>
        <v>0</v>
      </c>
      <c r="J27" s="39"/>
      <c r="K27" s="39">
        <f>'FY24'!S21</f>
        <v>0</v>
      </c>
      <c r="L27" s="39"/>
      <c r="M27" s="39">
        <f>'FY25'!S21</f>
        <v>0</v>
      </c>
    </row>
    <row r="28" spans="2:13" s="37" customFormat="1" ht="12" x14ac:dyDescent="0.2">
      <c r="B28" s="86"/>
      <c r="C28" s="38"/>
      <c r="E28" s="50">
        <f>SUBTOTAL(9,E25:E27)</f>
        <v>0</v>
      </c>
      <c r="F28" s="39"/>
      <c r="G28" s="50">
        <f>SUBTOTAL(9,G25:G27)</f>
        <v>0</v>
      </c>
      <c r="H28" s="39"/>
      <c r="I28" s="50">
        <f>SUBTOTAL(9,I25:I27)</f>
        <v>0</v>
      </c>
      <c r="J28" s="39"/>
      <c r="K28" s="50">
        <f>SUBTOTAL(9,K25:K27)</f>
        <v>0</v>
      </c>
      <c r="L28" s="39"/>
      <c r="M28" s="50">
        <f>SUBTOTAL(9,M25:M27)</f>
        <v>0</v>
      </c>
    </row>
    <row r="29" spans="2:13" s="37" customFormat="1" ht="12" x14ac:dyDescent="0.2">
      <c r="B29" s="86"/>
      <c r="C29" s="49" t="s">
        <v>150</v>
      </c>
      <c r="E29" s="41"/>
      <c r="F29" s="39"/>
      <c r="G29" s="41"/>
      <c r="H29" s="39"/>
      <c r="I29" s="41"/>
      <c r="J29" s="39"/>
      <c r="K29" s="41"/>
      <c r="L29" s="39"/>
      <c r="M29" s="41"/>
    </row>
    <row r="30" spans="2:13" s="37" customFormat="1" ht="12" x14ac:dyDescent="0.2">
      <c r="B30" s="86"/>
      <c r="C30" s="199">
        <v>1790</v>
      </c>
      <c r="D30" s="37" t="s">
        <v>4</v>
      </c>
      <c r="E30" s="39">
        <f>'FY21'!S24</f>
        <v>0</v>
      </c>
      <c r="F30" s="39"/>
      <c r="G30" s="39">
        <f>'FY22'!S24</f>
        <v>0</v>
      </c>
      <c r="H30" s="39"/>
      <c r="I30" s="39">
        <f>'FY23'!S24</f>
        <v>0</v>
      </c>
      <c r="J30" s="39"/>
      <c r="K30" s="39">
        <f>'FY24'!S24</f>
        <v>0</v>
      </c>
      <c r="L30" s="39"/>
      <c r="M30" s="39">
        <f>'FY25'!S24</f>
        <v>0</v>
      </c>
    </row>
    <row r="31" spans="2:13" s="37" customFormat="1" ht="12" x14ac:dyDescent="0.2">
      <c r="B31" s="86"/>
      <c r="C31" s="38"/>
      <c r="E31" s="50">
        <f>SUBTOTAL(9,E30)</f>
        <v>0</v>
      </c>
      <c r="F31" s="39"/>
      <c r="G31" s="50">
        <f>SUBTOTAL(9,G30)</f>
        <v>0</v>
      </c>
      <c r="H31" s="39"/>
      <c r="I31" s="50">
        <f>SUBTOTAL(9,I30)</f>
        <v>0</v>
      </c>
      <c r="J31" s="39"/>
      <c r="K31" s="50">
        <f>SUBTOTAL(9,K30)</f>
        <v>0</v>
      </c>
      <c r="L31" s="39"/>
      <c r="M31" s="50">
        <f>SUBTOTAL(9,M30)</f>
        <v>0</v>
      </c>
    </row>
    <row r="32" spans="2:13" s="37" customFormat="1" ht="9" customHeight="1" x14ac:dyDescent="0.2">
      <c r="B32" s="86"/>
      <c r="C32" s="38"/>
      <c r="E32" s="39"/>
      <c r="F32" s="39"/>
      <c r="G32" s="39"/>
      <c r="H32" s="39"/>
      <c r="I32" s="39"/>
      <c r="J32" s="39"/>
      <c r="K32" s="39"/>
      <c r="L32" s="39"/>
      <c r="M32" s="39"/>
    </row>
    <row r="33" spans="2:13" s="45" customFormat="1" ht="12" x14ac:dyDescent="0.2">
      <c r="B33" s="45" t="s">
        <v>105</v>
      </c>
      <c r="C33" s="46"/>
      <c r="E33" s="43">
        <f>SUBTOTAL(9,E14:E32)</f>
        <v>494711.99999999994</v>
      </c>
      <c r="F33" s="40"/>
      <c r="G33" s="43">
        <f>SUBTOTAL(9,G14:G32)</f>
        <v>510047.99999999988</v>
      </c>
      <c r="H33" s="40"/>
      <c r="I33" s="43">
        <f>SUBTOTAL(9,I14:I32)</f>
        <v>586555.19999999995</v>
      </c>
      <c r="J33" s="40"/>
      <c r="K33" s="43">
        <f>SUBTOTAL(9,K14:K32)</f>
        <v>645210.71999999986</v>
      </c>
      <c r="L33" s="40"/>
      <c r="M33" s="43">
        <f>SUBTOTAL(9,M14:M32)</f>
        <v>709731.7919999999</v>
      </c>
    </row>
    <row r="34" spans="2:13" s="45" customFormat="1" ht="12" x14ac:dyDescent="0.2">
      <c r="B34" s="87"/>
      <c r="C34" s="46"/>
      <c r="E34" s="40"/>
      <c r="F34" s="40"/>
      <c r="G34" s="40"/>
      <c r="H34" s="40"/>
      <c r="I34" s="40"/>
      <c r="J34" s="40"/>
      <c r="K34" s="40"/>
      <c r="L34" s="40"/>
      <c r="M34" s="40"/>
    </row>
    <row r="35" spans="2:13" s="37" customFormat="1" ht="12" x14ac:dyDescent="0.2">
      <c r="B35" s="45" t="s">
        <v>59</v>
      </c>
      <c r="C35" s="38"/>
      <c r="E35" s="39"/>
      <c r="F35" s="39"/>
      <c r="G35" s="39"/>
      <c r="H35" s="39"/>
      <c r="I35" s="39"/>
      <c r="J35" s="39"/>
      <c r="K35" s="39"/>
      <c r="L35" s="39"/>
      <c r="M35" s="39"/>
    </row>
    <row r="36" spans="2:13" s="37" customFormat="1" ht="12" x14ac:dyDescent="0.2">
      <c r="B36" s="86"/>
      <c r="C36" s="49" t="s">
        <v>8</v>
      </c>
      <c r="E36" s="39"/>
      <c r="F36" s="39"/>
      <c r="G36" s="39"/>
      <c r="H36" s="39"/>
      <c r="I36" s="39"/>
      <c r="J36" s="39"/>
      <c r="K36" s="39"/>
      <c r="L36" s="39"/>
      <c r="M36" s="39"/>
    </row>
    <row r="37" spans="2:13" s="37" customFormat="1" ht="12" x14ac:dyDescent="0.2">
      <c r="B37" s="86"/>
      <c r="C37" s="199">
        <v>6111</v>
      </c>
      <c r="D37" s="37" t="s">
        <v>192</v>
      </c>
      <c r="E37" s="39">
        <f>'FY21'!S31</f>
        <v>70273.646999999997</v>
      </c>
      <c r="F37" s="39"/>
      <c r="G37" s="39">
        <f>'FY22'!S31</f>
        <v>71679.11993999999</v>
      </c>
      <c r="H37" s="39"/>
      <c r="I37" s="39">
        <f>'FY23'!S31</f>
        <v>73112.702338799994</v>
      </c>
      <c r="J37" s="39"/>
      <c r="K37" s="39">
        <f>'FY24'!S31</f>
        <v>74574.956385575992</v>
      </c>
      <c r="L37" s="39"/>
      <c r="M37" s="39">
        <f>'FY25'!S31</f>
        <v>76066.455513287525</v>
      </c>
    </row>
    <row r="38" spans="2:13" s="37" customFormat="1" ht="12" x14ac:dyDescent="0.2">
      <c r="B38" s="86"/>
      <c r="C38" s="199">
        <v>6114</v>
      </c>
      <c r="D38" s="37" t="s">
        <v>233</v>
      </c>
      <c r="E38" s="39">
        <f>'FY21'!S32</f>
        <v>21862.5</v>
      </c>
      <c r="F38" s="39"/>
      <c r="G38" s="39">
        <f>'FY22'!S32</f>
        <v>22299.75</v>
      </c>
      <c r="H38" s="39"/>
      <c r="I38" s="39">
        <f>'FY23'!S32</f>
        <v>22745.744999999995</v>
      </c>
      <c r="J38" s="39"/>
      <c r="K38" s="39">
        <f>'FY24'!S32</f>
        <v>23200.659900000002</v>
      </c>
      <c r="L38" s="39"/>
      <c r="M38" s="39">
        <f>'FY25'!S32</f>
        <v>23664.673097999999</v>
      </c>
    </row>
    <row r="39" spans="2:13" s="37" customFormat="1" ht="12" x14ac:dyDescent="0.2">
      <c r="B39" s="86"/>
      <c r="C39" s="199">
        <v>6117</v>
      </c>
      <c r="D39" s="37" t="s">
        <v>229</v>
      </c>
      <c r="E39" s="39">
        <f>'FY21'!S33</f>
        <v>40320.945</v>
      </c>
      <c r="F39" s="39"/>
      <c r="G39" s="39">
        <f>'FY22'!S33</f>
        <v>41127.363900000004</v>
      </c>
      <c r="H39" s="39"/>
      <c r="I39" s="39">
        <f>'FY23'!S33</f>
        <v>41949.911178000009</v>
      </c>
      <c r="J39" s="39"/>
      <c r="K39" s="39">
        <f>'FY24'!S33</f>
        <v>42788.909401559999</v>
      </c>
      <c r="L39" s="39"/>
      <c r="M39" s="39">
        <f>'FY25'!S33</f>
        <v>43644.687589591194</v>
      </c>
    </row>
    <row r="40" spans="2:13" s="37" customFormat="1" ht="12" x14ac:dyDescent="0.2">
      <c r="B40" s="86"/>
      <c r="C40" s="199">
        <v>6127</v>
      </c>
      <c r="D40" s="37" t="s">
        <v>230</v>
      </c>
      <c r="E40" s="39">
        <f>'FY21'!S34</f>
        <v>10400</v>
      </c>
      <c r="F40" s="39"/>
      <c r="G40" s="39">
        <f>'FY22'!S34</f>
        <v>10608</v>
      </c>
      <c r="H40" s="39"/>
      <c r="I40" s="39">
        <f>'FY23'!S34</f>
        <v>10820.160000000002</v>
      </c>
      <c r="J40" s="39"/>
      <c r="K40" s="39">
        <f>'FY24'!S34</f>
        <v>11036.563199999997</v>
      </c>
      <c r="L40" s="39"/>
      <c r="M40" s="39">
        <f>'FY25'!S34</f>
        <v>11257.294464000004</v>
      </c>
    </row>
    <row r="41" spans="2:13" s="37" customFormat="1" ht="12" x14ac:dyDescent="0.2">
      <c r="B41" s="86"/>
      <c r="C41" s="199">
        <v>6151</v>
      </c>
      <c r="D41" s="37" t="s">
        <v>190</v>
      </c>
      <c r="E41" s="39">
        <f>'FY21'!S35</f>
        <v>4200</v>
      </c>
      <c r="F41" s="39"/>
      <c r="G41" s="39">
        <f>'FY22'!S35</f>
        <v>4284</v>
      </c>
      <c r="H41" s="39"/>
      <c r="I41" s="39">
        <f>'FY23'!S35</f>
        <v>4369.68</v>
      </c>
      <c r="J41" s="39"/>
      <c r="K41" s="39">
        <f>'FY24'!S35</f>
        <v>4457.0736000000006</v>
      </c>
      <c r="L41" s="39"/>
      <c r="M41" s="39">
        <f>'FY25'!S35</f>
        <v>4546.2150720000009</v>
      </c>
    </row>
    <row r="42" spans="2:13" s="37" customFormat="1" ht="12" x14ac:dyDescent="0.2">
      <c r="B42" s="86"/>
      <c r="C42" s="199">
        <v>6154</v>
      </c>
      <c r="D42" s="37" t="s">
        <v>234</v>
      </c>
      <c r="E42" s="39">
        <f>'FY21'!S36</f>
        <v>1590</v>
      </c>
      <c r="F42" s="39"/>
      <c r="G42" s="39">
        <f>'FY22'!S36</f>
        <v>1621.8000000000002</v>
      </c>
      <c r="H42" s="39"/>
      <c r="I42" s="39">
        <f>'FY23'!S36</f>
        <v>1654.2360000000001</v>
      </c>
      <c r="J42" s="39"/>
      <c r="K42" s="39">
        <f>'FY24'!S36</f>
        <v>1687.3207200000002</v>
      </c>
      <c r="L42" s="39"/>
      <c r="M42" s="39">
        <f>'FY25'!S36</f>
        <v>1721.0671344000002</v>
      </c>
    </row>
    <row r="43" spans="2:13" s="37" customFormat="1" ht="12" x14ac:dyDescent="0.2">
      <c r="B43" s="86"/>
      <c r="C43" s="199">
        <v>6157</v>
      </c>
      <c r="D43" s="37" t="s">
        <v>231</v>
      </c>
      <c r="E43" s="39">
        <f>'FY21'!S37</f>
        <v>3000</v>
      </c>
      <c r="F43" s="39"/>
      <c r="G43" s="39">
        <f>'FY22'!S37</f>
        <v>3060</v>
      </c>
      <c r="H43" s="39"/>
      <c r="I43" s="39">
        <f>'FY23'!S37</f>
        <v>3121.2000000000003</v>
      </c>
      <c r="J43" s="39"/>
      <c r="K43" s="39">
        <f>'FY24'!S37</f>
        <v>3183.6240000000003</v>
      </c>
      <c r="L43" s="39"/>
      <c r="M43" s="39">
        <f>'FY25'!S37</f>
        <v>3247.2964800000004</v>
      </c>
    </row>
    <row r="44" spans="2:13" s="37" customFormat="1" ht="12" x14ac:dyDescent="0.2">
      <c r="B44" s="86"/>
      <c r="C44" s="199">
        <v>6161</v>
      </c>
      <c r="D44" s="37" t="s">
        <v>97</v>
      </c>
      <c r="E44" s="39">
        <f>'FY21'!S38</f>
        <v>0</v>
      </c>
      <c r="F44" s="39"/>
      <c r="G44" s="39">
        <f>'FY22'!S38</f>
        <v>0</v>
      </c>
      <c r="H44" s="39"/>
      <c r="I44" s="39">
        <f>'FY23'!S38</f>
        <v>0</v>
      </c>
      <c r="J44" s="39"/>
      <c r="K44" s="39">
        <f>'FY24'!S38</f>
        <v>0</v>
      </c>
      <c r="L44" s="39"/>
      <c r="M44" s="39">
        <f>'FY25'!S38</f>
        <v>0</v>
      </c>
    </row>
    <row r="45" spans="2:13" s="37" customFormat="1" ht="12" x14ac:dyDescent="0.2">
      <c r="B45" s="86"/>
      <c r="C45" s="199">
        <v>6164</v>
      </c>
      <c r="D45" s="37" t="s">
        <v>203</v>
      </c>
      <c r="E45" s="39">
        <f>'FY21'!S39</f>
        <v>0</v>
      </c>
      <c r="F45" s="39"/>
      <c r="G45" s="39">
        <f>'FY22'!S39</f>
        <v>0</v>
      </c>
      <c r="H45" s="39"/>
      <c r="I45" s="39">
        <f>'FY23'!S39</f>
        <v>0</v>
      </c>
      <c r="J45" s="39"/>
      <c r="K45" s="39">
        <f>'FY24'!S39</f>
        <v>0</v>
      </c>
      <c r="L45" s="39"/>
      <c r="M45" s="39">
        <f>'FY25'!S39</f>
        <v>0</v>
      </c>
    </row>
    <row r="46" spans="2:13" s="37" customFormat="1" ht="12" x14ac:dyDescent="0.2">
      <c r="B46" s="86"/>
      <c r="C46" s="199">
        <v>6167</v>
      </c>
      <c r="D46" s="37" t="s">
        <v>232</v>
      </c>
      <c r="E46" s="39">
        <f>'FY21'!S40</f>
        <v>0</v>
      </c>
      <c r="F46" s="39"/>
      <c r="G46" s="39">
        <f>'FY22'!S40</f>
        <v>0</v>
      </c>
      <c r="H46" s="39"/>
      <c r="I46" s="39">
        <f>'FY23'!S40</f>
        <v>0</v>
      </c>
      <c r="J46" s="39"/>
      <c r="K46" s="39">
        <f>'FY24'!S40</f>
        <v>0</v>
      </c>
      <c r="L46" s="39"/>
      <c r="M46" s="39">
        <f>'FY25'!S40</f>
        <v>0</v>
      </c>
    </row>
    <row r="47" spans="2:13" s="37" customFormat="1" ht="12" x14ac:dyDescent="0.2">
      <c r="B47" s="86"/>
      <c r="C47" s="38"/>
      <c r="E47" s="50">
        <f>SUBTOTAL(9,E37:E46)</f>
        <v>151647.092</v>
      </c>
      <c r="F47" s="39"/>
      <c r="G47" s="50">
        <f>SUBTOTAL(9,G37:G46)</f>
        <v>154680.03383999999</v>
      </c>
      <c r="H47" s="39"/>
      <c r="I47" s="50">
        <f>SUBTOTAL(9,I37:I46)</f>
        <v>157773.6345168</v>
      </c>
      <c r="J47" s="39"/>
      <c r="K47" s="50">
        <f>SUBTOTAL(9,K37:K46)</f>
        <v>160929.107207136</v>
      </c>
      <c r="L47" s="39"/>
      <c r="M47" s="50">
        <f>SUBTOTAL(9,M37:M46)</f>
        <v>164147.68935127868</v>
      </c>
    </row>
    <row r="48" spans="2:13" s="37" customFormat="1" ht="12" x14ac:dyDescent="0.2">
      <c r="B48" s="86"/>
      <c r="C48" s="49" t="s">
        <v>99</v>
      </c>
      <c r="E48" s="39"/>
      <c r="F48" s="39"/>
      <c r="G48" s="39"/>
      <c r="H48" s="39"/>
      <c r="I48" s="39"/>
      <c r="J48" s="39"/>
      <c r="K48" s="39"/>
      <c r="L48" s="39"/>
      <c r="M48" s="39"/>
    </row>
    <row r="49" spans="2:13" s="37" customFormat="1" ht="12" x14ac:dyDescent="0.2">
      <c r="B49" s="86"/>
      <c r="C49" s="199">
        <v>6211</v>
      </c>
      <c r="D49" s="37" t="s">
        <v>199</v>
      </c>
      <c r="E49" s="39">
        <f>'FY21'!S43</f>
        <v>444</v>
      </c>
      <c r="F49" s="39"/>
      <c r="G49" s="39">
        <f>'FY22'!S43</f>
        <v>452.88000000000005</v>
      </c>
      <c r="H49" s="39"/>
      <c r="I49" s="39">
        <f>'FY23'!S43</f>
        <v>461.93760000000003</v>
      </c>
      <c r="J49" s="39"/>
      <c r="K49" s="39">
        <f>'FY24'!S43</f>
        <v>471.17635200000012</v>
      </c>
      <c r="L49" s="39"/>
      <c r="M49" s="39">
        <f>'FY25'!S43</f>
        <v>480.59987904000019</v>
      </c>
    </row>
    <row r="50" spans="2:13" s="37" customFormat="1" ht="12" x14ac:dyDescent="0.2">
      <c r="B50" s="86"/>
      <c r="C50" s="199">
        <v>6214</v>
      </c>
      <c r="D50" s="37" t="s">
        <v>200</v>
      </c>
      <c r="E50" s="39">
        <f>'FY21'!S44</f>
        <v>111</v>
      </c>
      <c r="F50" s="39"/>
      <c r="G50" s="39">
        <f>'FY22'!S44</f>
        <v>113.22000000000001</v>
      </c>
      <c r="H50" s="39"/>
      <c r="I50" s="39">
        <f>'FY23'!S44</f>
        <v>115.48440000000001</v>
      </c>
      <c r="J50" s="39"/>
      <c r="K50" s="39">
        <f>'FY24'!S44</f>
        <v>117.79408800000003</v>
      </c>
      <c r="L50" s="39"/>
      <c r="M50" s="39">
        <f>'FY25'!S44</f>
        <v>120.14996976000005</v>
      </c>
    </row>
    <row r="51" spans="2:13" s="37" customFormat="1" ht="12" x14ac:dyDescent="0.2">
      <c r="B51" s="86"/>
      <c r="C51" s="199">
        <v>6217</v>
      </c>
      <c r="D51" s="37" t="s">
        <v>223</v>
      </c>
      <c r="E51" s="39">
        <f>'FY21'!S45</f>
        <v>444</v>
      </c>
      <c r="F51" s="39"/>
      <c r="G51" s="39">
        <f>'FY22'!S45</f>
        <v>452.88000000000005</v>
      </c>
      <c r="H51" s="39"/>
      <c r="I51" s="39">
        <f>'FY23'!S45</f>
        <v>461.93760000000003</v>
      </c>
      <c r="J51" s="39"/>
      <c r="K51" s="39">
        <f>'FY24'!S45</f>
        <v>471.17635200000012</v>
      </c>
      <c r="L51" s="39"/>
      <c r="M51" s="39">
        <f>'FY25'!S45</f>
        <v>480.59987904000019</v>
      </c>
    </row>
    <row r="52" spans="2:13" s="37" customFormat="1" ht="12" x14ac:dyDescent="0.2">
      <c r="B52" s="86"/>
      <c r="C52" s="199">
        <v>6227</v>
      </c>
      <c r="D52" s="37" t="s">
        <v>222</v>
      </c>
      <c r="E52" s="39">
        <f>'FY21'!S46</f>
        <v>644.80000000000007</v>
      </c>
      <c r="F52" s="39"/>
      <c r="G52" s="39">
        <f>'FY22'!S46</f>
        <v>657.69599999999991</v>
      </c>
      <c r="H52" s="39"/>
      <c r="I52" s="39">
        <f>'FY23'!S46</f>
        <v>670.84991999999988</v>
      </c>
      <c r="J52" s="39"/>
      <c r="K52" s="39">
        <f>'FY24'!S46</f>
        <v>684.26691840000012</v>
      </c>
      <c r="L52" s="39"/>
      <c r="M52" s="39">
        <f>'FY25'!S46</f>
        <v>697.95225676799998</v>
      </c>
    </row>
    <row r="53" spans="2:13" s="37" customFormat="1" ht="12" x14ac:dyDescent="0.2">
      <c r="B53" s="86"/>
      <c r="C53" s="199">
        <v>6231</v>
      </c>
      <c r="D53" s="37" t="s">
        <v>206</v>
      </c>
      <c r="E53" s="39">
        <f>'FY21'!S47</f>
        <v>10716.731167500002</v>
      </c>
      <c r="F53" s="39"/>
      <c r="G53" s="39">
        <f>'FY22'!S47</f>
        <v>10931.06579085</v>
      </c>
      <c r="H53" s="39"/>
      <c r="I53" s="39">
        <f>'FY23'!S47</f>
        <v>11149.687106666999</v>
      </c>
      <c r="J53" s="39"/>
      <c r="K53" s="39">
        <f>'FY24'!S47</f>
        <v>11372.680848800343</v>
      </c>
      <c r="L53" s="39"/>
      <c r="M53" s="39">
        <f>'FY25'!S47</f>
        <v>11600.134465776349</v>
      </c>
    </row>
    <row r="54" spans="2:13" s="37" customFormat="1" ht="12" x14ac:dyDescent="0.2">
      <c r="B54" s="86"/>
      <c r="C54" s="199">
        <v>6234</v>
      </c>
      <c r="D54" s="37" t="s">
        <v>207</v>
      </c>
      <c r="E54" s="39">
        <f>'FY21'!S48</f>
        <v>6394.78125</v>
      </c>
      <c r="F54" s="39"/>
      <c r="G54" s="39">
        <f>'FY22'!S48</f>
        <v>6522.6768749999983</v>
      </c>
      <c r="H54" s="39"/>
      <c r="I54" s="39">
        <f>'FY23'!S48</f>
        <v>6653.1304124999988</v>
      </c>
      <c r="J54" s="39"/>
      <c r="K54" s="39">
        <f>'FY24'!S48</f>
        <v>6786.19302075</v>
      </c>
      <c r="L54" s="39"/>
      <c r="M54" s="39">
        <f>'FY25'!S48</f>
        <v>6921.9168811650015</v>
      </c>
    </row>
    <row r="55" spans="2:13" s="37" customFormat="1" ht="12" x14ac:dyDescent="0.2">
      <c r="B55" s="86"/>
      <c r="C55" s="199">
        <v>6237</v>
      </c>
      <c r="D55" s="37" t="s">
        <v>224</v>
      </c>
      <c r="E55" s="39">
        <f>'FY21'!S49</f>
        <v>6148.9441124999985</v>
      </c>
      <c r="F55" s="39"/>
      <c r="G55" s="39">
        <f>'FY22'!S49</f>
        <v>6271.9229947500016</v>
      </c>
      <c r="H55" s="39"/>
      <c r="I55" s="39">
        <f>'FY23'!S49</f>
        <v>6397.361454644998</v>
      </c>
      <c r="J55" s="39"/>
      <c r="K55" s="39">
        <f>'FY24'!S49</f>
        <v>6525.3086837379005</v>
      </c>
      <c r="L55" s="39"/>
      <c r="M55" s="39">
        <f>'FY25'!S49</f>
        <v>6655.8148574126599</v>
      </c>
    </row>
    <row r="56" spans="2:13" s="37" customFormat="1" ht="12" x14ac:dyDescent="0.2">
      <c r="B56" s="86"/>
      <c r="C56" s="199">
        <v>6241</v>
      </c>
      <c r="D56" s="37" t="s">
        <v>197</v>
      </c>
      <c r="E56" s="39">
        <f>'FY21'!S50</f>
        <v>1079.8678815000003</v>
      </c>
      <c r="F56" s="39"/>
      <c r="G56" s="39">
        <f>'FY22'!S50</f>
        <v>1101.4652391299999</v>
      </c>
      <c r="H56" s="39"/>
      <c r="I56" s="39">
        <f>'FY23'!S50</f>
        <v>1123.4945439126</v>
      </c>
      <c r="J56" s="39"/>
      <c r="K56" s="39">
        <f>'FY24'!S50</f>
        <v>1145.9644347908518</v>
      </c>
      <c r="L56" s="39"/>
      <c r="M56" s="39">
        <f>'FY25'!S50</f>
        <v>1168.8837234866689</v>
      </c>
    </row>
    <row r="57" spans="2:13" s="37" customFormat="1" ht="12" x14ac:dyDescent="0.2">
      <c r="B57" s="86"/>
      <c r="C57" s="199">
        <v>6244</v>
      </c>
      <c r="D57" s="37" t="s">
        <v>198</v>
      </c>
      <c r="E57" s="39">
        <f>'FY21'!S51</f>
        <v>340.06125000000009</v>
      </c>
      <c r="F57" s="39"/>
      <c r="G57" s="39">
        <f>'FY22'!S51</f>
        <v>346.86247499999996</v>
      </c>
      <c r="H57" s="39"/>
      <c r="I57" s="39">
        <f>'FY23'!S51</f>
        <v>353.79972450000014</v>
      </c>
      <c r="J57" s="39"/>
      <c r="K57" s="39">
        <f>'FY24'!S51</f>
        <v>360.87571899</v>
      </c>
      <c r="L57" s="39"/>
      <c r="M57" s="39">
        <f>'FY25'!S51</f>
        <v>368.09323336980003</v>
      </c>
    </row>
    <row r="58" spans="2:13" s="37" customFormat="1" ht="12" x14ac:dyDescent="0.2">
      <c r="B58" s="86"/>
      <c r="C58" s="199">
        <v>6247</v>
      </c>
      <c r="D58" s="37" t="s">
        <v>225</v>
      </c>
      <c r="E58" s="39">
        <f>'FY21'!S52</f>
        <v>778.95370249999996</v>
      </c>
      <c r="F58" s="39"/>
      <c r="G58" s="39">
        <f>'FY22'!S52</f>
        <v>794.53277655000022</v>
      </c>
      <c r="H58" s="39"/>
      <c r="I58" s="39">
        <f>'FY23'!S52</f>
        <v>810.4234320810001</v>
      </c>
      <c r="J58" s="39"/>
      <c r="K58" s="39">
        <f>'FY24'!S52</f>
        <v>826.63190072262023</v>
      </c>
      <c r="L58" s="39"/>
      <c r="M58" s="39">
        <f>'FY25'!S52</f>
        <v>843.16453873707258</v>
      </c>
    </row>
    <row r="59" spans="2:13" s="37" customFormat="1" ht="12" x14ac:dyDescent="0.2">
      <c r="B59" s="86"/>
      <c r="C59" s="199">
        <v>6261</v>
      </c>
      <c r="D59" s="37" t="s">
        <v>208</v>
      </c>
      <c r="E59" s="39">
        <f>'FY21'!S53</f>
        <v>936</v>
      </c>
      <c r="F59" s="39"/>
      <c r="G59" s="39">
        <f>'FY22'!S53</f>
        <v>954.7199999999998</v>
      </c>
      <c r="H59" s="39"/>
      <c r="I59" s="39">
        <f>'FY23'!S53</f>
        <v>973.81440000000009</v>
      </c>
      <c r="J59" s="39"/>
      <c r="K59" s="39">
        <f>'FY24'!S53</f>
        <v>993.29068800000005</v>
      </c>
      <c r="L59" s="39"/>
      <c r="M59" s="39">
        <f>'FY25'!S53</f>
        <v>1013.1565017600002</v>
      </c>
    </row>
    <row r="60" spans="2:13" s="37" customFormat="1" ht="12" x14ac:dyDescent="0.2">
      <c r="B60" s="86"/>
      <c r="C60" s="199">
        <v>6264</v>
      </c>
      <c r="D60" s="37" t="s">
        <v>209</v>
      </c>
      <c r="E60" s="39">
        <f>'FY21'!S54</f>
        <v>655.875</v>
      </c>
      <c r="F60" s="39"/>
      <c r="G60" s="39">
        <f>'FY22'!S54</f>
        <v>668.99249999999995</v>
      </c>
      <c r="H60" s="39"/>
      <c r="I60" s="39">
        <f>'FY23'!S54</f>
        <v>682.37234999999976</v>
      </c>
      <c r="J60" s="39"/>
      <c r="K60" s="39">
        <f>'FY24'!S54</f>
        <v>696.01979699999993</v>
      </c>
      <c r="L60" s="39"/>
      <c r="M60" s="39">
        <f>'FY25'!S54</f>
        <v>709.94019293999997</v>
      </c>
    </row>
    <row r="61" spans="2:13" s="37" customFormat="1" ht="12" x14ac:dyDescent="0.2">
      <c r="B61" s="86"/>
      <c r="C61" s="199">
        <v>6267</v>
      </c>
      <c r="D61" s="37" t="s">
        <v>226</v>
      </c>
      <c r="E61" s="39">
        <f>'FY21'!S55</f>
        <v>1248</v>
      </c>
      <c r="F61" s="39"/>
      <c r="G61" s="39">
        <f>'FY22'!S55</f>
        <v>1272.96</v>
      </c>
      <c r="H61" s="39"/>
      <c r="I61" s="39">
        <f>'FY23'!S55</f>
        <v>1298.4192000000003</v>
      </c>
      <c r="J61" s="39"/>
      <c r="K61" s="39">
        <f>'FY24'!S55</f>
        <v>1324.3875840000001</v>
      </c>
      <c r="L61" s="39"/>
      <c r="M61" s="39">
        <f>'FY25'!S55</f>
        <v>1350.8753356800005</v>
      </c>
    </row>
    <row r="62" spans="2:13" s="37" customFormat="1" ht="12" x14ac:dyDescent="0.2">
      <c r="B62" s="86"/>
      <c r="C62" s="199">
        <v>6271</v>
      </c>
      <c r="D62" s="37" t="s">
        <v>210</v>
      </c>
      <c r="E62" s="39">
        <f>'FY21'!S56</f>
        <v>484.07870550000001</v>
      </c>
      <c r="F62" s="39"/>
      <c r="G62" s="39">
        <f>'FY22'!S56</f>
        <v>493.76027960999994</v>
      </c>
      <c r="H62" s="39"/>
      <c r="I62" s="39">
        <f>'FY23'!S56</f>
        <v>503.63548520220019</v>
      </c>
      <c r="J62" s="39"/>
      <c r="K62" s="39">
        <f>'FY24'!S56</f>
        <v>513.7081949062441</v>
      </c>
      <c r="L62" s="39"/>
      <c r="M62" s="39">
        <f>'FY25'!S56</f>
        <v>523.98235880436903</v>
      </c>
    </row>
    <row r="63" spans="2:13" s="37" customFormat="1" ht="12" x14ac:dyDescent="0.2">
      <c r="B63" s="86"/>
      <c r="C63" s="199">
        <v>6274</v>
      </c>
      <c r="D63" s="37" t="s">
        <v>211</v>
      </c>
      <c r="E63" s="39">
        <f>'FY21'!S57</f>
        <v>152.44125000000003</v>
      </c>
      <c r="F63" s="39"/>
      <c r="G63" s="39">
        <f>'FY22'!S57</f>
        <v>155.49007499999996</v>
      </c>
      <c r="H63" s="39"/>
      <c r="I63" s="39">
        <f>'FY23'!S57</f>
        <v>158.59987649999999</v>
      </c>
      <c r="J63" s="39"/>
      <c r="K63" s="39">
        <f>'FY24'!S57</f>
        <v>161.77187402999996</v>
      </c>
      <c r="L63" s="39"/>
      <c r="M63" s="39">
        <f>'FY25'!S57</f>
        <v>165.00731151059998</v>
      </c>
    </row>
    <row r="64" spans="2:13" s="37" customFormat="1" ht="12" x14ac:dyDescent="0.2">
      <c r="B64" s="86"/>
      <c r="C64" s="199">
        <v>6277</v>
      </c>
      <c r="D64" s="37" t="s">
        <v>227</v>
      </c>
      <c r="E64" s="39">
        <f>'FY21'!S58</f>
        <v>349.18614249999996</v>
      </c>
      <c r="F64" s="39"/>
      <c r="G64" s="39">
        <f>'FY22'!S58</f>
        <v>356.16986534999984</v>
      </c>
      <c r="H64" s="39"/>
      <c r="I64" s="39">
        <f>'FY23'!S58</f>
        <v>363.29326265700001</v>
      </c>
      <c r="J64" s="39"/>
      <c r="K64" s="39">
        <f>'FY24'!S58</f>
        <v>370.55912791013998</v>
      </c>
      <c r="L64" s="39"/>
      <c r="M64" s="39">
        <f>'FY25'!S58</f>
        <v>377.9703104683428</v>
      </c>
    </row>
    <row r="65" spans="2:13" s="37" customFormat="1" ht="12" x14ac:dyDescent="0.2">
      <c r="B65" s="86"/>
      <c r="C65" s="199">
        <v>6281</v>
      </c>
      <c r="D65" s="37" t="s">
        <v>194</v>
      </c>
      <c r="E65" s="39">
        <f>'FY21'!S59</f>
        <v>4860</v>
      </c>
      <c r="F65" s="39"/>
      <c r="G65" s="39">
        <f>'FY22'!S59</f>
        <v>4957.2000000000007</v>
      </c>
      <c r="H65" s="39"/>
      <c r="I65" s="39">
        <f>'FY23'!S59</f>
        <v>5056.3440000000001</v>
      </c>
      <c r="J65" s="39"/>
      <c r="K65" s="39">
        <f>'FY24'!S59</f>
        <v>5157.4708799999999</v>
      </c>
      <c r="L65" s="39"/>
      <c r="M65" s="39">
        <f>'FY25'!S59</f>
        <v>5260.6202975999995</v>
      </c>
    </row>
    <row r="66" spans="2:13" s="37" customFormat="1" ht="12" x14ac:dyDescent="0.2">
      <c r="B66" s="86"/>
      <c r="C66" s="199">
        <v>6284</v>
      </c>
      <c r="D66" s="37" t="s">
        <v>195</v>
      </c>
      <c r="E66" s="39">
        <f>'FY21'!S60</f>
        <v>1215</v>
      </c>
      <c r="F66" s="39"/>
      <c r="G66" s="39">
        <f>'FY22'!S60</f>
        <v>1239.3000000000002</v>
      </c>
      <c r="H66" s="39"/>
      <c r="I66" s="39">
        <f>'FY23'!S60</f>
        <v>1264.086</v>
      </c>
      <c r="J66" s="39"/>
      <c r="K66" s="39">
        <f>'FY24'!S60</f>
        <v>1289.36772</v>
      </c>
      <c r="L66" s="39"/>
      <c r="M66" s="39">
        <f>'FY25'!S60</f>
        <v>1315.1550743999999</v>
      </c>
    </row>
    <row r="67" spans="2:13" s="37" customFormat="1" ht="12" x14ac:dyDescent="0.2">
      <c r="B67" s="86"/>
      <c r="C67" s="199">
        <v>6287</v>
      </c>
      <c r="D67" s="37" t="s">
        <v>228</v>
      </c>
      <c r="E67" s="39">
        <f>'FY21'!S61</f>
        <v>4860</v>
      </c>
      <c r="F67" s="39"/>
      <c r="G67" s="39">
        <f>'FY22'!S61</f>
        <v>4957.2000000000007</v>
      </c>
      <c r="H67" s="39"/>
      <c r="I67" s="39">
        <f>'FY23'!S61</f>
        <v>5056.3440000000001</v>
      </c>
      <c r="J67" s="39"/>
      <c r="K67" s="39">
        <f>'FY24'!S61</f>
        <v>5157.4708799999999</v>
      </c>
      <c r="L67" s="39"/>
      <c r="M67" s="39">
        <f>'FY25'!S61</f>
        <v>5260.6202975999995</v>
      </c>
    </row>
    <row r="68" spans="2:13" s="37" customFormat="1" ht="12" x14ac:dyDescent="0.2">
      <c r="B68" s="86"/>
      <c r="C68" s="38"/>
      <c r="E68" s="50">
        <f>SUBTOTAL(9,E49:E67)</f>
        <v>41863.720461999997</v>
      </c>
      <c r="F68" s="39"/>
      <c r="G68" s="50">
        <f>SUBTOTAL(9,G49:G67)</f>
        <v>42700.994871240007</v>
      </c>
      <c r="H68" s="39"/>
      <c r="I68" s="50">
        <f>SUBTOTAL(9,I49:I67)</f>
        <v>43555.014768664798</v>
      </c>
      <c r="J68" s="39"/>
      <c r="K68" s="50">
        <f>SUBTOTAL(9,K49:K67)</f>
        <v>44426.115064038102</v>
      </c>
      <c r="L68" s="39"/>
      <c r="M68" s="50">
        <f>SUBTOTAL(9,M49:M67)</f>
        <v>45314.637365318864</v>
      </c>
    </row>
    <row r="69" spans="2:13" s="37" customFormat="1" ht="12" x14ac:dyDescent="0.2">
      <c r="B69" s="86"/>
      <c r="C69" s="49" t="s">
        <v>9</v>
      </c>
      <c r="E69" s="221"/>
      <c r="F69" s="221"/>
      <c r="G69" s="221"/>
      <c r="H69" s="221"/>
      <c r="I69" s="221"/>
      <c r="J69" s="221"/>
      <c r="K69" s="221"/>
      <c r="L69" s="221"/>
      <c r="M69" s="221"/>
    </row>
    <row r="70" spans="2:13" s="37" customFormat="1" ht="12" x14ac:dyDescent="0.2">
      <c r="B70" s="86"/>
      <c r="C70" s="199">
        <v>6300</v>
      </c>
      <c r="D70" s="37" t="s">
        <v>9</v>
      </c>
      <c r="E70" s="39">
        <f>'FY21'!S64</f>
        <v>1164</v>
      </c>
      <c r="F70" s="39"/>
      <c r="G70" s="39">
        <f>'FY22'!S64</f>
        <v>5409.8399999999956</v>
      </c>
      <c r="H70" s="39"/>
      <c r="I70" s="39">
        <f>'FY23'!S64</f>
        <v>5431.6068000000041</v>
      </c>
      <c r="J70" s="39"/>
      <c r="K70" s="39">
        <f>'FY24'!S64</f>
        <v>5453.808936000004</v>
      </c>
      <c r="L70" s="39"/>
      <c r="M70" s="39">
        <f>'FY25'!S64</f>
        <v>5476.4551147199991</v>
      </c>
    </row>
    <row r="71" spans="2:13" s="37" customFormat="1" ht="12" x14ac:dyDescent="0.2">
      <c r="B71" s="86"/>
      <c r="C71" s="199">
        <v>6320</v>
      </c>
      <c r="D71" s="37" t="s">
        <v>10</v>
      </c>
      <c r="E71" s="39">
        <f>'FY21'!S65</f>
        <v>1000.0000000000001</v>
      </c>
      <c r="F71" s="39"/>
      <c r="G71" s="39">
        <f>'FY22'!S65</f>
        <v>1020</v>
      </c>
      <c r="H71" s="39"/>
      <c r="I71" s="39">
        <f>'FY23'!S65</f>
        <v>1040.4000000000003</v>
      </c>
      <c r="J71" s="39"/>
      <c r="K71" s="39">
        <f>'FY24'!S65</f>
        <v>1061.2079999999999</v>
      </c>
      <c r="L71" s="39"/>
      <c r="M71" s="39">
        <f>'FY25'!S65</f>
        <v>1082.4321600000001</v>
      </c>
    </row>
    <row r="72" spans="2:13" s="37" customFormat="1" ht="12" x14ac:dyDescent="0.2">
      <c r="B72" s="86"/>
      <c r="C72" s="199">
        <v>6334</v>
      </c>
      <c r="D72" s="37" t="s">
        <v>11</v>
      </c>
      <c r="E72" s="39">
        <f>'FY21'!S66</f>
        <v>500.00000000000006</v>
      </c>
      <c r="F72" s="39"/>
      <c r="G72" s="39">
        <f>'FY22'!S66</f>
        <v>510</v>
      </c>
      <c r="H72" s="39"/>
      <c r="I72" s="39">
        <f>'FY23'!S66</f>
        <v>520.20000000000016</v>
      </c>
      <c r="J72" s="39"/>
      <c r="K72" s="39">
        <f>'FY24'!S66</f>
        <v>530.60399999999993</v>
      </c>
      <c r="L72" s="39"/>
      <c r="M72" s="39">
        <f>'FY25'!S66</f>
        <v>541.21608000000003</v>
      </c>
    </row>
    <row r="73" spans="2:13" s="37" customFormat="1" ht="12" x14ac:dyDescent="0.2">
      <c r="B73" s="86"/>
      <c r="C73" s="199">
        <v>6334</v>
      </c>
      <c r="D73" s="37" t="s">
        <v>12</v>
      </c>
      <c r="E73" s="39">
        <f>'FY21'!S67</f>
        <v>0</v>
      </c>
      <c r="F73" s="39"/>
      <c r="G73" s="39">
        <f>'FY22'!S67</f>
        <v>0</v>
      </c>
      <c r="H73" s="39"/>
      <c r="I73" s="39">
        <f>'FY23'!S67</f>
        <v>0</v>
      </c>
      <c r="J73" s="39"/>
      <c r="K73" s="39">
        <f>'FY24'!S67</f>
        <v>0</v>
      </c>
      <c r="L73" s="39"/>
      <c r="M73" s="39">
        <f>'FY25'!S67</f>
        <v>0</v>
      </c>
    </row>
    <row r="74" spans="2:13" s="37" customFormat="1" ht="12" x14ac:dyDescent="0.2">
      <c r="B74" s="86"/>
      <c r="C74" s="199">
        <v>6336</v>
      </c>
      <c r="D74" s="37" t="s">
        <v>13</v>
      </c>
      <c r="E74" s="39">
        <f>'FY21'!S68</f>
        <v>0</v>
      </c>
      <c r="F74" s="39"/>
      <c r="G74" s="39">
        <f>'FY22'!S68</f>
        <v>0</v>
      </c>
      <c r="H74" s="39"/>
      <c r="I74" s="39">
        <f>'FY23'!S68</f>
        <v>0</v>
      </c>
      <c r="J74" s="39"/>
      <c r="K74" s="39">
        <f>'FY24'!S68</f>
        <v>0</v>
      </c>
      <c r="L74" s="39"/>
      <c r="M74" s="39">
        <f>'FY25'!S68</f>
        <v>0</v>
      </c>
    </row>
    <row r="75" spans="2:13" s="37" customFormat="1" ht="12" x14ac:dyDescent="0.2">
      <c r="B75" s="86"/>
      <c r="C75" s="199">
        <v>6337</v>
      </c>
      <c r="D75" s="37" t="s">
        <v>14</v>
      </c>
      <c r="E75" s="39">
        <f>'FY21'!S69</f>
        <v>500.00000000000006</v>
      </c>
      <c r="F75" s="39"/>
      <c r="G75" s="39">
        <f>'FY22'!S69</f>
        <v>510</v>
      </c>
      <c r="H75" s="39"/>
      <c r="I75" s="39">
        <f>'FY23'!S69</f>
        <v>520.20000000000016</v>
      </c>
      <c r="J75" s="39"/>
      <c r="K75" s="39">
        <f>'FY24'!S69</f>
        <v>530.60399999999993</v>
      </c>
      <c r="L75" s="39"/>
      <c r="M75" s="39">
        <f>'FY25'!S69</f>
        <v>541.21608000000003</v>
      </c>
    </row>
    <row r="76" spans="2:13" s="37" customFormat="1" ht="12" x14ac:dyDescent="0.2">
      <c r="B76" s="86"/>
      <c r="C76" s="199">
        <v>6340</v>
      </c>
      <c r="D76" s="37" t="s">
        <v>15</v>
      </c>
      <c r="E76" s="39">
        <f>'FY21'!S70</f>
        <v>9504</v>
      </c>
      <c r="F76" s="39"/>
      <c r="G76" s="39">
        <f>'FY22'!S70</f>
        <v>9694.08</v>
      </c>
      <c r="H76" s="39"/>
      <c r="I76" s="39">
        <f>'FY23'!S70</f>
        <v>9887.9616000000024</v>
      </c>
      <c r="J76" s="39"/>
      <c r="K76" s="39">
        <f>'FY24'!S70</f>
        <v>10085.720832000005</v>
      </c>
      <c r="L76" s="39"/>
      <c r="M76" s="39">
        <f>'FY25'!S70</f>
        <v>10287.43524864</v>
      </c>
    </row>
    <row r="77" spans="2:13" s="37" customFormat="1" ht="12" x14ac:dyDescent="0.2">
      <c r="B77" s="86"/>
      <c r="C77" s="199">
        <v>6345</v>
      </c>
      <c r="D77" s="37" t="s">
        <v>16</v>
      </c>
      <c r="E77" s="39">
        <f>'FY21'!S71</f>
        <v>0</v>
      </c>
      <c r="F77" s="39"/>
      <c r="G77" s="39">
        <f>'FY22'!S71</f>
        <v>0</v>
      </c>
      <c r="H77" s="39"/>
      <c r="I77" s="39">
        <f>'FY23'!S71</f>
        <v>0</v>
      </c>
      <c r="J77" s="39"/>
      <c r="K77" s="39">
        <f>'FY24'!S71</f>
        <v>0</v>
      </c>
      <c r="L77" s="39"/>
      <c r="M77" s="39">
        <f>'FY25'!S71</f>
        <v>0</v>
      </c>
    </row>
    <row r="78" spans="2:13" s="37" customFormat="1" ht="12" x14ac:dyDescent="0.2">
      <c r="B78" s="86"/>
      <c r="C78" s="199">
        <v>6350</v>
      </c>
      <c r="D78" s="37" t="s">
        <v>17</v>
      </c>
      <c r="E78" s="39">
        <f>'FY21'!S72</f>
        <v>500.00000000000006</v>
      </c>
      <c r="F78" s="39"/>
      <c r="G78" s="39">
        <f>'FY22'!S72</f>
        <v>510</v>
      </c>
      <c r="H78" s="39"/>
      <c r="I78" s="39">
        <f>'FY23'!S72</f>
        <v>520.20000000000016</v>
      </c>
      <c r="J78" s="39"/>
      <c r="K78" s="39">
        <f>'FY24'!S72</f>
        <v>530.60399999999993</v>
      </c>
      <c r="L78" s="39"/>
      <c r="M78" s="39">
        <f>'FY25'!S72</f>
        <v>541.21608000000003</v>
      </c>
    </row>
    <row r="79" spans="2:13" s="37" customFormat="1" ht="12" x14ac:dyDescent="0.2">
      <c r="B79" s="86"/>
      <c r="C79" s="199">
        <v>6351</v>
      </c>
      <c r="D79" s="37" t="s">
        <v>18</v>
      </c>
      <c r="E79" s="39">
        <f>'FY21'!S73</f>
        <v>0</v>
      </c>
      <c r="F79" s="39"/>
      <c r="G79" s="39">
        <f>'FY22'!S73</f>
        <v>0</v>
      </c>
      <c r="H79" s="39"/>
      <c r="I79" s="39">
        <f>'FY23'!S73</f>
        <v>0</v>
      </c>
      <c r="J79" s="39"/>
      <c r="K79" s="39">
        <f>'FY24'!S73</f>
        <v>0</v>
      </c>
      <c r="L79" s="39"/>
      <c r="M79" s="39">
        <f>'FY25'!S73</f>
        <v>0</v>
      </c>
    </row>
    <row r="80" spans="2:13" s="37" customFormat="1" ht="12" x14ac:dyDescent="0.2">
      <c r="B80" s="86"/>
      <c r="C80" s="38"/>
      <c r="E80" s="50">
        <f>SUBTOTAL(9,E70:E79)</f>
        <v>13168</v>
      </c>
      <c r="F80" s="39"/>
      <c r="G80" s="50">
        <f>SUBTOTAL(9,G70:G79)</f>
        <v>17653.919999999995</v>
      </c>
      <c r="H80" s="39"/>
      <c r="I80" s="50">
        <f>SUBTOTAL(9,I70:I79)</f>
        <v>17920.568400000007</v>
      </c>
      <c r="J80" s="39"/>
      <c r="K80" s="50">
        <f>SUBTOTAL(9,K70:K79)</f>
        <v>18192.549768000008</v>
      </c>
      <c r="L80" s="39"/>
      <c r="M80" s="50">
        <f>SUBTOTAL(9,M70:M79)</f>
        <v>18469.970763359997</v>
      </c>
    </row>
    <row r="81" spans="2:13" s="37" customFormat="1" ht="12" x14ac:dyDescent="0.2">
      <c r="B81" s="86"/>
      <c r="C81" s="49" t="s">
        <v>100</v>
      </c>
      <c r="E81" s="39"/>
      <c r="F81" s="39"/>
      <c r="G81" s="39"/>
      <c r="H81" s="39"/>
      <c r="I81" s="39"/>
      <c r="J81" s="39"/>
      <c r="K81" s="39"/>
      <c r="L81" s="39"/>
      <c r="M81" s="39"/>
    </row>
    <row r="82" spans="2:13" s="37" customFormat="1" ht="12" x14ac:dyDescent="0.2">
      <c r="B82" s="86"/>
      <c r="C82" s="199">
        <v>6410</v>
      </c>
      <c r="D82" s="37" t="s">
        <v>19</v>
      </c>
      <c r="E82" s="39">
        <f>'FY21'!S76</f>
        <v>600</v>
      </c>
      <c r="F82" s="39"/>
      <c r="G82" s="39">
        <f>'FY22'!S76</f>
        <v>612</v>
      </c>
      <c r="H82" s="39"/>
      <c r="I82" s="39">
        <f>'FY23'!S76</f>
        <v>624.2399999999999</v>
      </c>
      <c r="J82" s="39"/>
      <c r="K82" s="39">
        <f>'FY24'!S76</f>
        <v>636.72479999999996</v>
      </c>
      <c r="L82" s="39"/>
      <c r="M82" s="39">
        <f>'FY25'!S76</f>
        <v>649.45929599999999</v>
      </c>
    </row>
    <row r="83" spans="2:13" s="37" customFormat="1" ht="12" x14ac:dyDescent="0.2">
      <c r="B83" s="86"/>
      <c r="C83" s="199">
        <v>6420</v>
      </c>
      <c r="D83" s="37" t="s">
        <v>20</v>
      </c>
      <c r="E83" s="39">
        <f>'FY21'!S77</f>
        <v>1600</v>
      </c>
      <c r="F83" s="39"/>
      <c r="G83" s="39">
        <f>'FY22'!S77</f>
        <v>1632</v>
      </c>
      <c r="H83" s="39"/>
      <c r="I83" s="39">
        <f>'FY23'!S77</f>
        <v>1664.6399999999999</v>
      </c>
      <c r="J83" s="39"/>
      <c r="K83" s="39">
        <f>'FY24'!S77</f>
        <v>1697.9328</v>
      </c>
      <c r="L83" s="39"/>
      <c r="M83" s="39">
        <f>'FY25'!S77</f>
        <v>1731.8914560000001</v>
      </c>
    </row>
    <row r="84" spans="2:13" s="37" customFormat="1" ht="12" x14ac:dyDescent="0.2">
      <c r="B84" s="86"/>
      <c r="C84" s="199">
        <v>6430</v>
      </c>
      <c r="D84" s="37" t="s">
        <v>21</v>
      </c>
      <c r="E84" s="39">
        <f>'FY21'!S78</f>
        <v>125</v>
      </c>
      <c r="F84" s="39"/>
      <c r="G84" s="39">
        <f>'FY22'!S78</f>
        <v>2912.1</v>
      </c>
      <c r="H84" s="39"/>
      <c r="I84" s="39">
        <f>'FY23'!S78</f>
        <v>2970.3420000000001</v>
      </c>
      <c r="J84" s="39"/>
      <c r="K84" s="39">
        <f>'FY24'!S78</f>
        <v>3029.7488399999997</v>
      </c>
      <c r="L84" s="39"/>
      <c r="M84" s="39">
        <f>'FY25'!S78</f>
        <v>3090.3438167999998</v>
      </c>
    </row>
    <row r="85" spans="2:13" s="37" customFormat="1" ht="12" x14ac:dyDescent="0.2">
      <c r="B85" s="86"/>
      <c r="C85" s="199">
        <v>6441</v>
      </c>
      <c r="D85" s="37" t="s">
        <v>22</v>
      </c>
      <c r="E85" s="39">
        <f>'FY21'!S79</f>
        <v>33760</v>
      </c>
      <c r="F85" s="39"/>
      <c r="G85" s="39">
        <f>'FY22'!S79</f>
        <v>34435.19999999999</v>
      </c>
      <c r="H85" s="39"/>
      <c r="I85" s="39">
        <f>'FY23'!S79</f>
        <v>35123.904000000002</v>
      </c>
      <c r="J85" s="39"/>
      <c r="K85" s="39">
        <f>'FY24'!S79</f>
        <v>35826.382079999996</v>
      </c>
      <c r="L85" s="39"/>
      <c r="M85" s="39">
        <f>'FY25'!S79</f>
        <v>36542.909721599994</v>
      </c>
    </row>
    <row r="86" spans="2:13" s="37" customFormat="1" ht="12" x14ac:dyDescent="0.2">
      <c r="B86" s="86"/>
      <c r="C86" s="38"/>
      <c r="E86" s="50">
        <f>SUBTOTAL(9,E82:E85)</f>
        <v>36085</v>
      </c>
      <c r="F86" s="39"/>
      <c r="G86" s="50">
        <f>SUBTOTAL(9,G82:G85)</f>
        <v>39591.299999999988</v>
      </c>
      <c r="H86" s="39"/>
      <c r="I86" s="50">
        <f>SUBTOTAL(9,I82:I85)</f>
        <v>40383.126000000004</v>
      </c>
      <c r="J86" s="39"/>
      <c r="K86" s="50">
        <f>SUBTOTAL(9,K82:K85)</f>
        <v>41190.788519999995</v>
      </c>
      <c r="L86" s="39"/>
      <c r="M86" s="50">
        <f>SUBTOTAL(9,M82:M85)</f>
        <v>42014.604290399991</v>
      </c>
    </row>
    <row r="87" spans="2:13" s="37" customFormat="1" ht="12" x14ac:dyDescent="0.2">
      <c r="B87" s="86"/>
      <c r="C87" s="49" t="s">
        <v>101</v>
      </c>
      <c r="E87" s="39"/>
      <c r="F87" s="39"/>
      <c r="G87" s="39"/>
      <c r="H87" s="39"/>
      <c r="I87" s="39"/>
      <c r="J87" s="39"/>
      <c r="K87" s="39"/>
      <c r="L87" s="39"/>
      <c r="M87" s="39"/>
    </row>
    <row r="88" spans="2:13" s="37" customFormat="1" ht="12" x14ac:dyDescent="0.2">
      <c r="B88" s="86"/>
      <c r="C88" s="199">
        <v>6519</v>
      </c>
      <c r="D88" s="37" t="s">
        <v>235</v>
      </c>
      <c r="E88" s="39">
        <f>'FY21'!S82</f>
        <v>0</v>
      </c>
      <c r="F88" s="39"/>
      <c r="G88" s="39">
        <f>'FY22'!S82</f>
        <v>0</v>
      </c>
      <c r="H88" s="39"/>
      <c r="I88" s="39">
        <f>'FY23'!S82</f>
        <v>0</v>
      </c>
      <c r="J88" s="39"/>
      <c r="K88" s="39">
        <f>'FY24'!S82</f>
        <v>0</v>
      </c>
      <c r="L88" s="39"/>
      <c r="M88" s="39">
        <f>'FY25'!S82</f>
        <v>0</v>
      </c>
    </row>
    <row r="89" spans="2:13" s="37" customFormat="1" ht="12" x14ac:dyDescent="0.2">
      <c r="B89" s="86"/>
      <c r="C89" s="199">
        <v>6521</v>
      </c>
      <c r="D89" s="37" t="s">
        <v>24</v>
      </c>
      <c r="E89" s="39">
        <f>'FY21'!S83</f>
        <v>0</v>
      </c>
      <c r="F89" s="39"/>
      <c r="G89" s="39">
        <f>'FY22'!S83</f>
        <v>0</v>
      </c>
      <c r="H89" s="39"/>
      <c r="I89" s="39">
        <f>'FY23'!S83</f>
        <v>0</v>
      </c>
      <c r="J89" s="39"/>
      <c r="K89" s="39">
        <f>'FY24'!S83</f>
        <v>0</v>
      </c>
      <c r="L89" s="39"/>
      <c r="M89" s="39">
        <f>'FY25'!S83</f>
        <v>0</v>
      </c>
    </row>
    <row r="90" spans="2:13" s="37" customFormat="1" ht="12" x14ac:dyDescent="0.2">
      <c r="B90" s="86"/>
      <c r="C90" s="199">
        <v>6522</v>
      </c>
      <c r="D90" s="37" t="s">
        <v>25</v>
      </c>
      <c r="E90" s="39">
        <f>'FY21'!S84</f>
        <v>0</v>
      </c>
      <c r="F90" s="39"/>
      <c r="G90" s="39">
        <f>'FY22'!S84</f>
        <v>0</v>
      </c>
      <c r="H90" s="39"/>
      <c r="I90" s="39">
        <f>'FY23'!S84</f>
        <v>0</v>
      </c>
      <c r="J90" s="39"/>
      <c r="K90" s="39">
        <f>'FY24'!S84</f>
        <v>0</v>
      </c>
      <c r="L90" s="39"/>
      <c r="M90" s="39">
        <f>'FY25'!S84</f>
        <v>0</v>
      </c>
    </row>
    <row r="91" spans="2:13" s="37" customFormat="1" ht="12" x14ac:dyDescent="0.2">
      <c r="B91" s="86"/>
      <c r="C91" s="199">
        <v>6523</v>
      </c>
      <c r="D91" s="37" t="s">
        <v>26</v>
      </c>
      <c r="E91" s="39">
        <f>'FY21'!S85</f>
        <v>0</v>
      </c>
      <c r="F91" s="39"/>
      <c r="G91" s="39">
        <f>'FY22'!S85</f>
        <v>0</v>
      </c>
      <c r="H91" s="39"/>
      <c r="I91" s="39">
        <f>'FY23'!S85</f>
        <v>0</v>
      </c>
      <c r="J91" s="39"/>
      <c r="K91" s="39">
        <f>'FY24'!S85</f>
        <v>0</v>
      </c>
      <c r="L91" s="39"/>
      <c r="M91" s="39">
        <f>'FY25'!S85</f>
        <v>0</v>
      </c>
    </row>
    <row r="92" spans="2:13" s="37" customFormat="1" ht="12" x14ac:dyDescent="0.2">
      <c r="B92" s="86"/>
      <c r="C92" s="199">
        <v>6531</v>
      </c>
      <c r="D92" s="37" t="s">
        <v>27</v>
      </c>
      <c r="E92" s="39">
        <f>'FY21'!S86</f>
        <v>0</v>
      </c>
      <c r="F92" s="39"/>
      <c r="G92" s="39">
        <f>'FY22'!S86</f>
        <v>0</v>
      </c>
      <c r="H92" s="39"/>
      <c r="I92" s="39">
        <f>'FY23'!S86</f>
        <v>0</v>
      </c>
      <c r="J92" s="39"/>
      <c r="K92" s="39">
        <f>'FY24'!S86</f>
        <v>0</v>
      </c>
      <c r="L92" s="39"/>
      <c r="M92" s="39">
        <f>'FY25'!S86</f>
        <v>0</v>
      </c>
    </row>
    <row r="93" spans="2:13" s="37" customFormat="1" ht="12" x14ac:dyDescent="0.2">
      <c r="B93" s="86"/>
      <c r="C93" s="199">
        <v>6534</v>
      </c>
      <c r="D93" s="37" t="s">
        <v>28</v>
      </c>
      <c r="E93" s="39">
        <f>'FY21'!S87</f>
        <v>0</v>
      </c>
      <c r="F93" s="39"/>
      <c r="G93" s="39">
        <f>'FY22'!S87</f>
        <v>0</v>
      </c>
      <c r="H93" s="39"/>
      <c r="I93" s="39">
        <f>'FY23'!S87</f>
        <v>0</v>
      </c>
      <c r="J93" s="39"/>
      <c r="K93" s="39">
        <f>'FY24'!S87</f>
        <v>0</v>
      </c>
      <c r="L93" s="39"/>
      <c r="M93" s="39">
        <f>'FY25'!S87</f>
        <v>0</v>
      </c>
    </row>
    <row r="94" spans="2:13" s="37" customFormat="1" ht="12" x14ac:dyDescent="0.2">
      <c r="B94" s="86"/>
      <c r="C94" s="199">
        <v>6535</v>
      </c>
      <c r="D94" s="37" t="s">
        <v>236</v>
      </c>
      <c r="E94" s="39">
        <f>'FY21'!S88</f>
        <v>3624</v>
      </c>
      <c r="F94" s="39"/>
      <c r="G94" s="39">
        <f>'FY22'!S88</f>
        <v>3696.48</v>
      </c>
      <c r="H94" s="39"/>
      <c r="I94" s="39">
        <f>'FY23'!S88</f>
        <v>3770.4096000000004</v>
      </c>
      <c r="J94" s="39"/>
      <c r="K94" s="39">
        <f>'FY24'!S88</f>
        <v>3845.8177920000012</v>
      </c>
      <c r="L94" s="39"/>
      <c r="M94" s="39">
        <f>'FY25'!S88</f>
        <v>3922.7341478400008</v>
      </c>
    </row>
    <row r="95" spans="2:13" s="37" customFormat="1" ht="12" x14ac:dyDescent="0.2">
      <c r="B95" s="86"/>
      <c r="C95" s="199">
        <v>6540</v>
      </c>
      <c r="D95" s="37" t="s">
        <v>30</v>
      </c>
      <c r="E95" s="39">
        <f>'FY21'!S89</f>
        <v>0</v>
      </c>
      <c r="F95" s="39"/>
      <c r="G95" s="39">
        <f>'FY22'!S89</f>
        <v>0</v>
      </c>
      <c r="H95" s="39"/>
      <c r="I95" s="39">
        <f>'FY23'!S89</f>
        <v>0</v>
      </c>
      <c r="J95" s="39"/>
      <c r="K95" s="39">
        <f>'FY24'!S89</f>
        <v>0</v>
      </c>
      <c r="L95" s="39"/>
      <c r="M95" s="39">
        <f>'FY25'!S89</f>
        <v>0</v>
      </c>
    </row>
    <row r="96" spans="2:13" s="37" customFormat="1" ht="12" x14ac:dyDescent="0.2">
      <c r="B96" s="86"/>
      <c r="C96" s="199">
        <v>6550</v>
      </c>
      <c r="D96" s="37" t="s">
        <v>31</v>
      </c>
      <c r="E96" s="39">
        <f>'FY21'!S90</f>
        <v>0</v>
      </c>
      <c r="F96" s="39"/>
      <c r="G96" s="39">
        <f>'FY22'!S90</f>
        <v>0</v>
      </c>
      <c r="H96" s="39"/>
      <c r="I96" s="39">
        <f>'FY23'!S90</f>
        <v>0</v>
      </c>
      <c r="J96" s="39"/>
      <c r="K96" s="39">
        <f>'FY24'!S90</f>
        <v>0</v>
      </c>
      <c r="L96" s="39"/>
      <c r="M96" s="39">
        <f>'FY25'!S90</f>
        <v>0</v>
      </c>
    </row>
    <row r="97" spans="2:13" s="37" customFormat="1" ht="12" x14ac:dyDescent="0.2">
      <c r="B97" s="86"/>
      <c r="C97" s="199">
        <v>6568</v>
      </c>
      <c r="D97" s="37" t="s">
        <v>187</v>
      </c>
      <c r="E97" s="39">
        <f>'FY21'!S91</f>
        <v>0</v>
      </c>
      <c r="F97" s="39"/>
      <c r="G97" s="39">
        <f>'FY22'!S91</f>
        <v>0</v>
      </c>
      <c r="H97" s="39"/>
      <c r="I97" s="39">
        <f>'FY23'!S91</f>
        <v>0</v>
      </c>
      <c r="J97" s="39"/>
      <c r="K97" s="39">
        <f>'FY24'!S91</f>
        <v>0</v>
      </c>
      <c r="L97" s="39"/>
      <c r="M97" s="39">
        <f>'FY25'!S91</f>
        <v>0</v>
      </c>
    </row>
    <row r="98" spans="2:13" s="37" customFormat="1" ht="12" x14ac:dyDescent="0.2">
      <c r="B98" s="86"/>
      <c r="C98" s="199">
        <v>6569</v>
      </c>
      <c r="D98" s="37" t="s">
        <v>32</v>
      </c>
      <c r="E98" s="39">
        <f>'FY21'!S92</f>
        <v>190900</v>
      </c>
      <c r="F98" s="39"/>
      <c r="G98" s="39">
        <f>'FY22'!S92</f>
        <v>219535</v>
      </c>
      <c r="H98" s="39"/>
      <c r="I98" s="39">
        <f>'FY23'!S92</f>
        <v>252465.24999999994</v>
      </c>
      <c r="J98" s="39"/>
      <c r="K98" s="39">
        <f>'FY24'!S92</f>
        <v>290335.03749999992</v>
      </c>
      <c r="L98" s="39"/>
      <c r="M98" s="39">
        <f>'FY25'!S92</f>
        <v>333885.29312499991</v>
      </c>
    </row>
    <row r="99" spans="2:13" s="37" customFormat="1" ht="12" x14ac:dyDescent="0.2">
      <c r="B99" s="86"/>
      <c r="C99" s="199">
        <v>6580</v>
      </c>
      <c r="D99" s="37" t="s">
        <v>33</v>
      </c>
      <c r="E99" s="39">
        <f>'FY21'!S93</f>
        <v>0</v>
      </c>
      <c r="F99" s="39"/>
      <c r="G99" s="39">
        <f>'FY22'!S93</f>
        <v>0</v>
      </c>
      <c r="H99" s="39"/>
      <c r="I99" s="39">
        <f>'FY23'!S93</f>
        <v>0</v>
      </c>
      <c r="J99" s="39"/>
      <c r="K99" s="39">
        <f>'FY24'!S93</f>
        <v>0</v>
      </c>
      <c r="L99" s="39"/>
      <c r="M99" s="39">
        <f>'FY25'!S93</f>
        <v>0</v>
      </c>
    </row>
    <row r="100" spans="2:13" s="37" customFormat="1" ht="12" x14ac:dyDescent="0.2">
      <c r="B100" s="86"/>
      <c r="C100" s="38"/>
      <c r="E100" s="50">
        <f>SUBTOTAL(9,E88:E99)</f>
        <v>194524</v>
      </c>
      <c r="F100" s="39"/>
      <c r="G100" s="50">
        <f>SUBTOTAL(9,G88:G99)</f>
        <v>223231.48</v>
      </c>
      <c r="H100" s="39"/>
      <c r="I100" s="50">
        <f>SUBTOTAL(9,I88:I99)</f>
        <v>256235.65959999996</v>
      </c>
      <c r="J100" s="39"/>
      <c r="K100" s="50">
        <f>SUBTOTAL(9,K88:K99)</f>
        <v>294180.85529199993</v>
      </c>
      <c r="L100" s="39"/>
      <c r="M100" s="50">
        <f>SUBTOTAL(9,M88:M99)</f>
        <v>337808.02727283991</v>
      </c>
    </row>
    <row r="101" spans="2:13" s="37" customFormat="1" ht="12" x14ac:dyDescent="0.2">
      <c r="B101" s="86"/>
      <c r="C101" s="49" t="s">
        <v>102</v>
      </c>
      <c r="E101" s="39"/>
      <c r="F101" s="39"/>
      <c r="G101" s="39"/>
      <c r="H101" s="39"/>
      <c r="I101" s="39"/>
      <c r="J101" s="39"/>
      <c r="K101" s="39"/>
      <c r="L101" s="39"/>
      <c r="M101" s="39"/>
    </row>
    <row r="102" spans="2:13" s="37" customFormat="1" ht="12" x14ac:dyDescent="0.2">
      <c r="B102" s="86"/>
      <c r="C102" s="199">
        <v>6610</v>
      </c>
      <c r="D102" s="37" t="s">
        <v>34</v>
      </c>
      <c r="E102" s="39">
        <f>'FY21'!S96</f>
        <v>2292</v>
      </c>
      <c r="F102" s="39"/>
      <c r="G102" s="39">
        <f>'FY22'!S96</f>
        <v>2337.84</v>
      </c>
      <c r="H102" s="39"/>
      <c r="I102" s="39">
        <f>'FY23'!S96</f>
        <v>2384.5967999999998</v>
      </c>
      <c r="J102" s="39"/>
      <c r="K102" s="39">
        <f>'FY24'!S96</f>
        <v>2432.288736</v>
      </c>
      <c r="L102" s="39"/>
      <c r="M102" s="39">
        <f>'FY25'!S96</f>
        <v>2480.9345107199997</v>
      </c>
    </row>
    <row r="103" spans="2:13" s="37" customFormat="1" ht="12" x14ac:dyDescent="0.2">
      <c r="B103" s="86"/>
      <c r="C103" s="199">
        <v>6612</v>
      </c>
      <c r="D103" s="37" t="s">
        <v>35</v>
      </c>
      <c r="E103" s="39">
        <f>'FY21'!S97</f>
        <v>0</v>
      </c>
      <c r="F103" s="39"/>
      <c r="G103" s="39">
        <f>'FY22'!S97</f>
        <v>0</v>
      </c>
      <c r="H103" s="39"/>
      <c r="I103" s="39">
        <f>'FY23'!S97</f>
        <v>0</v>
      </c>
      <c r="J103" s="39"/>
      <c r="K103" s="39">
        <f>'FY24'!S97</f>
        <v>0</v>
      </c>
      <c r="L103" s="39"/>
      <c r="M103" s="39">
        <f>'FY25'!S97</f>
        <v>0</v>
      </c>
    </row>
    <row r="104" spans="2:13" s="37" customFormat="1" ht="12" x14ac:dyDescent="0.2">
      <c r="B104" s="86"/>
      <c r="C104" s="199">
        <v>6622</v>
      </c>
      <c r="D104" s="37" t="s">
        <v>36</v>
      </c>
      <c r="E104" s="39">
        <f>'FY21'!S98</f>
        <v>1200</v>
      </c>
      <c r="F104" s="39"/>
      <c r="G104" s="39">
        <f>'FY22'!S98</f>
        <v>1224</v>
      </c>
      <c r="H104" s="39"/>
      <c r="I104" s="39">
        <f>'FY23'!S98</f>
        <v>1248.4799999999998</v>
      </c>
      <c r="J104" s="39"/>
      <c r="K104" s="39">
        <f>'FY24'!S98</f>
        <v>1273.4495999999999</v>
      </c>
      <c r="L104" s="39"/>
      <c r="M104" s="39">
        <f>'FY25'!S98</f>
        <v>1298.918592</v>
      </c>
    </row>
    <row r="105" spans="2:13" s="37" customFormat="1" ht="12" x14ac:dyDescent="0.2">
      <c r="B105" s="86"/>
      <c r="C105" s="199">
        <v>6641</v>
      </c>
      <c r="D105" s="37" t="s">
        <v>37</v>
      </c>
      <c r="E105" s="39">
        <f>'FY21'!S99</f>
        <v>17120</v>
      </c>
      <c r="F105" s="39"/>
      <c r="G105" s="39">
        <f>'FY22'!S99</f>
        <v>19688</v>
      </c>
      <c r="H105" s="39"/>
      <c r="I105" s="39">
        <f>'FY23'!S99</f>
        <v>22641.199999999997</v>
      </c>
      <c r="J105" s="39"/>
      <c r="K105" s="39">
        <f>'FY24'!S99</f>
        <v>26037.379999999997</v>
      </c>
      <c r="L105" s="39"/>
      <c r="M105" s="39">
        <f>'FY25'!S99</f>
        <v>29942.98699999999</v>
      </c>
    </row>
    <row r="106" spans="2:13" s="37" customFormat="1" ht="12" x14ac:dyDescent="0.2">
      <c r="B106" s="86"/>
      <c r="C106" s="199">
        <v>6642</v>
      </c>
      <c r="D106" s="37" t="s">
        <v>38</v>
      </c>
      <c r="E106" s="39">
        <f>'FY21'!S100</f>
        <v>20680</v>
      </c>
      <c r="F106" s="39"/>
      <c r="G106" s="39">
        <f>'FY22'!S100</f>
        <v>23781.999999999996</v>
      </c>
      <c r="H106" s="39"/>
      <c r="I106" s="39">
        <f>'FY23'!S100</f>
        <v>27349.299999999992</v>
      </c>
      <c r="J106" s="39"/>
      <c r="K106" s="39">
        <f>'FY24'!S100</f>
        <v>31451.694999999992</v>
      </c>
      <c r="L106" s="39"/>
      <c r="M106" s="39">
        <f>'FY25'!S100</f>
        <v>36169.449249999983</v>
      </c>
    </row>
    <row r="107" spans="2:13" s="37" customFormat="1" ht="12" x14ac:dyDescent="0.2">
      <c r="B107" s="86"/>
      <c r="C107" s="199">
        <v>6651</v>
      </c>
      <c r="D107" s="37" t="s">
        <v>39</v>
      </c>
      <c r="E107" s="39">
        <f>'FY21'!S101</f>
        <v>0</v>
      </c>
      <c r="F107" s="39"/>
      <c r="G107" s="39">
        <f>'FY22'!S101</f>
        <v>0</v>
      </c>
      <c r="H107" s="39"/>
      <c r="I107" s="39">
        <f>'FY23'!S101</f>
        <v>0</v>
      </c>
      <c r="J107" s="39"/>
      <c r="K107" s="39">
        <f>'FY24'!S101</f>
        <v>0</v>
      </c>
      <c r="L107" s="39"/>
      <c r="M107" s="39">
        <f>'FY25'!S101</f>
        <v>0</v>
      </c>
    </row>
    <row r="108" spans="2:13" s="37" customFormat="1" ht="12" x14ac:dyDescent="0.2">
      <c r="B108" s="86"/>
      <c r="C108" s="199">
        <v>6652</v>
      </c>
      <c r="D108" s="37" t="s">
        <v>40</v>
      </c>
      <c r="E108" s="39">
        <f>'FY21'!S102</f>
        <v>0</v>
      </c>
      <c r="F108" s="39"/>
      <c r="G108" s="39">
        <f>'FY22'!S102</f>
        <v>0</v>
      </c>
      <c r="H108" s="39"/>
      <c r="I108" s="39">
        <f>'FY23'!S102</f>
        <v>0</v>
      </c>
      <c r="J108" s="39"/>
      <c r="K108" s="39">
        <f>'FY24'!S102</f>
        <v>0</v>
      </c>
      <c r="L108" s="39"/>
      <c r="M108" s="39">
        <f>'FY25'!S102</f>
        <v>0</v>
      </c>
    </row>
    <row r="109" spans="2:13" s="37" customFormat="1" ht="12" x14ac:dyDescent="0.2">
      <c r="B109" s="86"/>
      <c r="C109" s="38"/>
      <c r="E109" s="50">
        <f>SUBTOTAL(9,E102:E108)</f>
        <v>41292</v>
      </c>
      <c r="F109" s="39"/>
      <c r="G109" s="50">
        <f>SUBTOTAL(9,G102:G108)</f>
        <v>47031.839999999997</v>
      </c>
      <c r="H109" s="39"/>
      <c r="I109" s="50">
        <f>SUBTOTAL(9,I102:I108)</f>
        <v>53623.576799999988</v>
      </c>
      <c r="J109" s="39"/>
      <c r="K109" s="50">
        <f>SUBTOTAL(9,K102:K108)</f>
        <v>61194.813335999992</v>
      </c>
      <c r="L109" s="39"/>
      <c r="M109" s="50">
        <f>SUBTOTAL(9,M102:M108)</f>
        <v>69892.289352719963</v>
      </c>
    </row>
    <row r="110" spans="2:13" s="37" customFormat="1" ht="12" x14ac:dyDescent="0.2">
      <c r="B110" s="86"/>
      <c r="C110" s="49" t="s">
        <v>103</v>
      </c>
      <c r="E110" s="39"/>
      <c r="F110" s="39"/>
      <c r="G110" s="39"/>
      <c r="H110" s="39"/>
      <c r="I110" s="39"/>
      <c r="J110" s="39"/>
      <c r="K110" s="39"/>
      <c r="L110" s="39"/>
      <c r="M110" s="39"/>
    </row>
    <row r="111" spans="2:13" s="37" customFormat="1" ht="12" x14ac:dyDescent="0.2">
      <c r="B111" s="86"/>
      <c r="C111" s="199">
        <v>6734</v>
      </c>
      <c r="D111" s="37" t="s">
        <v>41</v>
      </c>
      <c r="E111" s="39">
        <f>'FY21'!S105</f>
        <v>0</v>
      </c>
      <c r="F111" s="39"/>
      <c r="G111" s="39">
        <f>'FY22'!S105</f>
        <v>0</v>
      </c>
      <c r="H111" s="39"/>
      <c r="I111" s="39">
        <f>'FY23'!S105</f>
        <v>0</v>
      </c>
      <c r="J111" s="39"/>
      <c r="K111" s="39">
        <f>'FY24'!S105</f>
        <v>0</v>
      </c>
      <c r="L111" s="39"/>
      <c r="M111" s="39">
        <f>'FY25'!S105</f>
        <v>0</v>
      </c>
    </row>
    <row r="112" spans="2:13" s="37" customFormat="1" ht="12" x14ac:dyDescent="0.2">
      <c r="B112" s="86"/>
      <c r="C112" s="38"/>
      <c r="E112" s="50">
        <f>SUBTOTAL(9,E111)</f>
        <v>0</v>
      </c>
      <c r="F112" s="39"/>
      <c r="G112" s="50">
        <f>SUBTOTAL(9,G111)</f>
        <v>0</v>
      </c>
      <c r="H112" s="39"/>
      <c r="I112" s="50">
        <f>SUBTOTAL(9,I111)</f>
        <v>0</v>
      </c>
      <c r="J112" s="39"/>
      <c r="K112" s="50">
        <f>SUBTOTAL(9,K111)</f>
        <v>0</v>
      </c>
      <c r="L112" s="39"/>
      <c r="M112" s="50">
        <f>SUBTOTAL(9,M111)</f>
        <v>0</v>
      </c>
    </row>
    <row r="113" spans="2:16" s="37" customFormat="1" ht="12" x14ac:dyDescent="0.2">
      <c r="B113" s="86"/>
      <c r="C113" s="49" t="s">
        <v>104</v>
      </c>
      <c r="E113" s="39"/>
      <c r="F113" s="39"/>
      <c r="G113" s="39"/>
      <c r="H113" s="39"/>
      <c r="I113" s="39"/>
      <c r="J113" s="39"/>
      <c r="K113" s="39"/>
      <c r="L113" s="39"/>
      <c r="M113" s="39"/>
    </row>
    <row r="114" spans="2:16" s="37" customFormat="1" ht="12" x14ac:dyDescent="0.2">
      <c r="B114" s="86"/>
      <c r="C114" s="199">
        <v>6810</v>
      </c>
      <c r="D114" s="37" t="s">
        <v>42</v>
      </c>
      <c r="E114" s="39">
        <f>'FY21'!S108</f>
        <v>680</v>
      </c>
      <c r="F114" s="39"/>
      <c r="G114" s="39">
        <f>'FY22'!S108</f>
        <v>693.60000000000025</v>
      </c>
      <c r="H114" s="39"/>
      <c r="I114" s="39">
        <f>'FY23'!S108</f>
        <v>707.47199999999987</v>
      </c>
      <c r="J114" s="39"/>
      <c r="K114" s="39">
        <f>'FY24'!S108</f>
        <v>721.62143999999989</v>
      </c>
      <c r="L114" s="39"/>
      <c r="M114" s="39">
        <f>'FY25'!S108</f>
        <v>736.0538687999998</v>
      </c>
    </row>
    <row r="115" spans="2:16" s="37" customFormat="1" ht="12" x14ac:dyDescent="0.2">
      <c r="B115" s="86"/>
      <c r="C115" s="38"/>
      <c r="E115" s="50">
        <f>SUBTOTAL(9,E114)</f>
        <v>680</v>
      </c>
      <c r="F115" s="39"/>
      <c r="G115" s="50">
        <f>SUBTOTAL(9,G114)</f>
        <v>693.60000000000025</v>
      </c>
      <c r="H115" s="39"/>
      <c r="I115" s="50">
        <f>SUBTOTAL(9,I114)</f>
        <v>707.47199999999987</v>
      </c>
      <c r="J115" s="39"/>
      <c r="K115" s="50">
        <f>SUBTOTAL(9,K114)</f>
        <v>721.62143999999989</v>
      </c>
      <c r="L115" s="39"/>
      <c r="M115" s="50">
        <f>SUBTOTAL(9,M114)</f>
        <v>736.0538687999998</v>
      </c>
    </row>
    <row r="116" spans="2:16" s="45" customFormat="1" ht="12" x14ac:dyDescent="0.2">
      <c r="B116" s="87"/>
      <c r="C116" s="49" t="s">
        <v>43</v>
      </c>
      <c r="E116" s="48"/>
      <c r="F116" s="40"/>
      <c r="G116" s="48"/>
      <c r="H116" s="40"/>
      <c r="I116" s="48"/>
      <c r="J116" s="40"/>
      <c r="K116" s="48"/>
      <c r="L116" s="40"/>
      <c r="M116" s="48"/>
    </row>
    <row r="117" spans="2:16" s="37" customFormat="1" ht="12" x14ac:dyDescent="0.2">
      <c r="B117" s="86"/>
      <c r="C117" s="199">
        <v>7306</v>
      </c>
      <c r="D117" s="37" t="s">
        <v>43</v>
      </c>
      <c r="E117" s="39">
        <f>'FY21'!S111</f>
        <v>0</v>
      </c>
      <c r="F117" s="39"/>
      <c r="G117" s="39">
        <f>'FY22'!S111</f>
        <v>0</v>
      </c>
      <c r="H117" s="39"/>
      <c r="I117" s="39">
        <f>'FY23'!S111</f>
        <v>0</v>
      </c>
      <c r="J117" s="39"/>
      <c r="K117" s="39">
        <f>'FY24'!S111</f>
        <v>0</v>
      </c>
      <c r="L117" s="39"/>
      <c r="M117" s="39">
        <f>'FY25'!S111</f>
        <v>0</v>
      </c>
    </row>
    <row r="118" spans="2:16" s="37" customFormat="1" ht="12" x14ac:dyDescent="0.2">
      <c r="B118" s="86"/>
      <c r="C118" s="38">
        <v>7901</v>
      </c>
      <c r="D118" s="37" t="s">
        <v>178</v>
      </c>
      <c r="E118" s="39">
        <f>'FY21'!S112</f>
        <v>0</v>
      </c>
      <c r="F118" s="39"/>
      <c r="G118" s="39">
        <f>'FY22'!S112</f>
        <v>0</v>
      </c>
      <c r="H118" s="39"/>
      <c r="I118" s="39">
        <f>'FY23'!S112</f>
        <v>0</v>
      </c>
      <c r="J118" s="39"/>
      <c r="K118" s="39">
        <f>'FY24'!S112</f>
        <v>0</v>
      </c>
      <c r="L118" s="39"/>
      <c r="M118" s="39">
        <f>'FY25'!S112</f>
        <v>0</v>
      </c>
    </row>
    <row r="119" spans="2:16" s="37" customFormat="1" ht="12" x14ac:dyDescent="0.2">
      <c r="B119" s="86"/>
      <c r="C119" s="38"/>
      <c r="E119" s="50">
        <f>SUBTOTAL(9,E117:E118)</f>
        <v>0</v>
      </c>
      <c r="F119" s="39"/>
      <c r="G119" s="50">
        <f>SUBTOTAL(9,G117:G118)</f>
        <v>0</v>
      </c>
      <c r="H119" s="39"/>
      <c r="I119" s="50">
        <f>SUBTOTAL(9,I117:I118)</f>
        <v>0</v>
      </c>
      <c r="J119" s="39"/>
      <c r="K119" s="50">
        <f>SUBTOTAL(9,K117:K118)</f>
        <v>0</v>
      </c>
      <c r="L119" s="39"/>
      <c r="M119" s="50">
        <f>SUBTOTAL(9,M117:M118)</f>
        <v>0</v>
      </c>
    </row>
    <row r="120" spans="2:16" s="37" customFormat="1" ht="9" customHeight="1" x14ac:dyDescent="0.2">
      <c r="B120" s="86"/>
      <c r="C120" s="38"/>
      <c r="E120" s="39"/>
      <c r="F120" s="39"/>
      <c r="G120" s="39"/>
      <c r="H120" s="39"/>
      <c r="I120" s="39"/>
      <c r="J120" s="39"/>
      <c r="K120" s="39"/>
      <c r="L120" s="39"/>
      <c r="M120" s="39"/>
    </row>
    <row r="121" spans="2:16" s="45" customFormat="1" ht="12" x14ac:dyDescent="0.2">
      <c r="B121" s="45" t="s">
        <v>107</v>
      </c>
      <c r="C121" s="46"/>
      <c r="E121" s="43">
        <f>SUBTOTAL(9,E36:E120)</f>
        <v>479259.81246199994</v>
      </c>
      <c r="F121" s="40"/>
      <c r="G121" s="43">
        <f>SUBTOTAL(9,G36:G120)</f>
        <v>525583.16871123994</v>
      </c>
      <c r="H121" s="40"/>
      <c r="I121" s="43">
        <f>SUBTOTAL(9,I36:I120)</f>
        <v>570199.05208546482</v>
      </c>
      <c r="J121" s="40"/>
      <c r="K121" s="43">
        <f>SUBTOTAL(9,K36:K120)</f>
        <v>620835.85062717414</v>
      </c>
      <c r="L121" s="40"/>
      <c r="M121" s="43">
        <f>SUBTOTAL(9,M36:M120)</f>
        <v>678383.2722647175</v>
      </c>
    </row>
    <row r="122" spans="2:16" s="37" customFormat="1" ht="12" x14ac:dyDescent="0.2">
      <c r="C122" s="38"/>
      <c r="E122" s="39"/>
      <c r="F122" s="39"/>
      <c r="G122" s="39"/>
      <c r="H122" s="39"/>
      <c r="I122" s="39"/>
      <c r="J122" s="39"/>
      <c r="K122" s="39"/>
      <c r="L122" s="39"/>
      <c r="M122" s="39"/>
    </row>
    <row r="123" spans="2:16" s="45" customFormat="1" ht="12.75" thickBot="1" x14ac:dyDescent="0.25">
      <c r="B123" s="45" t="s">
        <v>108</v>
      </c>
      <c r="C123" s="46"/>
      <c r="E123" s="181">
        <f>E33-E121</f>
        <v>15452.187537999998</v>
      </c>
      <c r="F123" s="182"/>
      <c r="G123" s="181">
        <f>G33-G121</f>
        <v>-15535.168711240054</v>
      </c>
      <c r="H123" s="182"/>
      <c r="I123" s="181">
        <f>I33-I121</f>
        <v>16356.147914535133</v>
      </c>
      <c r="J123" s="182"/>
      <c r="K123" s="181">
        <f>K33-K121</f>
        <v>24374.86937282572</v>
      </c>
      <c r="L123" s="182"/>
      <c r="M123" s="181">
        <f>M33-M121</f>
        <v>31348.519735282403</v>
      </c>
    </row>
    <row r="124" spans="2:16" s="37" customFormat="1" ht="12.75" thickTop="1" x14ac:dyDescent="0.2">
      <c r="C124" s="38"/>
      <c r="E124" s="39"/>
      <c r="F124" s="39"/>
      <c r="G124" s="39"/>
      <c r="H124" s="39"/>
      <c r="I124" s="39"/>
      <c r="J124" s="39"/>
      <c r="K124" s="39"/>
      <c r="L124" s="39"/>
      <c r="M124" s="39"/>
    </row>
    <row r="125" spans="2:16" s="156" customFormat="1" ht="12.75" x14ac:dyDescent="0.2">
      <c r="D125" s="157" t="s">
        <v>154</v>
      </c>
      <c r="E125" s="640">
        <f>Budget!E34</f>
        <v>46593.380000000005</v>
      </c>
      <c r="F125" s="158"/>
      <c r="G125" s="183">
        <f>E126</f>
        <v>50045.567538000003</v>
      </c>
      <c r="H125" s="158"/>
      <c r="I125" s="183">
        <f>G126</f>
        <v>10510.398826759949</v>
      </c>
      <c r="J125" s="158"/>
      <c r="K125" s="183">
        <f>I126</f>
        <v>-9133.453258704918</v>
      </c>
      <c r="L125" s="158"/>
      <c r="M125" s="184">
        <f>K126</f>
        <v>-32758.583885879198</v>
      </c>
    </row>
    <row r="126" spans="2:16" s="159" customFormat="1" ht="13.5" thickBot="1" x14ac:dyDescent="0.25">
      <c r="D126" s="160" t="s">
        <v>155</v>
      </c>
      <c r="E126" s="161">
        <f>E125+E123-E128</f>
        <v>50045.567538000003</v>
      </c>
      <c r="F126" s="169"/>
      <c r="G126" s="161">
        <f>G125+G123-G128</f>
        <v>10510.398826759949</v>
      </c>
      <c r="H126" s="170"/>
      <c r="I126" s="161">
        <f>I125+I123-I128</f>
        <v>-9133.453258704918</v>
      </c>
      <c r="J126" s="169"/>
      <c r="K126" s="161">
        <f>K125+K123-K128</f>
        <v>-32758.583885879198</v>
      </c>
      <c r="L126" s="169"/>
      <c r="M126" s="161">
        <f>M125+M123-M128</f>
        <v>-1410.0641505967942</v>
      </c>
    </row>
    <row r="127" spans="2:16" s="15" customFormat="1" ht="15.75" thickTop="1" x14ac:dyDescent="0.25">
      <c r="D127" s="162"/>
      <c r="E127" s="163">
        <f>E126/E121</f>
        <v>0.10442262471562451</v>
      </c>
      <c r="F127" s="164"/>
      <c r="G127" s="163">
        <f>G126/G121</f>
        <v>1.9997594010729168E-2</v>
      </c>
      <c r="H127" s="165"/>
      <c r="I127" s="163">
        <f>I126/I121</f>
        <v>-1.6018008492472802E-2</v>
      </c>
      <c r="J127" s="164"/>
      <c r="K127" s="163">
        <f>K126/K121</f>
        <v>-5.2765290298210345E-2</v>
      </c>
      <c r="L127" s="164"/>
      <c r="M127" s="166">
        <f>M126/M121</f>
        <v>-2.0785656254309311E-3</v>
      </c>
    </row>
    <row r="128" spans="2:16" s="15" customFormat="1" ht="12" customHeight="1" x14ac:dyDescent="0.25">
      <c r="B128" s="54"/>
      <c r="C128" s="54"/>
      <c r="D128" s="678" t="s">
        <v>623</v>
      </c>
      <c r="E128" s="679">
        <f>'Rev &amp; Enroll'!F71</f>
        <v>12000</v>
      </c>
      <c r="F128" s="680"/>
      <c r="G128" s="679">
        <f>'Rev &amp; Enroll'!H71</f>
        <v>24000</v>
      </c>
      <c r="H128" s="680"/>
      <c r="I128" s="679">
        <f>'Rev &amp; Enroll'!J71</f>
        <v>36000</v>
      </c>
      <c r="J128" s="680"/>
      <c r="K128" s="679">
        <f>'Rev &amp; Enroll'!L71</f>
        <v>48000</v>
      </c>
      <c r="L128" s="680"/>
      <c r="M128" s="680">
        <v>0</v>
      </c>
      <c r="N128" s="167"/>
      <c r="O128" s="54"/>
      <c r="P128" s="167"/>
    </row>
    <row r="129" spans="1:16" s="15" customFormat="1" x14ac:dyDescent="0.25">
      <c r="B129" s="54"/>
      <c r="C129" s="54"/>
      <c r="D129" s="54"/>
      <c r="E129" s="54"/>
      <c r="F129" s="167"/>
      <c r="G129" s="54"/>
      <c r="H129" s="167"/>
      <c r="I129" s="54"/>
      <c r="J129" s="167"/>
      <c r="K129" s="168"/>
      <c r="L129" s="167"/>
      <c r="M129" s="54"/>
      <c r="N129" s="167"/>
      <c r="O129" s="54"/>
      <c r="P129" s="167"/>
    </row>
    <row r="130" spans="1:16" s="37" customFormat="1" ht="12" x14ac:dyDescent="0.2">
      <c r="B130" s="53" t="s">
        <v>109</v>
      </c>
      <c r="C130" s="54"/>
      <c r="D130" s="54"/>
      <c r="E130" s="39"/>
      <c r="F130" s="39"/>
      <c r="G130" s="39"/>
      <c r="H130" s="39"/>
      <c r="I130" s="39"/>
      <c r="J130" s="39"/>
      <c r="K130" s="39"/>
      <c r="L130" s="39"/>
      <c r="M130" s="39"/>
    </row>
    <row r="131" spans="1:16" s="37" customFormat="1" ht="12" x14ac:dyDescent="0.2">
      <c r="B131" s="53"/>
      <c r="C131" s="54" t="s">
        <v>110</v>
      </c>
      <c r="D131" s="54"/>
      <c r="E131" s="39">
        <f>E123</f>
        <v>15452.187537999998</v>
      </c>
      <c r="F131" s="39"/>
      <c r="G131" s="39">
        <f>G123</f>
        <v>-15535.168711240054</v>
      </c>
      <c r="H131" s="39"/>
      <c r="I131" s="39">
        <f>I123</f>
        <v>16356.147914535133</v>
      </c>
      <c r="J131" s="39"/>
      <c r="K131" s="39">
        <f>K123</f>
        <v>24374.86937282572</v>
      </c>
      <c r="L131" s="39"/>
      <c r="M131" s="39">
        <f>M123</f>
        <v>31348.519735282403</v>
      </c>
    </row>
    <row r="132" spans="1:16" s="37" customFormat="1" ht="12" x14ac:dyDescent="0.2">
      <c r="B132" s="54"/>
      <c r="C132" s="54" t="s">
        <v>112</v>
      </c>
      <c r="D132" s="54"/>
      <c r="E132" s="39"/>
      <c r="F132" s="39"/>
      <c r="G132" s="39"/>
      <c r="H132" s="39"/>
      <c r="I132" s="39"/>
      <c r="J132" s="39"/>
      <c r="K132" s="39"/>
      <c r="L132" s="39"/>
      <c r="M132" s="39"/>
    </row>
    <row r="133" spans="1:16" s="37" customFormat="1" ht="12" x14ac:dyDescent="0.2">
      <c r="B133" s="85"/>
      <c r="C133" s="54"/>
      <c r="D133" s="55" t="s">
        <v>113</v>
      </c>
      <c r="E133" s="39">
        <f>'FY21'!S122</f>
        <v>0</v>
      </c>
      <c r="F133" s="39"/>
      <c r="G133" s="39">
        <f>'FY22'!S122</f>
        <v>0</v>
      </c>
      <c r="H133" s="39"/>
      <c r="I133" s="39">
        <f>'FY23'!S122</f>
        <v>0</v>
      </c>
      <c r="J133" s="39"/>
      <c r="K133" s="39">
        <f>'FY24'!S122</f>
        <v>0</v>
      </c>
      <c r="L133" s="39"/>
      <c r="M133" s="39">
        <f>'FY25'!S122</f>
        <v>0</v>
      </c>
    </row>
    <row r="134" spans="1:16" s="37" customFormat="1" ht="12" x14ac:dyDescent="0.2">
      <c r="B134" s="85"/>
      <c r="C134" s="54"/>
      <c r="D134" s="55" t="s">
        <v>114</v>
      </c>
      <c r="E134" s="39">
        <f>'FY21'!S123</f>
        <v>0</v>
      </c>
      <c r="F134" s="39"/>
      <c r="G134" s="39">
        <f>'FY22'!S123</f>
        <v>0</v>
      </c>
      <c r="H134" s="39"/>
      <c r="I134" s="39">
        <f>'FY23'!S123</f>
        <v>0</v>
      </c>
      <c r="J134" s="39"/>
      <c r="K134" s="39">
        <f>'FY24'!S123</f>
        <v>0</v>
      </c>
      <c r="L134" s="39"/>
      <c r="M134" s="39">
        <f>'FY25'!S123</f>
        <v>0</v>
      </c>
    </row>
    <row r="135" spans="1:16" s="37" customFormat="1" ht="12" x14ac:dyDescent="0.2">
      <c r="B135" s="85"/>
      <c r="C135" s="54"/>
      <c r="D135" s="55" t="s">
        <v>115</v>
      </c>
      <c r="E135" s="39">
        <f>'FY21'!S124</f>
        <v>0</v>
      </c>
      <c r="F135" s="39"/>
      <c r="G135" s="39">
        <f>'FY22'!S124</f>
        <v>0</v>
      </c>
      <c r="H135" s="39"/>
      <c r="I135" s="39">
        <f>'FY23'!S124</f>
        <v>0</v>
      </c>
      <c r="J135" s="39"/>
      <c r="K135" s="39">
        <f>'FY24'!S124</f>
        <v>0</v>
      </c>
      <c r="L135" s="39"/>
      <c r="M135" s="39">
        <f>'FY25'!S124</f>
        <v>0</v>
      </c>
    </row>
    <row r="136" spans="1:16" s="37" customFormat="1" ht="12" x14ac:dyDescent="0.2">
      <c r="B136" s="85"/>
      <c r="C136" s="54"/>
      <c r="D136" s="55" t="s">
        <v>116</v>
      </c>
      <c r="E136" s="39">
        <f>'FY21'!S125</f>
        <v>0</v>
      </c>
      <c r="F136" s="39"/>
      <c r="G136" s="39">
        <f>'FY22'!S125</f>
        <v>0</v>
      </c>
      <c r="H136" s="39"/>
      <c r="I136" s="39">
        <f>'FY23'!S125</f>
        <v>0</v>
      </c>
      <c r="J136" s="39"/>
      <c r="K136" s="39">
        <f>'FY24'!S125</f>
        <v>0</v>
      </c>
      <c r="L136" s="39"/>
      <c r="M136" s="39">
        <f>'FY25'!S125</f>
        <v>0</v>
      </c>
    </row>
    <row r="137" spans="1:16" s="37" customFormat="1" ht="12" x14ac:dyDescent="0.2">
      <c r="B137" s="85"/>
      <c r="C137" s="54"/>
      <c r="D137" s="55" t="s">
        <v>117</v>
      </c>
      <c r="E137" s="39">
        <f>'FY21'!S126</f>
        <v>0</v>
      </c>
      <c r="F137" s="39"/>
      <c r="G137" s="39">
        <f>'FY22'!S126</f>
        <v>0</v>
      </c>
      <c r="H137" s="39"/>
      <c r="I137" s="39">
        <f>'FY23'!S126</f>
        <v>0</v>
      </c>
      <c r="J137" s="39"/>
      <c r="K137" s="39">
        <f>'FY24'!S126</f>
        <v>0</v>
      </c>
      <c r="L137" s="39"/>
      <c r="M137" s="39">
        <f>'FY25'!S126</f>
        <v>0</v>
      </c>
    </row>
    <row r="138" spans="1:16" s="37" customFormat="1" ht="12" x14ac:dyDescent="0.2">
      <c r="B138" s="85"/>
      <c r="C138" s="54"/>
      <c r="D138" s="55" t="s">
        <v>118</v>
      </c>
      <c r="E138" s="39">
        <f>'FY21'!S127</f>
        <v>0</v>
      </c>
      <c r="F138" s="39"/>
      <c r="G138" s="39">
        <f>'FY22'!S127</f>
        <v>0</v>
      </c>
      <c r="H138" s="39"/>
      <c r="I138" s="39">
        <f>'FY23'!S127</f>
        <v>0</v>
      </c>
      <c r="J138" s="39"/>
      <c r="K138" s="39">
        <f>'FY24'!S127</f>
        <v>0</v>
      </c>
      <c r="L138" s="39"/>
      <c r="M138" s="39">
        <f>'FY25'!S127</f>
        <v>0</v>
      </c>
    </row>
    <row r="139" spans="1:16" s="37" customFormat="1" ht="12" x14ac:dyDescent="0.2">
      <c r="B139" s="85"/>
      <c r="C139" s="54"/>
      <c r="D139" s="55" t="s">
        <v>119</v>
      </c>
      <c r="E139" s="39">
        <f>'FY21'!S128</f>
        <v>0</v>
      </c>
      <c r="F139" s="39"/>
      <c r="G139" s="39">
        <f>'FY22'!S128</f>
        <v>0</v>
      </c>
      <c r="H139" s="39"/>
      <c r="I139" s="39">
        <f>'FY23'!S128</f>
        <v>0</v>
      </c>
      <c r="J139" s="39"/>
      <c r="K139" s="39">
        <f>'FY24'!S128</f>
        <v>0</v>
      </c>
      <c r="L139" s="39"/>
      <c r="M139" s="39">
        <f>'FY25'!S128</f>
        <v>0</v>
      </c>
    </row>
    <row r="140" spans="1:16" s="37" customFormat="1" ht="12" x14ac:dyDescent="0.2">
      <c r="B140" s="85"/>
      <c r="C140" s="54"/>
      <c r="D140" s="55" t="s">
        <v>120</v>
      </c>
      <c r="E140" s="39">
        <f>'FY21'!S129</f>
        <v>0</v>
      </c>
      <c r="F140" s="39"/>
      <c r="G140" s="39">
        <f>'FY22'!S129</f>
        <v>0</v>
      </c>
      <c r="H140" s="39"/>
      <c r="I140" s="39">
        <f>'FY23'!S129</f>
        <v>0</v>
      </c>
      <c r="J140" s="39"/>
      <c r="K140" s="39">
        <f>'FY24'!S129</f>
        <v>0</v>
      </c>
      <c r="L140" s="39"/>
      <c r="M140" s="39">
        <f>'FY25'!S129</f>
        <v>0</v>
      </c>
    </row>
    <row r="141" spans="1:16" s="37" customFormat="1" ht="12" x14ac:dyDescent="0.2">
      <c r="A141" s="54"/>
      <c r="B141" s="85" t="s">
        <v>111</v>
      </c>
      <c r="C141" s="54"/>
      <c r="D141" s="55" t="s">
        <v>121</v>
      </c>
      <c r="E141" s="39">
        <f>'FY21'!S130</f>
        <v>0</v>
      </c>
      <c r="F141" s="39"/>
      <c r="G141" s="39">
        <f>'FY22'!S130</f>
        <v>0</v>
      </c>
      <c r="H141" s="39"/>
      <c r="I141" s="39">
        <f>'FY23'!S130</f>
        <v>0</v>
      </c>
      <c r="J141" s="39"/>
      <c r="K141" s="39">
        <f>'FY24'!S130</f>
        <v>0</v>
      </c>
      <c r="L141" s="39"/>
      <c r="M141" s="39">
        <f>'FY25'!S130</f>
        <v>0</v>
      </c>
    </row>
    <row r="142" spans="1:16" s="37" customFormat="1" ht="12" x14ac:dyDescent="0.2">
      <c r="A142" s="54"/>
      <c r="B142" s="85" t="s">
        <v>111</v>
      </c>
      <c r="C142" s="54" t="s">
        <v>122</v>
      </c>
      <c r="D142" s="55"/>
      <c r="E142" s="39"/>
      <c r="F142" s="39"/>
      <c r="G142" s="39"/>
      <c r="H142" s="39"/>
      <c r="I142" s="39"/>
      <c r="J142" s="39"/>
      <c r="K142" s="39"/>
      <c r="L142" s="39"/>
      <c r="M142" s="39"/>
    </row>
    <row r="143" spans="1:16" s="37" customFormat="1" ht="12" x14ac:dyDescent="0.2">
      <c r="A143" s="54"/>
      <c r="B143" s="85" t="s">
        <v>111</v>
      </c>
      <c r="C143" s="54"/>
      <c r="D143" s="55" t="s">
        <v>123</v>
      </c>
      <c r="E143" s="39">
        <f>'FY21'!S132</f>
        <v>0</v>
      </c>
      <c r="F143" s="39"/>
      <c r="G143" s="39">
        <f>'FY22'!S132</f>
        <v>0</v>
      </c>
      <c r="H143" s="39"/>
      <c r="I143" s="39">
        <f>'FY23'!S132</f>
        <v>0</v>
      </c>
      <c r="J143" s="39"/>
      <c r="K143" s="39">
        <f>'FY24'!S132</f>
        <v>0</v>
      </c>
      <c r="L143" s="39"/>
      <c r="M143" s="39">
        <f>'FY25'!S132</f>
        <v>0</v>
      </c>
    </row>
    <row r="144" spans="1:16" s="37" customFormat="1" ht="12" x14ac:dyDescent="0.2">
      <c r="A144" s="54"/>
      <c r="B144" s="85"/>
      <c r="C144" s="54"/>
      <c r="D144" s="54" t="s">
        <v>124</v>
      </c>
      <c r="E144" s="39">
        <f>'FY21'!S133</f>
        <v>0</v>
      </c>
      <c r="F144" s="39"/>
      <c r="G144" s="39">
        <f>'FY22'!S133</f>
        <v>0</v>
      </c>
      <c r="H144" s="39"/>
      <c r="I144" s="39">
        <f>'FY23'!S133</f>
        <v>0</v>
      </c>
      <c r="J144" s="39"/>
      <c r="K144" s="39">
        <f>'FY24'!S133</f>
        <v>0</v>
      </c>
      <c r="L144" s="39"/>
      <c r="M144" s="39">
        <f>'FY25'!S133</f>
        <v>0</v>
      </c>
    </row>
    <row r="145" spans="1:13" s="37" customFormat="1" ht="12" x14ac:dyDescent="0.2">
      <c r="A145" s="54"/>
      <c r="B145" s="85"/>
      <c r="C145" s="54" t="s">
        <v>125</v>
      </c>
      <c r="D145" s="54"/>
      <c r="E145" s="39"/>
      <c r="F145" s="39"/>
      <c r="G145" s="39"/>
      <c r="H145" s="39"/>
      <c r="I145" s="39"/>
      <c r="J145" s="39"/>
      <c r="K145" s="39"/>
      <c r="L145" s="39"/>
      <c r="M145" s="39"/>
    </row>
    <row r="146" spans="1:13" s="37" customFormat="1" ht="12" x14ac:dyDescent="0.2">
      <c r="A146" s="54"/>
      <c r="B146" s="85"/>
      <c r="C146" s="54"/>
      <c r="D146" s="54" t="s">
        <v>129</v>
      </c>
      <c r="E146" s="39">
        <f>'FY21'!S135</f>
        <v>0</v>
      </c>
      <c r="F146" s="39"/>
      <c r="G146" s="39">
        <f>'FY22'!S135</f>
        <v>0</v>
      </c>
      <c r="H146" s="39"/>
      <c r="I146" s="39">
        <f>'FY23'!S135</f>
        <v>0</v>
      </c>
      <c r="J146" s="39"/>
      <c r="K146" s="39">
        <f>'FY24'!S135</f>
        <v>0</v>
      </c>
      <c r="L146" s="39"/>
      <c r="M146" s="39">
        <f>'FY25'!S135</f>
        <v>0</v>
      </c>
    </row>
    <row r="147" spans="1:13" s="37" customFormat="1" ht="12" x14ac:dyDescent="0.2">
      <c r="A147" s="54"/>
      <c r="B147" s="85"/>
      <c r="C147" s="54"/>
      <c r="D147" s="54" t="s">
        <v>130</v>
      </c>
      <c r="E147" s="42">
        <f>'FY21'!S136</f>
        <v>0</v>
      </c>
      <c r="F147" s="39"/>
      <c r="G147" s="42">
        <f>'FY22'!S136</f>
        <v>0</v>
      </c>
      <c r="H147" s="39"/>
      <c r="I147" s="42">
        <f>'FY23'!S136</f>
        <v>0</v>
      </c>
      <c r="J147" s="39"/>
      <c r="K147" s="42">
        <f>'FY24'!S136</f>
        <v>0</v>
      </c>
      <c r="L147" s="39"/>
      <c r="M147" s="42">
        <f>'FY25'!S136</f>
        <v>0</v>
      </c>
    </row>
    <row r="148" spans="1:13" s="37" customFormat="1" ht="12" x14ac:dyDescent="0.2">
      <c r="A148" s="54"/>
      <c r="B148" s="85"/>
      <c r="C148" s="54"/>
      <c r="D148" s="54"/>
      <c r="E148" s="39"/>
      <c r="F148" s="39"/>
      <c r="G148" s="39"/>
      <c r="H148" s="39"/>
      <c r="I148" s="39"/>
      <c r="J148" s="39"/>
      <c r="K148" s="39"/>
      <c r="L148" s="39"/>
      <c r="M148" s="39"/>
    </row>
    <row r="149" spans="1:13" s="37" customFormat="1" ht="12" x14ac:dyDescent="0.2">
      <c r="A149" s="54"/>
      <c r="B149" s="54" t="s">
        <v>126</v>
      </c>
      <c r="C149" s="54"/>
      <c r="D149" s="54"/>
      <c r="E149" s="39">
        <f>SUM(E131:E147)</f>
        <v>15452.187537999998</v>
      </c>
      <c r="F149" s="39"/>
      <c r="G149" s="39">
        <f>SUM(G131:G147)</f>
        <v>-15535.168711240054</v>
      </c>
      <c r="H149" s="39"/>
      <c r="I149" s="39">
        <f>SUM(I131:I147)</f>
        <v>16356.147914535133</v>
      </c>
      <c r="J149" s="39"/>
      <c r="K149" s="39">
        <f>SUM(K131:K147)</f>
        <v>24374.86937282572</v>
      </c>
      <c r="L149" s="39"/>
      <c r="M149" s="39">
        <f>SUM(M131:M147)</f>
        <v>31348.519735282403</v>
      </c>
    </row>
    <row r="150" spans="1:13" s="37" customFormat="1" ht="12" x14ac:dyDescent="0.2">
      <c r="A150" s="54"/>
      <c r="B150" s="54" t="s">
        <v>127</v>
      </c>
      <c r="C150" s="54"/>
      <c r="D150" s="54"/>
      <c r="E150" s="42">
        <f>'FY21'!E139</f>
        <v>0</v>
      </c>
      <c r="F150" s="39"/>
      <c r="G150" s="42">
        <f>E152</f>
        <v>15452.187537999998</v>
      </c>
      <c r="H150" s="39"/>
      <c r="I150" s="42">
        <f>G152</f>
        <v>-82.981173240055796</v>
      </c>
      <c r="J150" s="39"/>
      <c r="K150" s="42">
        <f>I152</f>
        <v>16273.166741295077</v>
      </c>
      <c r="L150" s="39"/>
      <c r="M150" s="42">
        <f>K152</f>
        <v>40648.036114120798</v>
      </c>
    </row>
    <row r="151" spans="1:13" s="37" customFormat="1" ht="12" x14ac:dyDescent="0.2">
      <c r="A151" s="54"/>
      <c r="B151" s="54"/>
      <c r="C151" s="54"/>
      <c r="D151" s="54"/>
      <c r="E151" s="39"/>
      <c r="F151" s="39"/>
      <c r="G151" s="39"/>
      <c r="H151" s="39"/>
      <c r="I151" s="39"/>
      <c r="J151" s="39"/>
      <c r="K151" s="39"/>
      <c r="L151" s="39"/>
      <c r="M151" s="39"/>
    </row>
    <row r="152" spans="1:13" s="37" customFormat="1" ht="12.75" thickBot="1" x14ac:dyDescent="0.25">
      <c r="A152" s="53"/>
      <c r="B152" s="53" t="s">
        <v>128</v>
      </c>
      <c r="C152" s="53"/>
      <c r="D152" s="53"/>
      <c r="E152" s="57">
        <f>SUM(E149:E151)</f>
        <v>15452.187537999998</v>
      </c>
      <c r="F152" s="39"/>
      <c r="G152" s="57">
        <f>SUM(G149:G151)</f>
        <v>-82.981173240055796</v>
      </c>
      <c r="H152" s="39"/>
      <c r="I152" s="57">
        <f>SUM(I149:I151)</f>
        <v>16273.166741295077</v>
      </c>
      <c r="J152" s="39"/>
      <c r="K152" s="57">
        <f>SUM(K149:K151)</f>
        <v>40648.036114120798</v>
      </c>
      <c r="L152" s="39"/>
      <c r="M152" s="57">
        <f>SUM(M149:M151)</f>
        <v>71996.555849403201</v>
      </c>
    </row>
    <row r="153" spans="1:13" s="37" customFormat="1" ht="12.75" thickTop="1" x14ac:dyDescent="0.2">
      <c r="B153" s="86"/>
      <c r="C153" s="38"/>
      <c r="E153" s="39"/>
      <c r="F153" s="39"/>
      <c r="G153" s="39"/>
      <c r="H153" s="39"/>
      <c r="I153" s="39"/>
      <c r="J153" s="39"/>
      <c r="K153" s="39"/>
      <c r="L153" s="39"/>
      <c r="M153" s="39"/>
    </row>
    <row r="154" spans="1:13" s="37" customFormat="1" ht="12" x14ac:dyDescent="0.2">
      <c r="B154" s="86"/>
      <c r="C154" s="38"/>
      <c r="E154" s="39"/>
      <c r="F154" s="39"/>
      <c r="G154" s="39"/>
      <c r="H154" s="39"/>
      <c r="I154" s="39"/>
      <c r="J154" s="39"/>
      <c r="K154" s="39"/>
      <c r="L154" s="39"/>
      <c r="M154" s="39"/>
    </row>
    <row r="155" spans="1:13" s="37" customFormat="1" ht="12" x14ac:dyDescent="0.2">
      <c r="B155" s="86"/>
      <c r="C155" s="38"/>
      <c r="D155" s="78" t="s">
        <v>140</v>
      </c>
      <c r="E155" s="77"/>
      <c r="F155" s="39"/>
      <c r="G155" s="77"/>
      <c r="H155" s="39"/>
      <c r="I155" s="77"/>
      <c r="J155" s="39"/>
      <c r="K155" s="77"/>
      <c r="L155" s="39"/>
      <c r="M155" s="77"/>
    </row>
    <row r="156" spans="1:13" s="37" customFormat="1" ht="12" x14ac:dyDescent="0.2">
      <c r="B156" s="86"/>
      <c r="C156" s="38"/>
      <c r="D156" s="76" t="s">
        <v>138</v>
      </c>
      <c r="E156" s="77">
        <f>ROUND(E123-'FY21'!$S$117,0)</f>
        <v>0</v>
      </c>
      <c r="F156" s="39"/>
      <c r="G156" s="77">
        <f>ROUND(G123-'FY22'!$S$117,0)</f>
        <v>0</v>
      </c>
      <c r="H156" s="39"/>
      <c r="I156" s="77">
        <f>ROUND(I123-'FY23'!$S$117,0)</f>
        <v>0</v>
      </c>
      <c r="J156" s="39"/>
      <c r="K156" s="77">
        <f>ROUND(K123-'FY24'!$S$117,0)</f>
        <v>0</v>
      </c>
      <c r="L156" s="39"/>
      <c r="M156" s="77">
        <f>ROUND(M123-'FY25'!$S$117,0)</f>
        <v>0</v>
      </c>
    </row>
    <row r="157" spans="1:13" s="37" customFormat="1" ht="12" x14ac:dyDescent="0.2">
      <c r="B157" s="86"/>
      <c r="C157" s="38"/>
      <c r="D157" s="76" t="s">
        <v>139</v>
      </c>
      <c r="E157" s="77">
        <f>ROUND(E152-'FY21'!$P$141,0)</f>
        <v>0</v>
      </c>
      <c r="F157" s="39"/>
      <c r="G157" s="77">
        <f>ROUND(G152-'FY22'!$P$141,0)</f>
        <v>0</v>
      </c>
      <c r="H157" s="39"/>
      <c r="I157" s="77">
        <f>ROUND(I152-'FY23'!$P$141,0)</f>
        <v>0</v>
      </c>
      <c r="J157" s="39"/>
      <c r="K157" s="77">
        <f>ROUND(K152-'FY24'!$P$141,0)</f>
        <v>0</v>
      </c>
      <c r="L157" s="39"/>
      <c r="M157" s="77">
        <f>ROUND(M152-'FY25'!$P$141,0)</f>
        <v>0</v>
      </c>
    </row>
    <row r="158" spans="1:13" s="37" customFormat="1" ht="12" x14ac:dyDescent="0.2">
      <c r="B158" s="86"/>
      <c r="C158" s="38"/>
      <c r="D158" s="76" t="s">
        <v>243</v>
      </c>
      <c r="E158" s="77">
        <f>E47-Payroll!K68</f>
        <v>0</v>
      </c>
      <c r="F158" s="39"/>
      <c r="G158" s="77">
        <f>G47-Payroll!Y68</f>
        <v>-66899.25</v>
      </c>
      <c r="H158" s="39"/>
      <c r="I158" s="77">
        <f>I47-Payroll!AA68</f>
        <v>-68237.234999999986</v>
      </c>
      <c r="J158" s="39"/>
      <c r="K158" s="77">
        <f>K47-Payroll!AC68</f>
        <v>-69601.979699999996</v>
      </c>
      <c r="L158" s="39"/>
      <c r="M158" s="77">
        <f>M47-Payroll!AE68</f>
        <v>-70994.019294000027</v>
      </c>
    </row>
    <row r="159" spans="1:13" s="37" customFormat="1" ht="12" x14ac:dyDescent="0.2">
      <c r="B159" s="86"/>
      <c r="C159" s="38"/>
      <c r="D159" s="76" t="s">
        <v>244</v>
      </c>
      <c r="E159" s="77">
        <f>E68-Payroll!K116</f>
        <v>1326</v>
      </c>
      <c r="F159" s="39"/>
      <c r="G159" s="77">
        <f>G68-Payroll!Y116</f>
        <v>-20309.322374999982</v>
      </c>
      <c r="H159" s="39"/>
      <c r="I159" s="77">
        <f>I68-Payroll!AA116</f>
        <v>-21514.708822499982</v>
      </c>
      <c r="J159" s="39"/>
      <c r="K159" s="77">
        <f>K68-Payroll!AC116</f>
        <v>-22829.738998949986</v>
      </c>
      <c r="L159" s="39"/>
      <c r="M159" s="77">
        <f>M68-Payroll!AE116</f>
        <v>-24265.159378928991</v>
      </c>
    </row>
    <row r="160" spans="1:13" s="37" customFormat="1" ht="12" x14ac:dyDescent="0.2">
      <c r="B160" s="86"/>
      <c r="C160" s="38"/>
      <c r="E160" s="39"/>
      <c r="F160" s="39"/>
      <c r="G160" s="39"/>
      <c r="H160" s="39"/>
      <c r="I160" s="39"/>
      <c r="J160" s="39"/>
      <c r="K160" s="39"/>
      <c r="L160" s="39"/>
      <c r="M160" s="39"/>
    </row>
    <row r="161" spans="2:13" s="37" customFormat="1" ht="12" x14ac:dyDescent="0.2">
      <c r="B161" s="86"/>
      <c r="C161" s="38"/>
      <c r="E161" s="39"/>
      <c r="F161" s="39"/>
      <c r="G161" s="39"/>
      <c r="H161" s="39"/>
      <c r="I161" s="39"/>
      <c r="J161" s="39"/>
      <c r="K161" s="39"/>
      <c r="L161" s="39"/>
      <c r="M161" s="39"/>
    </row>
    <row r="162" spans="2:13" s="37" customFormat="1" ht="12" x14ac:dyDescent="0.2">
      <c r="B162" s="86"/>
      <c r="C162" s="38"/>
      <c r="E162" s="39"/>
      <c r="F162" s="39"/>
      <c r="G162" s="39"/>
      <c r="H162" s="39"/>
      <c r="I162" s="39"/>
      <c r="J162" s="39"/>
      <c r="K162" s="39"/>
      <c r="L162" s="39"/>
      <c r="M162" s="39"/>
    </row>
    <row r="163" spans="2:13" s="37" customFormat="1" ht="12" x14ac:dyDescent="0.2">
      <c r="B163" s="86"/>
      <c r="C163" s="38"/>
      <c r="E163" s="39"/>
      <c r="F163" s="39"/>
      <c r="G163" s="39"/>
      <c r="H163" s="39"/>
      <c r="I163" s="39"/>
      <c r="J163" s="39"/>
      <c r="K163" s="39"/>
      <c r="L163" s="39"/>
      <c r="M163" s="39"/>
    </row>
    <row r="164" spans="2:13" s="37" customFormat="1" ht="12" x14ac:dyDescent="0.2">
      <c r="B164" s="86"/>
      <c r="C164" s="38"/>
      <c r="E164" s="39"/>
      <c r="F164" s="39"/>
      <c r="G164" s="39"/>
      <c r="H164" s="39"/>
      <c r="I164" s="39"/>
      <c r="J164" s="39"/>
      <c r="K164" s="39"/>
      <c r="L164" s="39"/>
      <c r="M164" s="39"/>
    </row>
    <row r="165" spans="2:13" s="37" customFormat="1" ht="12" x14ac:dyDescent="0.2">
      <c r="B165" s="86"/>
      <c r="C165" s="38"/>
      <c r="E165" s="39"/>
      <c r="F165" s="39"/>
      <c r="G165" s="39"/>
      <c r="H165" s="39"/>
      <c r="I165" s="39"/>
      <c r="J165" s="39"/>
      <c r="K165" s="39"/>
      <c r="L165" s="39"/>
      <c r="M165" s="39"/>
    </row>
    <row r="166" spans="2:13" s="37" customFormat="1" ht="12" x14ac:dyDescent="0.2">
      <c r="B166" s="86"/>
      <c r="C166" s="38"/>
      <c r="E166" s="39"/>
      <c r="F166" s="39"/>
      <c r="G166" s="39"/>
      <c r="H166" s="39"/>
      <c r="I166" s="39"/>
      <c r="J166" s="39"/>
      <c r="K166" s="39"/>
      <c r="L166" s="39"/>
      <c r="M166" s="39"/>
    </row>
    <row r="167" spans="2:13" s="37" customFormat="1" ht="12" x14ac:dyDescent="0.2">
      <c r="B167" s="86"/>
      <c r="C167" s="38"/>
      <c r="E167" s="39"/>
      <c r="F167" s="39"/>
      <c r="G167" s="39"/>
      <c r="H167" s="39"/>
      <c r="I167" s="39"/>
      <c r="J167" s="39"/>
      <c r="K167" s="39"/>
      <c r="L167" s="39"/>
      <c r="M167" s="39"/>
    </row>
    <row r="168" spans="2:13" s="37" customFormat="1" ht="12" x14ac:dyDescent="0.2">
      <c r="B168" s="86"/>
      <c r="C168" s="38"/>
      <c r="E168" s="39"/>
      <c r="F168" s="39"/>
      <c r="G168" s="39"/>
      <c r="H168" s="39"/>
      <c r="I168" s="39"/>
      <c r="J168" s="39"/>
      <c r="K168" s="39"/>
      <c r="L168" s="39"/>
      <c r="M168" s="39"/>
    </row>
    <row r="169" spans="2:13" s="37" customFormat="1" ht="12" x14ac:dyDescent="0.2">
      <c r="B169" s="86"/>
      <c r="C169" s="38"/>
      <c r="E169" s="39"/>
      <c r="F169" s="39"/>
      <c r="G169" s="39"/>
      <c r="H169" s="39"/>
      <c r="I169" s="39"/>
      <c r="J169" s="39"/>
      <c r="K169" s="39"/>
      <c r="L169" s="39"/>
      <c r="M169" s="39"/>
    </row>
    <row r="170" spans="2:13" s="37" customFormat="1" ht="12" x14ac:dyDescent="0.2">
      <c r="B170" s="86"/>
      <c r="C170" s="38"/>
      <c r="E170" s="39"/>
      <c r="F170" s="39"/>
      <c r="G170" s="39"/>
      <c r="H170" s="39"/>
      <c r="I170" s="39"/>
      <c r="J170" s="39"/>
      <c r="K170" s="39"/>
      <c r="L170" s="39"/>
      <c r="M170" s="39"/>
    </row>
    <row r="171" spans="2:13" s="37" customFormat="1" ht="12" x14ac:dyDescent="0.2">
      <c r="B171" s="86"/>
      <c r="C171" s="38"/>
      <c r="E171" s="39"/>
      <c r="F171" s="39"/>
      <c r="G171" s="39"/>
      <c r="H171" s="39"/>
      <c r="I171" s="39"/>
      <c r="J171" s="39"/>
      <c r="K171" s="39"/>
      <c r="L171" s="39"/>
      <c r="M171" s="39"/>
    </row>
    <row r="172" spans="2:13" s="37" customFormat="1" ht="12" x14ac:dyDescent="0.2">
      <c r="B172" s="86"/>
      <c r="C172" s="38"/>
      <c r="E172" s="39"/>
      <c r="F172" s="39"/>
      <c r="G172" s="39"/>
      <c r="H172" s="39"/>
      <c r="I172" s="39"/>
      <c r="J172" s="39"/>
      <c r="K172" s="39"/>
      <c r="L172" s="39"/>
      <c r="M172" s="39"/>
    </row>
    <row r="173" spans="2:13" s="37" customFormat="1" ht="12" x14ac:dyDescent="0.2">
      <c r="B173" s="86"/>
      <c r="C173" s="38"/>
      <c r="E173" s="39"/>
      <c r="F173" s="39"/>
      <c r="G173" s="39"/>
      <c r="H173" s="39"/>
      <c r="I173" s="39"/>
      <c r="J173" s="39"/>
      <c r="K173" s="39"/>
      <c r="L173" s="39"/>
      <c r="M173" s="39"/>
    </row>
    <row r="174" spans="2:13" s="37" customFormat="1" ht="12" x14ac:dyDescent="0.2">
      <c r="B174" s="86"/>
      <c r="C174" s="38"/>
      <c r="E174" s="39"/>
      <c r="F174" s="39"/>
      <c r="G174" s="39"/>
      <c r="H174" s="39"/>
      <c r="I174" s="39"/>
      <c r="J174" s="39"/>
      <c r="K174" s="39"/>
      <c r="L174" s="39"/>
      <c r="M174" s="39"/>
    </row>
    <row r="175" spans="2:13" s="37" customFormat="1" ht="12" x14ac:dyDescent="0.2">
      <c r="B175" s="86"/>
      <c r="C175" s="38"/>
      <c r="E175" s="39"/>
      <c r="F175" s="39"/>
      <c r="G175" s="39"/>
      <c r="H175" s="39"/>
      <c r="I175" s="39"/>
      <c r="J175" s="39"/>
      <c r="K175" s="39"/>
      <c r="L175" s="39"/>
      <c r="M175" s="39"/>
    </row>
    <row r="176" spans="2:13" s="37" customFormat="1" ht="12" x14ac:dyDescent="0.2">
      <c r="B176" s="86"/>
      <c r="C176" s="38"/>
      <c r="E176" s="39"/>
      <c r="F176" s="39"/>
      <c r="G176" s="39"/>
      <c r="H176" s="39"/>
      <c r="I176" s="39"/>
      <c r="J176" s="39"/>
      <c r="K176" s="39"/>
      <c r="L176" s="39"/>
      <c r="M176" s="39"/>
    </row>
    <row r="177" spans="2:13" s="37" customFormat="1" ht="12" x14ac:dyDescent="0.2">
      <c r="B177" s="86"/>
      <c r="C177" s="38"/>
      <c r="E177" s="39"/>
      <c r="F177" s="39"/>
      <c r="G177" s="39"/>
      <c r="H177" s="39"/>
      <c r="I177" s="39"/>
      <c r="J177" s="39"/>
      <c r="K177" s="39"/>
      <c r="L177" s="39"/>
      <c r="M177" s="39"/>
    </row>
    <row r="178" spans="2:13" s="37" customFormat="1" ht="12" x14ac:dyDescent="0.2">
      <c r="B178" s="86"/>
      <c r="C178" s="38"/>
      <c r="E178" s="39"/>
      <c r="F178" s="39"/>
      <c r="G178" s="39"/>
      <c r="H178" s="39"/>
      <c r="I178" s="39"/>
      <c r="J178" s="39"/>
      <c r="K178" s="39"/>
      <c r="L178" s="39"/>
      <c r="M178" s="39"/>
    </row>
    <row r="179" spans="2:13" s="37" customFormat="1" ht="12" x14ac:dyDescent="0.2">
      <c r="B179" s="86"/>
      <c r="C179" s="38"/>
      <c r="E179" s="39"/>
      <c r="F179" s="39"/>
      <c r="G179" s="39"/>
      <c r="H179" s="39"/>
      <c r="I179" s="39"/>
      <c r="J179" s="39"/>
      <c r="K179" s="39"/>
      <c r="L179" s="39"/>
      <c r="M179" s="39"/>
    </row>
    <row r="180" spans="2:13" s="37" customFormat="1" ht="12" x14ac:dyDescent="0.2">
      <c r="B180" s="86"/>
      <c r="C180" s="38"/>
      <c r="E180" s="39"/>
      <c r="F180" s="39"/>
      <c r="G180" s="39"/>
      <c r="H180" s="39"/>
      <c r="I180" s="39"/>
      <c r="J180" s="39"/>
      <c r="K180" s="39"/>
      <c r="L180" s="39"/>
      <c r="M180" s="39"/>
    </row>
    <row r="181" spans="2:13" s="37" customFormat="1" ht="12" x14ac:dyDescent="0.2">
      <c r="B181" s="86"/>
      <c r="C181" s="38"/>
      <c r="E181" s="39"/>
      <c r="F181" s="39"/>
      <c r="G181" s="39"/>
      <c r="H181" s="39"/>
      <c r="I181" s="39"/>
      <c r="J181" s="39"/>
      <c r="K181" s="39"/>
      <c r="L181" s="39"/>
      <c r="M181" s="39"/>
    </row>
    <row r="182" spans="2:13" s="37" customFormat="1" ht="12" x14ac:dyDescent="0.2">
      <c r="B182" s="86"/>
      <c r="C182" s="38"/>
      <c r="E182" s="39"/>
      <c r="F182" s="39"/>
      <c r="G182" s="39"/>
      <c r="H182" s="39"/>
      <c r="I182" s="39"/>
      <c r="J182" s="39"/>
      <c r="K182" s="39"/>
      <c r="L182" s="39"/>
      <c r="M182" s="39"/>
    </row>
    <row r="183" spans="2:13" s="37" customFormat="1" ht="12" x14ac:dyDescent="0.2">
      <c r="B183" s="86"/>
      <c r="C183" s="38"/>
      <c r="E183" s="39"/>
      <c r="F183" s="39"/>
      <c r="G183" s="39"/>
      <c r="H183" s="39"/>
      <c r="I183" s="39"/>
      <c r="J183" s="39"/>
      <c r="K183" s="39"/>
      <c r="L183" s="39"/>
      <c r="M183" s="39"/>
    </row>
    <row r="184" spans="2:13" s="37" customFormat="1" ht="12" x14ac:dyDescent="0.2">
      <c r="B184" s="86"/>
      <c r="C184" s="38"/>
      <c r="E184" s="39"/>
      <c r="F184" s="39"/>
      <c r="G184" s="39"/>
      <c r="H184" s="39"/>
      <c r="I184" s="39"/>
      <c r="J184" s="39"/>
      <c r="K184" s="39"/>
      <c r="L184" s="39"/>
      <c r="M184" s="39"/>
    </row>
    <row r="185" spans="2:13" s="37" customFormat="1" ht="12" x14ac:dyDescent="0.2">
      <c r="B185" s="86"/>
      <c r="C185" s="38"/>
      <c r="E185" s="39"/>
      <c r="F185" s="39"/>
      <c r="G185" s="39"/>
      <c r="H185" s="39"/>
      <c r="I185" s="39"/>
      <c r="J185" s="39"/>
      <c r="K185" s="39"/>
      <c r="L185" s="39"/>
      <c r="M185" s="39"/>
    </row>
    <row r="186" spans="2:13" s="37" customFormat="1" ht="12" x14ac:dyDescent="0.2">
      <c r="B186" s="86"/>
      <c r="C186" s="38"/>
      <c r="E186" s="39"/>
      <c r="F186" s="39"/>
      <c r="G186" s="39"/>
      <c r="H186" s="39"/>
      <c r="I186" s="39"/>
      <c r="J186" s="39"/>
      <c r="K186" s="39"/>
      <c r="L186" s="39"/>
      <c r="M186" s="39"/>
    </row>
    <row r="187" spans="2:13" s="37" customFormat="1" ht="12" x14ac:dyDescent="0.2">
      <c r="B187" s="86"/>
      <c r="C187" s="38"/>
      <c r="E187" s="39"/>
      <c r="F187" s="39"/>
      <c r="G187" s="39"/>
      <c r="H187" s="39"/>
      <c r="I187" s="39"/>
      <c r="J187" s="39"/>
      <c r="K187" s="39"/>
      <c r="L187" s="39"/>
      <c r="M187" s="39"/>
    </row>
    <row r="188" spans="2:13" s="37" customFormat="1" ht="12" x14ac:dyDescent="0.2">
      <c r="B188" s="86"/>
      <c r="C188" s="38"/>
      <c r="E188" s="39"/>
      <c r="F188" s="39"/>
      <c r="G188" s="39"/>
      <c r="H188" s="39"/>
      <c r="I188" s="39"/>
      <c r="J188" s="39"/>
      <c r="K188" s="39"/>
      <c r="L188" s="39"/>
      <c r="M188" s="39"/>
    </row>
    <row r="189" spans="2:13" s="37" customFormat="1" ht="12" x14ac:dyDescent="0.2">
      <c r="B189" s="86"/>
      <c r="C189" s="38"/>
      <c r="E189" s="39"/>
      <c r="F189" s="39"/>
      <c r="G189" s="39"/>
      <c r="H189" s="39"/>
      <c r="I189" s="39"/>
      <c r="J189" s="39"/>
      <c r="K189" s="39"/>
      <c r="L189" s="39"/>
      <c r="M189" s="39"/>
    </row>
    <row r="190" spans="2:13" s="37" customFormat="1" ht="12" x14ac:dyDescent="0.2">
      <c r="B190" s="86"/>
      <c r="C190" s="38"/>
      <c r="E190" s="39"/>
      <c r="F190" s="39"/>
      <c r="G190" s="39"/>
      <c r="H190" s="39"/>
      <c r="I190" s="39"/>
      <c r="J190" s="39"/>
      <c r="K190" s="39"/>
      <c r="L190" s="39"/>
      <c r="M190" s="39"/>
    </row>
    <row r="191" spans="2:13" s="37" customFormat="1" ht="12" x14ac:dyDescent="0.2">
      <c r="B191" s="86"/>
      <c r="C191" s="38"/>
      <c r="E191" s="39"/>
      <c r="F191" s="39"/>
      <c r="G191" s="39"/>
      <c r="H191" s="39"/>
      <c r="I191" s="39"/>
      <c r="J191" s="39"/>
      <c r="K191" s="39"/>
      <c r="L191" s="39"/>
      <c r="M191" s="39"/>
    </row>
    <row r="192" spans="2:13" s="37" customFormat="1" ht="12" x14ac:dyDescent="0.2">
      <c r="B192" s="86"/>
      <c r="C192" s="38"/>
      <c r="E192" s="39"/>
      <c r="F192" s="39"/>
      <c r="G192" s="39"/>
      <c r="H192" s="39"/>
      <c r="I192" s="39"/>
      <c r="J192" s="39"/>
      <c r="K192" s="39"/>
      <c r="L192" s="39"/>
      <c r="M192" s="39"/>
    </row>
    <row r="193" spans="2:13" s="37" customFormat="1" ht="12" x14ac:dyDescent="0.2">
      <c r="B193" s="86"/>
      <c r="C193" s="38"/>
      <c r="E193" s="39"/>
      <c r="F193" s="39"/>
      <c r="G193" s="39"/>
      <c r="H193" s="39"/>
      <c r="I193" s="39"/>
      <c r="J193" s="39"/>
      <c r="K193" s="39"/>
      <c r="L193" s="39"/>
      <c r="M193" s="39"/>
    </row>
    <row r="194" spans="2:13" s="37" customFormat="1" ht="12" x14ac:dyDescent="0.2">
      <c r="B194" s="86"/>
      <c r="C194" s="38"/>
      <c r="E194" s="39"/>
      <c r="F194" s="39"/>
      <c r="G194" s="39"/>
      <c r="H194" s="39"/>
      <c r="I194" s="39"/>
      <c r="J194" s="39"/>
      <c r="K194" s="39"/>
      <c r="L194" s="39"/>
      <c r="M194" s="39"/>
    </row>
    <row r="195" spans="2:13" s="37" customFormat="1" ht="12" x14ac:dyDescent="0.2">
      <c r="B195" s="86"/>
      <c r="C195" s="38"/>
      <c r="E195" s="39"/>
      <c r="F195" s="39"/>
      <c r="G195" s="39"/>
      <c r="H195" s="39"/>
      <c r="I195" s="39"/>
      <c r="J195" s="39"/>
      <c r="K195" s="39"/>
      <c r="L195" s="39"/>
      <c r="M195" s="39"/>
    </row>
    <row r="196" spans="2:13" s="37" customFormat="1" ht="12" x14ac:dyDescent="0.2">
      <c r="B196" s="86"/>
      <c r="C196" s="38"/>
      <c r="E196" s="39"/>
      <c r="F196" s="39"/>
      <c r="G196" s="39"/>
      <c r="H196" s="39"/>
      <c r="I196" s="39"/>
      <c r="J196" s="39"/>
      <c r="K196" s="39"/>
      <c r="L196" s="39"/>
      <c r="M196" s="39"/>
    </row>
    <row r="197" spans="2:13" s="37" customFormat="1" ht="12" x14ac:dyDescent="0.2">
      <c r="B197" s="86"/>
      <c r="C197" s="38"/>
      <c r="E197" s="39"/>
      <c r="F197" s="39"/>
      <c r="G197" s="39"/>
      <c r="H197" s="39"/>
      <c r="I197" s="39"/>
      <c r="J197" s="39"/>
      <c r="K197" s="39"/>
      <c r="L197" s="39"/>
      <c r="M197" s="39"/>
    </row>
    <row r="198" spans="2:13" s="37" customFormat="1" ht="12" x14ac:dyDescent="0.2">
      <c r="B198" s="86"/>
      <c r="C198" s="38"/>
      <c r="E198" s="39"/>
      <c r="F198" s="39"/>
      <c r="G198" s="39"/>
      <c r="H198" s="39"/>
      <c r="I198" s="39"/>
      <c r="J198" s="39"/>
      <c r="K198" s="39"/>
      <c r="L198" s="39"/>
      <c r="M198" s="39"/>
    </row>
    <row r="199" spans="2:13" s="37" customFormat="1" ht="12" x14ac:dyDescent="0.2">
      <c r="B199" s="86"/>
      <c r="C199" s="38"/>
      <c r="E199" s="39"/>
      <c r="F199" s="39"/>
      <c r="G199" s="39"/>
      <c r="H199" s="39"/>
      <c r="I199" s="39"/>
      <c r="J199" s="39"/>
      <c r="K199" s="39"/>
      <c r="L199" s="39"/>
      <c r="M199" s="39"/>
    </row>
    <row r="200" spans="2:13" s="37" customFormat="1" ht="12" x14ac:dyDescent="0.2">
      <c r="B200" s="86"/>
      <c r="C200" s="38"/>
      <c r="E200" s="39"/>
      <c r="F200" s="39"/>
      <c r="G200" s="39"/>
      <c r="H200" s="39"/>
      <c r="I200" s="39"/>
      <c r="J200" s="39"/>
      <c r="K200" s="39"/>
      <c r="L200" s="39"/>
      <c r="M200" s="39"/>
    </row>
    <row r="201" spans="2:13" s="37" customFormat="1" ht="12" x14ac:dyDescent="0.2">
      <c r="B201" s="86"/>
      <c r="C201" s="38"/>
      <c r="E201" s="39"/>
      <c r="F201" s="39"/>
      <c r="G201" s="39"/>
      <c r="H201" s="39"/>
      <c r="I201" s="39"/>
      <c r="J201" s="39"/>
      <c r="K201" s="39"/>
      <c r="L201" s="39"/>
      <c r="M201" s="39"/>
    </row>
    <row r="202" spans="2:13" s="37" customFormat="1" ht="12" x14ac:dyDescent="0.2">
      <c r="B202" s="86"/>
      <c r="C202" s="38"/>
      <c r="E202" s="39"/>
      <c r="F202" s="39"/>
      <c r="G202" s="39"/>
      <c r="H202" s="39"/>
      <c r="I202" s="39"/>
      <c r="J202" s="39"/>
      <c r="K202" s="39"/>
      <c r="L202" s="39"/>
      <c r="M202" s="39"/>
    </row>
    <row r="203" spans="2:13" s="37" customFormat="1" ht="12" x14ac:dyDescent="0.2">
      <c r="B203" s="86"/>
      <c r="C203" s="38"/>
      <c r="E203" s="39"/>
      <c r="F203" s="39"/>
      <c r="G203" s="39"/>
      <c r="H203" s="39"/>
      <c r="I203" s="39"/>
      <c r="J203" s="39"/>
      <c r="K203" s="39"/>
      <c r="L203" s="39"/>
      <c r="M203" s="39"/>
    </row>
    <row r="204" spans="2:13" s="37" customFormat="1" ht="12" x14ac:dyDescent="0.2">
      <c r="B204" s="86"/>
      <c r="C204" s="38"/>
      <c r="E204" s="39"/>
      <c r="F204" s="39"/>
      <c r="G204" s="39"/>
      <c r="H204" s="39"/>
      <c r="I204" s="39"/>
      <c r="J204" s="39"/>
      <c r="K204" s="39"/>
      <c r="L204" s="39"/>
      <c r="M204" s="39"/>
    </row>
    <row r="205" spans="2:13" s="37" customFormat="1" ht="12" x14ac:dyDescent="0.2">
      <c r="B205" s="86"/>
      <c r="C205" s="38"/>
      <c r="E205" s="39"/>
      <c r="F205" s="39"/>
      <c r="G205" s="39"/>
      <c r="H205" s="39"/>
      <c r="I205" s="39"/>
      <c r="J205" s="39"/>
      <c r="K205" s="39"/>
      <c r="L205" s="39"/>
      <c r="M205" s="39"/>
    </row>
    <row r="206" spans="2:13" s="37" customFormat="1" ht="12" x14ac:dyDescent="0.2">
      <c r="B206" s="86"/>
      <c r="C206" s="38"/>
      <c r="E206" s="39"/>
      <c r="F206" s="39"/>
      <c r="G206" s="39"/>
      <c r="H206" s="39"/>
      <c r="I206" s="39"/>
      <c r="J206" s="39"/>
      <c r="K206" s="39"/>
      <c r="L206" s="39"/>
      <c r="M206" s="39"/>
    </row>
    <row r="207" spans="2:13" s="37" customFormat="1" ht="12" x14ac:dyDescent="0.2">
      <c r="B207" s="86"/>
      <c r="C207" s="38"/>
      <c r="E207" s="39"/>
      <c r="F207" s="39"/>
      <c r="G207" s="39"/>
      <c r="H207" s="39"/>
      <c r="I207" s="39"/>
      <c r="J207" s="39"/>
      <c r="K207" s="39"/>
      <c r="L207" s="39"/>
      <c r="M207" s="39"/>
    </row>
    <row r="208" spans="2:13" s="37" customFormat="1" ht="12" x14ac:dyDescent="0.2">
      <c r="B208" s="86"/>
      <c r="C208" s="38"/>
      <c r="E208" s="39"/>
      <c r="F208" s="39"/>
      <c r="G208" s="39"/>
      <c r="H208" s="39"/>
      <c r="I208" s="39"/>
      <c r="J208" s="39"/>
      <c r="K208" s="39"/>
      <c r="L208" s="39"/>
      <c r="M208" s="39"/>
    </row>
    <row r="209" spans="2:13" s="37" customFormat="1" ht="12" x14ac:dyDescent="0.2">
      <c r="B209" s="86"/>
      <c r="C209" s="38"/>
      <c r="E209" s="39"/>
      <c r="F209" s="39"/>
      <c r="G209" s="39"/>
      <c r="H209" s="39"/>
      <c r="I209" s="39"/>
      <c r="J209" s="39"/>
      <c r="K209" s="39"/>
      <c r="L209" s="39"/>
      <c r="M209" s="39"/>
    </row>
    <row r="210" spans="2:13" s="37" customFormat="1" ht="12" x14ac:dyDescent="0.2">
      <c r="B210" s="86"/>
      <c r="C210" s="38"/>
      <c r="E210" s="39"/>
      <c r="F210" s="39"/>
      <c r="G210" s="39"/>
      <c r="H210" s="39"/>
      <c r="I210" s="39"/>
      <c r="J210" s="39"/>
      <c r="K210" s="39"/>
      <c r="L210" s="39"/>
      <c r="M210" s="39"/>
    </row>
    <row r="211" spans="2:13" s="37" customFormat="1" ht="12" x14ac:dyDescent="0.2">
      <c r="B211" s="86"/>
      <c r="C211" s="38"/>
      <c r="E211" s="39"/>
      <c r="F211" s="39"/>
      <c r="G211" s="39"/>
      <c r="H211" s="39"/>
      <c r="I211" s="39"/>
      <c r="J211" s="39"/>
      <c r="K211" s="39"/>
      <c r="L211" s="39"/>
      <c r="M211" s="39"/>
    </row>
    <row r="212" spans="2:13" s="37" customFormat="1" ht="12" x14ac:dyDescent="0.2">
      <c r="B212" s="86"/>
      <c r="C212" s="38"/>
      <c r="E212" s="39"/>
      <c r="F212" s="39"/>
      <c r="G212" s="39"/>
      <c r="H212" s="39"/>
      <c r="I212" s="39"/>
      <c r="J212" s="39"/>
      <c r="K212" s="39"/>
      <c r="L212" s="39"/>
      <c r="M212" s="39"/>
    </row>
    <row r="213" spans="2:13" s="37" customFormat="1" ht="12" x14ac:dyDescent="0.2">
      <c r="B213" s="86"/>
      <c r="C213" s="38"/>
      <c r="E213" s="39"/>
      <c r="F213" s="39"/>
      <c r="G213" s="39"/>
      <c r="H213" s="39"/>
      <c r="I213" s="39"/>
      <c r="J213" s="39"/>
      <c r="K213" s="39"/>
      <c r="L213" s="39"/>
      <c r="M213" s="39"/>
    </row>
    <row r="214" spans="2:13" s="37" customFormat="1" ht="12" x14ac:dyDescent="0.2">
      <c r="B214" s="86"/>
      <c r="C214" s="38"/>
      <c r="E214" s="39"/>
      <c r="F214" s="39"/>
      <c r="G214" s="39"/>
      <c r="H214" s="39"/>
      <c r="I214" s="39"/>
      <c r="J214" s="39"/>
      <c r="K214" s="39"/>
      <c r="L214" s="39"/>
      <c r="M214" s="39"/>
    </row>
    <row r="215" spans="2:13" s="37" customFormat="1" ht="12" x14ac:dyDescent="0.2">
      <c r="B215" s="86"/>
      <c r="C215" s="38"/>
      <c r="E215" s="39"/>
      <c r="F215" s="39"/>
      <c r="G215" s="39"/>
      <c r="H215" s="39"/>
      <c r="I215" s="39"/>
      <c r="J215" s="39"/>
      <c r="K215" s="39"/>
      <c r="L215" s="39"/>
      <c r="M215" s="39"/>
    </row>
    <row r="216" spans="2:13" s="37" customFormat="1" ht="12" x14ac:dyDescent="0.2">
      <c r="B216" s="86"/>
      <c r="C216" s="38"/>
      <c r="E216" s="39"/>
      <c r="F216" s="39"/>
      <c r="G216" s="39"/>
      <c r="H216" s="39"/>
      <c r="I216" s="39"/>
      <c r="J216" s="39"/>
      <c r="K216" s="39"/>
      <c r="L216" s="39"/>
      <c r="M216" s="39"/>
    </row>
    <row r="217" spans="2:13" s="37" customFormat="1" ht="12" x14ac:dyDescent="0.2">
      <c r="B217" s="86"/>
      <c r="C217" s="38"/>
      <c r="E217" s="39"/>
      <c r="F217" s="39"/>
      <c r="G217" s="39"/>
      <c r="H217" s="39"/>
      <c r="I217" s="39"/>
      <c r="J217" s="39"/>
      <c r="K217" s="39"/>
      <c r="L217" s="39"/>
      <c r="M217" s="39"/>
    </row>
    <row r="218" spans="2:13" s="37" customFormat="1" ht="12" x14ac:dyDescent="0.2">
      <c r="B218" s="86"/>
      <c r="C218" s="38"/>
      <c r="E218" s="39"/>
      <c r="F218" s="39"/>
      <c r="G218" s="39"/>
      <c r="H218" s="39"/>
      <c r="I218" s="39"/>
      <c r="J218" s="39"/>
      <c r="K218" s="39"/>
      <c r="L218" s="39"/>
      <c r="M218" s="39"/>
    </row>
    <row r="219" spans="2:13" s="37" customFormat="1" ht="12" x14ac:dyDescent="0.2">
      <c r="B219" s="86"/>
      <c r="C219" s="38"/>
      <c r="E219" s="39"/>
      <c r="F219" s="39"/>
      <c r="G219" s="39"/>
      <c r="H219" s="39"/>
      <c r="I219" s="39"/>
      <c r="J219" s="39"/>
      <c r="K219" s="39"/>
      <c r="L219" s="39"/>
      <c r="M219" s="39"/>
    </row>
    <row r="220" spans="2:13" s="37" customFormat="1" ht="12" x14ac:dyDescent="0.2">
      <c r="B220" s="86"/>
      <c r="C220" s="38"/>
      <c r="E220" s="39"/>
      <c r="F220" s="39"/>
      <c r="G220" s="39"/>
      <c r="H220" s="39"/>
      <c r="I220" s="39"/>
      <c r="J220" s="39"/>
      <c r="K220" s="39"/>
      <c r="L220" s="39"/>
      <c r="M220" s="39"/>
    </row>
    <row r="221" spans="2:13" s="37" customFormat="1" ht="12" x14ac:dyDescent="0.2">
      <c r="B221" s="86"/>
      <c r="C221" s="38"/>
      <c r="E221" s="39"/>
      <c r="F221" s="39"/>
      <c r="G221" s="39"/>
      <c r="H221" s="39"/>
      <c r="I221" s="39"/>
      <c r="J221" s="39"/>
      <c r="K221" s="39"/>
      <c r="L221" s="39"/>
      <c r="M221" s="39"/>
    </row>
    <row r="222" spans="2:13" s="37" customFormat="1" ht="12" x14ac:dyDescent="0.2">
      <c r="B222" s="86"/>
      <c r="C222" s="38"/>
      <c r="E222" s="39"/>
      <c r="F222" s="39"/>
      <c r="G222" s="39"/>
      <c r="H222" s="39"/>
      <c r="I222" s="39"/>
      <c r="J222" s="39"/>
      <c r="K222" s="39"/>
      <c r="L222" s="39"/>
      <c r="M222" s="39"/>
    </row>
    <row r="223" spans="2:13" s="37" customFormat="1" ht="12" x14ac:dyDescent="0.2">
      <c r="B223" s="86"/>
      <c r="C223" s="38"/>
      <c r="E223" s="39"/>
      <c r="F223" s="39"/>
      <c r="G223" s="39"/>
      <c r="H223" s="39"/>
      <c r="I223" s="39"/>
      <c r="J223" s="39"/>
      <c r="K223" s="39"/>
      <c r="L223" s="39"/>
      <c r="M223" s="39"/>
    </row>
    <row r="224" spans="2:13" s="37" customFormat="1" ht="12" x14ac:dyDescent="0.2">
      <c r="B224" s="86"/>
      <c r="C224" s="38"/>
      <c r="E224" s="39"/>
      <c r="F224" s="39"/>
      <c r="G224" s="39"/>
      <c r="H224" s="39"/>
      <c r="I224" s="39"/>
      <c r="J224" s="39"/>
      <c r="K224" s="39"/>
      <c r="L224" s="39"/>
      <c r="M224" s="39"/>
    </row>
    <row r="225" spans="2:13" s="37" customFormat="1" ht="12" x14ac:dyDescent="0.2">
      <c r="B225" s="86"/>
      <c r="C225" s="38"/>
      <c r="E225" s="39"/>
      <c r="F225" s="39"/>
      <c r="G225" s="39"/>
      <c r="H225" s="39"/>
      <c r="I225" s="39"/>
      <c r="J225" s="39"/>
      <c r="K225" s="39"/>
      <c r="L225" s="39"/>
      <c r="M225" s="39"/>
    </row>
    <row r="226" spans="2:13" s="37" customFormat="1" ht="12" x14ac:dyDescent="0.2">
      <c r="B226" s="86"/>
      <c r="C226" s="38"/>
      <c r="E226" s="39"/>
      <c r="F226" s="39"/>
      <c r="G226" s="39"/>
      <c r="H226" s="39"/>
      <c r="I226" s="39"/>
      <c r="J226" s="39"/>
      <c r="K226" s="39"/>
      <c r="L226" s="39"/>
      <c r="M226" s="39"/>
    </row>
    <row r="227" spans="2:13" s="37" customFormat="1" ht="12" x14ac:dyDescent="0.2">
      <c r="B227" s="86"/>
      <c r="C227" s="38"/>
      <c r="E227" s="39"/>
      <c r="F227" s="39"/>
      <c r="G227" s="39"/>
      <c r="H227" s="39"/>
      <c r="I227" s="39"/>
      <c r="J227" s="39"/>
      <c r="K227" s="39"/>
      <c r="L227" s="39"/>
      <c r="M227" s="39"/>
    </row>
    <row r="228" spans="2:13" s="37" customFormat="1" ht="12" x14ac:dyDescent="0.2">
      <c r="B228" s="86"/>
      <c r="C228" s="38"/>
      <c r="E228" s="39"/>
      <c r="F228" s="39"/>
      <c r="G228" s="39"/>
      <c r="H228" s="39"/>
      <c r="I228" s="39"/>
      <c r="J228" s="39"/>
      <c r="K228" s="39"/>
      <c r="L228" s="39"/>
      <c r="M228" s="39"/>
    </row>
    <row r="229" spans="2:13" s="37" customFormat="1" ht="12" x14ac:dyDescent="0.2">
      <c r="B229" s="86"/>
      <c r="C229" s="38"/>
      <c r="E229" s="39"/>
      <c r="F229" s="39"/>
      <c r="G229" s="39"/>
      <c r="H229" s="39"/>
      <c r="I229" s="39"/>
      <c r="J229" s="39"/>
      <c r="K229" s="39"/>
      <c r="L229" s="39"/>
      <c r="M229" s="39"/>
    </row>
    <row r="230" spans="2:13" s="37" customFormat="1" ht="12" x14ac:dyDescent="0.2">
      <c r="B230" s="86"/>
      <c r="C230" s="38"/>
      <c r="E230" s="39"/>
      <c r="F230" s="39"/>
      <c r="G230" s="39"/>
      <c r="H230" s="39"/>
      <c r="I230" s="39"/>
      <c r="J230" s="39"/>
      <c r="K230" s="39"/>
      <c r="L230" s="39"/>
      <c r="M230" s="39"/>
    </row>
    <row r="231" spans="2:13" s="37" customFormat="1" ht="12" x14ac:dyDescent="0.2">
      <c r="B231" s="86"/>
      <c r="C231" s="38"/>
      <c r="E231" s="39"/>
      <c r="F231" s="39"/>
      <c r="G231" s="39"/>
      <c r="H231" s="39"/>
      <c r="I231" s="39"/>
      <c r="J231" s="39"/>
      <c r="K231" s="39"/>
      <c r="L231" s="39"/>
      <c r="M231" s="39"/>
    </row>
    <row r="232" spans="2:13" s="37" customFormat="1" ht="12" x14ac:dyDescent="0.2">
      <c r="B232" s="86"/>
      <c r="C232" s="38"/>
      <c r="E232" s="39"/>
      <c r="F232" s="39"/>
      <c r="G232" s="39"/>
      <c r="H232" s="39"/>
      <c r="I232" s="39"/>
      <c r="J232" s="39"/>
      <c r="K232" s="39"/>
      <c r="L232" s="39"/>
      <c r="M232" s="39"/>
    </row>
    <row r="233" spans="2:13" s="37" customFormat="1" ht="12" x14ac:dyDescent="0.2">
      <c r="B233" s="86"/>
      <c r="C233" s="38"/>
      <c r="E233" s="39"/>
      <c r="F233" s="39"/>
      <c r="G233" s="39"/>
      <c r="H233" s="39"/>
      <c r="I233" s="39"/>
      <c r="J233" s="39"/>
      <c r="K233" s="39"/>
      <c r="L233" s="39"/>
      <c r="M233" s="39"/>
    </row>
    <row r="234" spans="2:13" s="37" customFormat="1" ht="12" x14ac:dyDescent="0.2">
      <c r="B234" s="86"/>
      <c r="C234" s="38"/>
      <c r="E234" s="39"/>
      <c r="F234" s="39"/>
      <c r="G234" s="39"/>
      <c r="H234" s="39"/>
      <c r="I234" s="39"/>
      <c r="J234" s="39"/>
      <c r="K234" s="39"/>
      <c r="L234" s="39"/>
      <c r="M234" s="39"/>
    </row>
    <row r="235" spans="2:13" s="37" customFormat="1" ht="12" x14ac:dyDescent="0.2">
      <c r="B235" s="86"/>
      <c r="C235" s="38"/>
      <c r="E235" s="39"/>
      <c r="F235" s="39"/>
      <c r="G235" s="39"/>
      <c r="H235" s="39"/>
      <c r="I235" s="39"/>
      <c r="J235" s="39"/>
      <c r="K235" s="39"/>
      <c r="L235" s="39"/>
      <c r="M235" s="39"/>
    </row>
    <row r="236" spans="2:13" s="37" customFormat="1" ht="12" x14ac:dyDescent="0.2">
      <c r="B236" s="86"/>
      <c r="C236" s="38"/>
      <c r="E236" s="39"/>
      <c r="F236" s="39"/>
      <c r="G236" s="39"/>
      <c r="H236" s="39"/>
      <c r="I236" s="39"/>
      <c r="J236" s="39"/>
      <c r="K236" s="39"/>
      <c r="L236" s="39"/>
      <c r="M236" s="39"/>
    </row>
    <row r="237" spans="2:13" s="37" customFormat="1" ht="12" x14ac:dyDescent="0.2">
      <c r="B237" s="86"/>
      <c r="C237" s="38"/>
      <c r="E237" s="39"/>
      <c r="F237" s="39"/>
      <c r="G237" s="39"/>
      <c r="H237" s="39"/>
      <c r="I237" s="39"/>
      <c r="J237" s="39"/>
      <c r="K237" s="39"/>
      <c r="L237" s="39"/>
      <c r="M237" s="39"/>
    </row>
    <row r="238" spans="2:13" s="37" customFormat="1" ht="12" x14ac:dyDescent="0.2">
      <c r="B238" s="86"/>
      <c r="C238" s="38"/>
      <c r="E238" s="39"/>
      <c r="F238" s="39"/>
      <c r="G238" s="39"/>
      <c r="H238" s="39"/>
      <c r="I238" s="39"/>
      <c r="J238" s="39"/>
      <c r="K238" s="39"/>
      <c r="L238" s="39"/>
      <c r="M238" s="39"/>
    </row>
    <row r="239" spans="2:13" s="37" customFormat="1" ht="12" x14ac:dyDescent="0.2">
      <c r="B239" s="86"/>
      <c r="C239" s="38"/>
      <c r="E239" s="39"/>
      <c r="F239" s="39"/>
      <c r="G239" s="39"/>
      <c r="H239" s="39"/>
      <c r="I239" s="39"/>
      <c r="J239" s="39"/>
      <c r="K239" s="39"/>
      <c r="L239" s="39"/>
      <c r="M239" s="39"/>
    </row>
    <row r="240" spans="2:13" s="37" customFormat="1" ht="12" x14ac:dyDescent="0.2">
      <c r="B240" s="86"/>
      <c r="C240" s="38"/>
      <c r="E240" s="39"/>
      <c r="F240" s="39"/>
      <c r="G240" s="39"/>
      <c r="H240" s="39"/>
      <c r="I240" s="39"/>
      <c r="J240" s="39"/>
      <c r="K240" s="39"/>
      <c r="L240" s="39"/>
      <c r="M240" s="39"/>
    </row>
    <row r="241" spans="2:13" s="37" customFormat="1" ht="12" x14ac:dyDescent="0.2">
      <c r="B241" s="86"/>
      <c r="C241" s="38"/>
      <c r="E241" s="39"/>
      <c r="F241" s="39"/>
      <c r="G241" s="39"/>
      <c r="H241" s="39"/>
      <c r="I241" s="39"/>
      <c r="J241" s="39"/>
      <c r="K241" s="39"/>
      <c r="L241" s="39"/>
      <c r="M241" s="39"/>
    </row>
    <row r="242" spans="2:13" s="37" customFormat="1" ht="12" x14ac:dyDescent="0.2">
      <c r="B242" s="86"/>
      <c r="C242" s="38"/>
      <c r="E242" s="39"/>
      <c r="F242" s="39"/>
      <c r="G242" s="39"/>
      <c r="H242" s="39"/>
      <c r="I242" s="39"/>
      <c r="J242" s="39"/>
      <c r="K242" s="39"/>
      <c r="L242" s="39"/>
      <c r="M242" s="39"/>
    </row>
    <row r="243" spans="2:13" s="37" customFormat="1" ht="12" x14ac:dyDescent="0.2">
      <c r="B243" s="86"/>
      <c r="C243" s="38"/>
      <c r="E243" s="39"/>
      <c r="F243" s="39"/>
      <c r="G243" s="39"/>
      <c r="H243" s="39"/>
      <c r="I243" s="39"/>
      <c r="J243" s="39"/>
      <c r="K243" s="39"/>
      <c r="L243" s="39"/>
      <c r="M243" s="39"/>
    </row>
    <row r="244" spans="2:13" s="37" customFormat="1" ht="12" x14ac:dyDescent="0.2">
      <c r="B244" s="86"/>
      <c r="C244" s="38"/>
      <c r="E244" s="39"/>
      <c r="F244" s="39"/>
      <c r="G244" s="39"/>
      <c r="H244" s="39"/>
      <c r="I244" s="39"/>
      <c r="J244" s="39"/>
      <c r="K244" s="39"/>
      <c r="L244" s="39"/>
      <c r="M244" s="39"/>
    </row>
    <row r="245" spans="2:13" s="37" customFormat="1" ht="12" x14ac:dyDescent="0.2">
      <c r="B245" s="86"/>
      <c r="C245" s="38"/>
      <c r="E245" s="39"/>
      <c r="F245" s="39"/>
      <c r="G245" s="39"/>
      <c r="H245" s="39"/>
      <c r="I245" s="39"/>
      <c r="J245" s="39"/>
      <c r="K245" s="39"/>
      <c r="L245" s="39"/>
      <c r="M245" s="39"/>
    </row>
    <row r="246" spans="2:13" s="37" customFormat="1" ht="12" x14ac:dyDescent="0.2">
      <c r="B246" s="86"/>
      <c r="C246" s="38"/>
      <c r="E246" s="39"/>
      <c r="F246" s="39"/>
      <c r="G246" s="39"/>
      <c r="H246" s="39"/>
      <c r="I246" s="39"/>
      <c r="J246" s="39"/>
      <c r="K246" s="39"/>
      <c r="L246" s="39"/>
      <c r="M246" s="39"/>
    </row>
    <row r="247" spans="2:13" s="37" customFormat="1" ht="12" x14ac:dyDescent="0.2">
      <c r="B247" s="86"/>
      <c r="C247" s="38"/>
      <c r="E247" s="39"/>
      <c r="F247" s="39"/>
      <c r="G247" s="39"/>
      <c r="H247" s="39"/>
      <c r="I247" s="39"/>
      <c r="J247" s="39"/>
      <c r="K247" s="39"/>
      <c r="L247" s="39"/>
      <c r="M247" s="39"/>
    </row>
    <row r="248" spans="2:13" s="37" customFormat="1" ht="12" x14ac:dyDescent="0.2">
      <c r="B248" s="86"/>
      <c r="C248" s="38"/>
      <c r="E248" s="39"/>
      <c r="F248" s="39"/>
      <c r="G248" s="39"/>
      <c r="H248" s="39"/>
      <c r="I248" s="39"/>
      <c r="J248" s="39"/>
      <c r="K248" s="39"/>
      <c r="L248" s="39"/>
      <c r="M248" s="39"/>
    </row>
    <row r="249" spans="2:13" s="37" customFormat="1" ht="12" x14ac:dyDescent="0.2">
      <c r="B249" s="86"/>
      <c r="C249" s="38"/>
      <c r="E249" s="39"/>
      <c r="F249" s="39"/>
      <c r="G249" s="39"/>
      <c r="H249" s="39"/>
      <c r="I249" s="39"/>
      <c r="J249" s="39"/>
      <c r="K249" s="39"/>
      <c r="L249" s="39"/>
      <c r="M249" s="39"/>
    </row>
    <row r="250" spans="2:13" s="37" customFormat="1" ht="12" x14ac:dyDescent="0.2">
      <c r="B250" s="86"/>
      <c r="C250" s="38"/>
      <c r="E250" s="39"/>
      <c r="F250" s="39"/>
      <c r="G250" s="39"/>
      <c r="H250" s="39"/>
      <c r="I250" s="39"/>
      <c r="J250" s="39"/>
      <c r="K250" s="39"/>
      <c r="L250" s="39"/>
      <c r="M250" s="39"/>
    </row>
    <row r="251" spans="2:13" s="37" customFormat="1" ht="12" x14ac:dyDescent="0.2">
      <c r="B251" s="86"/>
      <c r="C251" s="38"/>
      <c r="E251" s="39"/>
      <c r="F251" s="39"/>
      <c r="G251" s="39"/>
      <c r="H251" s="39"/>
      <c r="I251" s="39"/>
      <c r="J251" s="39"/>
      <c r="K251" s="39"/>
      <c r="L251" s="39"/>
      <c r="M251" s="39"/>
    </row>
    <row r="252" spans="2:13" s="37" customFormat="1" ht="12" x14ac:dyDescent="0.2">
      <c r="B252" s="86"/>
      <c r="C252" s="38"/>
      <c r="E252" s="39"/>
      <c r="F252" s="39"/>
      <c r="G252" s="39"/>
      <c r="H252" s="39"/>
      <c r="I252" s="39"/>
      <c r="J252" s="39"/>
      <c r="K252" s="39"/>
      <c r="L252" s="39"/>
      <c r="M252" s="39"/>
    </row>
    <row r="253" spans="2:13" s="37" customFormat="1" ht="12" x14ac:dyDescent="0.2">
      <c r="B253" s="86"/>
      <c r="C253" s="38"/>
      <c r="E253" s="39"/>
      <c r="F253" s="39"/>
      <c r="G253" s="39"/>
      <c r="H253" s="39"/>
      <c r="I253" s="39"/>
      <c r="J253" s="39"/>
      <c r="K253" s="39"/>
      <c r="L253" s="39"/>
      <c r="M253" s="39"/>
    </row>
    <row r="254" spans="2:13" s="37" customFormat="1" ht="12" x14ac:dyDescent="0.2">
      <c r="B254" s="86"/>
      <c r="C254" s="38"/>
      <c r="E254" s="39"/>
      <c r="F254" s="39"/>
      <c r="G254" s="39"/>
      <c r="H254" s="39"/>
      <c r="I254" s="39"/>
      <c r="J254" s="39"/>
      <c r="K254" s="39"/>
      <c r="L254" s="39"/>
      <c r="M254" s="39"/>
    </row>
    <row r="255" spans="2:13" s="37" customFormat="1" ht="12" x14ac:dyDescent="0.2">
      <c r="B255" s="86"/>
      <c r="C255" s="38"/>
      <c r="E255" s="39"/>
      <c r="F255" s="39"/>
      <c r="G255" s="39"/>
      <c r="H255" s="39"/>
      <c r="I255" s="39"/>
      <c r="J255" s="39"/>
      <c r="K255" s="39"/>
      <c r="L255" s="39"/>
      <c r="M255" s="39"/>
    </row>
    <row r="256" spans="2:13" s="37" customFormat="1" ht="12" x14ac:dyDescent="0.2">
      <c r="B256" s="86"/>
      <c r="C256" s="38"/>
      <c r="E256" s="39"/>
      <c r="F256" s="39"/>
      <c r="G256" s="39"/>
      <c r="H256" s="39"/>
      <c r="I256" s="39"/>
      <c r="J256" s="39"/>
      <c r="K256" s="39"/>
      <c r="L256" s="39"/>
      <c r="M256" s="39"/>
    </row>
    <row r="257" spans="2:13" s="37" customFormat="1" ht="12" x14ac:dyDescent="0.2">
      <c r="B257" s="86"/>
      <c r="C257" s="38"/>
      <c r="E257" s="39"/>
      <c r="F257" s="39"/>
      <c r="G257" s="39"/>
      <c r="H257" s="39"/>
      <c r="I257" s="39"/>
      <c r="J257" s="39"/>
      <c r="K257" s="39"/>
      <c r="L257" s="39"/>
      <c r="M257" s="39"/>
    </row>
    <row r="258" spans="2:13" s="37" customFormat="1" ht="12" x14ac:dyDescent="0.2">
      <c r="B258" s="86"/>
      <c r="C258" s="38"/>
      <c r="E258" s="39"/>
      <c r="F258" s="39"/>
      <c r="G258" s="39"/>
      <c r="H258" s="39"/>
      <c r="I258" s="39"/>
      <c r="J258" s="39"/>
      <c r="K258" s="39"/>
      <c r="L258" s="39"/>
      <c r="M258" s="39"/>
    </row>
    <row r="259" spans="2:13" s="37" customFormat="1" ht="12" x14ac:dyDescent="0.2">
      <c r="B259" s="86"/>
      <c r="C259" s="38"/>
      <c r="E259" s="39"/>
      <c r="F259" s="39"/>
      <c r="G259" s="39"/>
      <c r="H259" s="39"/>
      <c r="I259" s="39"/>
      <c r="J259" s="39"/>
      <c r="K259" s="39"/>
      <c r="L259" s="39"/>
      <c r="M259" s="39"/>
    </row>
    <row r="260" spans="2:13" s="37" customFormat="1" ht="12" x14ac:dyDescent="0.2">
      <c r="B260" s="86"/>
      <c r="C260" s="38"/>
      <c r="E260" s="39"/>
      <c r="F260" s="39"/>
      <c r="G260" s="39"/>
      <c r="H260" s="39"/>
      <c r="I260" s="39"/>
      <c r="J260" s="39"/>
      <c r="K260" s="39"/>
      <c r="L260" s="39"/>
      <c r="M260" s="39"/>
    </row>
    <row r="261" spans="2:13" s="37" customFormat="1" ht="12" x14ac:dyDescent="0.2">
      <c r="B261" s="86"/>
      <c r="C261" s="38"/>
      <c r="E261" s="39"/>
      <c r="F261" s="39"/>
      <c r="G261" s="39"/>
      <c r="H261" s="39"/>
      <c r="I261" s="39"/>
      <c r="J261" s="39"/>
      <c r="K261" s="39"/>
      <c r="L261" s="39"/>
      <c r="M261" s="39"/>
    </row>
    <row r="262" spans="2:13" s="37" customFormat="1" ht="12" x14ac:dyDescent="0.2">
      <c r="B262" s="86"/>
      <c r="C262" s="38"/>
      <c r="E262" s="39"/>
      <c r="F262" s="39"/>
      <c r="G262" s="39"/>
      <c r="H262" s="39"/>
      <c r="I262" s="39"/>
      <c r="J262" s="39"/>
      <c r="K262" s="39"/>
      <c r="L262" s="39"/>
      <c r="M262" s="39"/>
    </row>
    <row r="263" spans="2:13" s="37" customFormat="1" ht="12" x14ac:dyDescent="0.2">
      <c r="B263" s="86"/>
      <c r="C263" s="38"/>
      <c r="E263" s="39"/>
      <c r="F263" s="39"/>
      <c r="G263" s="39"/>
      <c r="H263" s="39"/>
      <c r="I263" s="39"/>
      <c r="J263" s="39"/>
      <c r="K263" s="39"/>
      <c r="L263" s="39"/>
      <c r="M263" s="39"/>
    </row>
    <row r="264" spans="2:13" s="37" customFormat="1" ht="12" x14ac:dyDescent="0.2">
      <c r="B264" s="86"/>
      <c r="C264" s="38"/>
      <c r="E264" s="39"/>
      <c r="F264" s="39"/>
      <c r="G264" s="39"/>
      <c r="H264" s="39"/>
      <c r="I264" s="39"/>
      <c r="J264" s="39"/>
      <c r="K264" s="39"/>
      <c r="L264" s="39"/>
      <c r="M264" s="39"/>
    </row>
    <row r="265" spans="2:13" s="37" customFormat="1" ht="12" x14ac:dyDescent="0.2">
      <c r="B265" s="86"/>
      <c r="C265" s="38"/>
      <c r="E265" s="39"/>
      <c r="F265" s="39"/>
      <c r="G265" s="39"/>
      <c r="H265" s="39"/>
      <c r="I265" s="39"/>
      <c r="J265" s="39"/>
      <c r="K265" s="39"/>
      <c r="L265" s="39"/>
      <c r="M265" s="39"/>
    </row>
    <row r="266" spans="2:13" s="37" customFormat="1" ht="12" x14ac:dyDescent="0.2">
      <c r="B266" s="86"/>
      <c r="C266" s="38"/>
      <c r="E266" s="39"/>
      <c r="F266" s="39"/>
      <c r="G266" s="39"/>
      <c r="H266" s="39"/>
      <c r="I266" s="39"/>
      <c r="J266" s="39"/>
      <c r="K266" s="39"/>
      <c r="L266" s="39"/>
      <c r="M266" s="39"/>
    </row>
    <row r="267" spans="2:13" s="37" customFormat="1" ht="12" x14ac:dyDescent="0.2">
      <c r="B267" s="86"/>
      <c r="C267" s="38"/>
      <c r="E267" s="39"/>
      <c r="F267" s="39"/>
      <c r="G267" s="39"/>
      <c r="H267" s="39"/>
      <c r="I267" s="39"/>
      <c r="J267" s="39"/>
      <c r="K267" s="39"/>
      <c r="L267" s="39"/>
      <c r="M267" s="39"/>
    </row>
    <row r="268" spans="2:13" s="37" customFormat="1" ht="12" x14ac:dyDescent="0.2">
      <c r="B268" s="86"/>
      <c r="C268" s="38"/>
      <c r="E268" s="39"/>
      <c r="F268" s="39"/>
      <c r="G268" s="39"/>
      <c r="H268" s="39"/>
      <c r="I268" s="39"/>
      <c r="J268" s="39"/>
      <c r="K268" s="39"/>
      <c r="L268" s="39"/>
      <c r="M268" s="39"/>
    </row>
    <row r="269" spans="2:13" s="37" customFormat="1" ht="12" x14ac:dyDescent="0.2">
      <c r="B269" s="86"/>
      <c r="C269" s="38"/>
      <c r="E269" s="39"/>
      <c r="F269" s="39"/>
      <c r="G269" s="39"/>
      <c r="H269" s="39"/>
      <c r="I269" s="39"/>
      <c r="J269" s="39"/>
      <c r="K269" s="39"/>
      <c r="L269" s="39"/>
      <c r="M269" s="39"/>
    </row>
    <row r="270" spans="2:13" s="37" customFormat="1" ht="12" x14ac:dyDescent="0.2">
      <c r="B270" s="86"/>
      <c r="C270" s="38"/>
      <c r="E270" s="39"/>
      <c r="F270" s="39"/>
      <c r="G270" s="39"/>
      <c r="H270" s="39"/>
      <c r="I270" s="39"/>
      <c r="J270" s="39"/>
      <c r="K270" s="39"/>
      <c r="L270" s="39"/>
      <c r="M270" s="39"/>
    </row>
    <row r="271" spans="2:13" s="37" customFormat="1" ht="12" x14ac:dyDescent="0.2">
      <c r="B271" s="86"/>
      <c r="C271" s="38"/>
      <c r="E271" s="39"/>
      <c r="F271" s="39"/>
      <c r="G271" s="39"/>
      <c r="H271" s="39"/>
      <c r="I271" s="39"/>
      <c r="J271" s="39"/>
      <c r="K271" s="39"/>
      <c r="L271" s="39"/>
      <c r="M271" s="39"/>
    </row>
    <row r="272" spans="2:13" s="37" customFormat="1" ht="12" x14ac:dyDescent="0.2">
      <c r="B272" s="86"/>
      <c r="C272" s="38"/>
      <c r="E272" s="39"/>
      <c r="F272" s="39"/>
      <c r="G272" s="39"/>
      <c r="H272" s="39"/>
      <c r="I272" s="39"/>
      <c r="J272" s="39"/>
      <c r="K272" s="39"/>
      <c r="L272" s="39"/>
      <c r="M272" s="39"/>
    </row>
    <row r="273" spans="2:13" s="37" customFormat="1" ht="12" x14ac:dyDescent="0.2">
      <c r="B273" s="86"/>
      <c r="C273" s="38"/>
      <c r="E273" s="39"/>
      <c r="F273" s="39"/>
      <c r="G273" s="39"/>
      <c r="H273" s="39"/>
      <c r="I273" s="39"/>
      <c r="J273" s="39"/>
      <c r="K273" s="39"/>
      <c r="L273" s="39"/>
      <c r="M273" s="39"/>
    </row>
    <row r="274" spans="2:13" s="37" customFormat="1" ht="12" x14ac:dyDescent="0.2">
      <c r="B274" s="86"/>
      <c r="C274" s="38"/>
      <c r="E274" s="39"/>
      <c r="F274" s="39"/>
      <c r="G274" s="39"/>
      <c r="H274" s="39"/>
      <c r="I274" s="39"/>
      <c r="J274" s="39"/>
      <c r="K274" s="39"/>
      <c r="L274" s="39"/>
      <c r="M274" s="39"/>
    </row>
    <row r="275" spans="2:13" s="37" customFormat="1" ht="12" x14ac:dyDescent="0.2">
      <c r="B275" s="86"/>
      <c r="C275" s="38"/>
      <c r="E275" s="39"/>
      <c r="F275" s="39"/>
      <c r="G275" s="39"/>
      <c r="H275" s="39"/>
      <c r="I275" s="39"/>
      <c r="J275" s="39"/>
      <c r="K275" s="39"/>
      <c r="L275" s="39"/>
      <c r="M275" s="39"/>
    </row>
    <row r="276" spans="2:13" s="37" customFormat="1" ht="12" x14ac:dyDescent="0.2">
      <c r="B276" s="86"/>
      <c r="C276" s="38"/>
      <c r="E276" s="39"/>
      <c r="F276" s="39"/>
      <c r="G276" s="39"/>
      <c r="H276" s="39"/>
      <c r="I276" s="39"/>
      <c r="J276" s="39"/>
      <c r="K276" s="39"/>
      <c r="L276" s="39"/>
      <c r="M276" s="39"/>
    </row>
    <row r="277" spans="2:13" s="37" customFormat="1" ht="12" x14ac:dyDescent="0.2">
      <c r="B277" s="86"/>
      <c r="C277" s="38"/>
      <c r="E277" s="39"/>
      <c r="F277" s="39"/>
      <c r="G277" s="39"/>
      <c r="H277" s="39"/>
      <c r="I277" s="39"/>
      <c r="J277" s="39"/>
      <c r="K277" s="39"/>
      <c r="L277" s="39"/>
      <c r="M277" s="39"/>
    </row>
    <row r="278" spans="2:13" s="37" customFormat="1" ht="12" x14ac:dyDescent="0.2">
      <c r="B278" s="86"/>
      <c r="C278" s="38"/>
      <c r="E278" s="39"/>
      <c r="F278" s="39"/>
      <c r="G278" s="39"/>
      <c r="H278" s="39"/>
      <c r="I278" s="39"/>
      <c r="J278" s="39"/>
      <c r="K278" s="39"/>
      <c r="L278" s="39"/>
      <c r="M278" s="39"/>
    </row>
    <row r="279" spans="2:13" s="37" customFormat="1" ht="12" x14ac:dyDescent="0.2">
      <c r="B279" s="86"/>
      <c r="C279" s="38"/>
      <c r="E279" s="39"/>
      <c r="F279" s="39"/>
      <c r="G279" s="39"/>
      <c r="H279" s="39"/>
      <c r="I279" s="39"/>
      <c r="J279" s="39"/>
      <c r="K279" s="39"/>
      <c r="L279" s="39"/>
      <c r="M279" s="39"/>
    </row>
    <row r="280" spans="2:13" s="37" customFormat="1" ht="12" x14ac:dyDescent="0.2">
      <c r="B280" s="86"/>
      <c r="C280" s="38"/>
      <c r="E280" s="39"/>
      <c r="F280" s="39"/>
      <c r="G280" s="39"/>
      <c r="H280" s="39"/>
      <c r="I280" s="39"/>
      <c r="J280" s="39"/>
      <c r="K280" s="39"/>
      <c r="L280" s="39"/>
      <c r="M280" s="39"/>
    </row>
    <row r="281" spans="2:13" s="37" customFormat="1" ht="12" x14ac:dyDescent="0.2">
      <c r="B281" s="86"/>
      <c r="C281" s="38"/>
      <c r="E281" s="39"/>
      <c r="F281" s="39"/>
      <c r="G281" s="39"/>
      <c r="H281" s="39"/>
      <c r="I281" s="39"/>
      <c r="J281" s="39"/>
      <c r="K281" s="39"/>
      <c r="L281" s="39"/>
      <c r="M281" s="39"/>
    </row>
    <row r="282" spans="2:13" s="37" customFormat="1" ht="12" x14ac:dyDescent="0.2">
      <c r="B282" s="86"/>
      <c r="C282" s="38"/>
      <c r="E282" s="39"/>
      <c r="F282" s="39"/>
      <c r="G282" s="39"/>
      <c r="H282" s="39"/>
      <c r="I282" s="39"/>
      <c r="J282" s="39"/>
      <c r="K282" s="39"/>
      <c r="L282" s="39"/>
      <c r="M282" s="39"/>
    </row>
    <row r="283" spans="2:13" s="37" customFormat="1" ht="12" x14ac:dyDescent="0.2">
      <c r="B283" s="86"/>
      <c r="C283" s="38"/>
      <c r="E283" s="39"/>
      <c r="F283" s="39"/>
      <c r="G283" s="39"/>
      <c r="H283" s="39"/>
      <c r="I283" s="39"/>
      <c r="J283" s="39"/>
      <c r="K283" s="39"/>
      <c r="L283" s="39"/>
      <c r="M283" s="39"/>
    </row>
    <row r="284" spans="2:13" s="37" customFormat="1" ht="12" x14ac:dyDescent="0.2">
      <c r="B284" s="86"/>
      <c r="C284" s="38"/>
      <c r="E284" s="39"/>
      <c r="F284" s="39"/>
      <c r="G284" s="39"/>
      <c r="H284" s="39"/>
      <c r="I284" s="39"/>
      <c r="J284" s="39"/>
      <c r="K284" s="39"/>
      <c r="L284" s="39"/>
      <c r="M284" s="39"/>
    </row>
    <row r="285" spans="2:13" s="37" customFormat="1" ht="12" x14ac:dyDescent="0.2">
      <c r="B285" s="86"/>
      <c r="C285" s="38"/>
      <c r="E285" s="39"/>
      <c r="F285" s="39"/>
      <c r="G285" s="39"/>
      <c r="H285" s="39"/>
      <c r="I285" s="39"/>
      <c r="J285" s="39"/>
      <c r="K285" s="39"/>
      <c r="L285" s="39"/>
      <c r="M285" s="39"/>
    </row>
    <row r="286" spans="2:13" s="37" customFormat="1" ht="12" x14ac:dyDescent="0.2">
      <c r="B286" s="86"/>
      <c r="C286" s="38"/>
      <c r="E286" s="39"/>
      <c r="F286" s="39"/>
      <c r="G286" s="39"/>
      <c r="H286" s="39"/>
      <c r="I286" s="39"/>
      <c r="J286" s="39"/>
      <c r="K286" s="39"/>
      <c r="L286" s="39"/>
      <c r="M286" s="39"/>
    </row>
    <row r="287" spans="2:13" s="37" customFormat="1" ht="12" x14ac:dyDescent="0.2">
      <c r="B287" s="86"/>
      <c r="C287" s="38"/>
      <c r="E287" s="39"/>
      <c r="F287" s="39"/>
      <c r="G287" s="39"/>
      <c r="H287" s="39"/>
      <c r="I287" s="39"/>
      <c r="J287" s="39"/>
      <c r="K287" s="39"/>
      <c r="L287" s="39"/>
      <c r="M287" s="39"/>
    </row>
    <row r="288" spans="2:13" x14ac:dyDescent="0.25">
      <c r="E288" s="22"/>
      <c r="F288" s="22"/>
      <c r="G288" s="22"/>
      <c r="H288" s="22"/>
      <c r="I288" s="22"/>
      <c r="J288" s="22"/>
      <c r="K288" s="22"/>
      <c r="L288" s="22"/>
      <c r="M288" s="22"/>
    </row>
  </sheetData>
  <sheetProtection algorithmName="SHA-512" hashValue="ZTZoOwP3UYdI3eo2F0tez82DsphYf1veK6rFQfQ2bZrggFjQWYItViGvtREDYsQLxygZ2m8yciEsepSga0/OVg==" saltValue="ysi7Zqum7Lu993LwZtfMxg==" spinCount="100000" sheet="1" objects="1" scenarios="1" selectLockedCells="1"/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/>
  </sheetPr>
  <dimension ref="A1:AP253"/>
  <sheetViews>
    <sheetView workbookViewId="0">
      <pane xSplit="39" ySplit="5" topLeftCell="AN87" activePane="bottomRight" state="frozen"/>
      <selection activeCell="R118" sqref="R118"/>
      <selection pane="topRight" activeCell="R118" sqref="R118"/>
      <selection pane="bottomLeft" activeCell="R118" sqref="R118"/>
      <selection pane="bottomRight" activeCell="R118" sqref="R118"/>
    </sheetView>
  </sheetViews>
  <sheetFormatPr defaultColWidth="8.85546875" defaultRowHeight="15" x14ac:dyDescent="0.25"/>
  <cols>
    <col min="1" max="2" width="3.140625" style="14" customWidth="1"/>
    <col min="3" max="3" width="7.85546875" style="20" customWidth="1"/>
    <col min="4" max="4" width="38.28515625" style="14" bestFit="1" customWidth="1"/>
    <col min="5" max="5" width="9.85546875" style="14" bestFit="1" customWidth="1"/>
    <col min="6" max="6" width="10.42578125" style="14" bestFit="1" customWidth="1"/>
    <col min="7" max="9" width="8.85546875" style="14" hidden="1" customWidth="1"/>
    <col min="10" max="10" width="0" style="14" hidden="1" customWidth="1"/>
    <col min="11" max="12" width="8.85546875" style="14" hidden="1" customWidth="1"/>
    <col min="13" max="16" width="8.85546875" style="14"/>
    <col min="17" max="18" width="0" style="14" hidden="1" customWidth="1"/>
    <col min="19" max="25" width="8.85546875" style="14"/>
    <col min="26" max="26" width="0" style="14" hidden="1" customWidth="1"/>
    <col min="27" max="30" width="8.85546875" style="14" customWidth="1"/>
    <col min="31" max="34" width="8.85546875" style="14" hidden="1" customWidth="1"/>
    <col min="35" max="35" width="8.85546875" style="14" customWidth="1"/>
    <col min="36" max="38" width="8.85546875" style="14" hidden="1" customWidth="1"/>
    <col min="39" max="39" width="2.140625" style="28" customWidth="1"/>
    <col min="40" max="40" width="8.85546875" style="21"/>
    <col min="41" max="41" width="2.140625" style="28" customWidth="1"/>
    <col min="42" max="42" width="10.140625" style="260" bestFit="1" customWidth="1"/>
    <col min="43" max="16384" width="8.85546875" style="14"/>
  </cols>
  <sheetData>
    <row r="1" spans="1:42" s="1" customFormat="1" ht="21" x14ac:dyDescent="0.35">
      <c r="A1" s="11" t="str">
        <f>'Rev &amp; Enroll'!$F$5</f>
        <v>Nevada State High School (Northwest)</v>
      </c>
      <c r="B1" s="11"/>
      <c r="C1" s="17"/>
      <c r="E1" s="2"/>
      <c r="F1" s="3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4"/>
      <c r="AN1" s="3"/>
      <c r="AO1" s="24"/>
      <c r="AP1" s="256"/>
    </row>
    <row r="2" spans="1:42" s="1" customFormat="1" x14ac:dyDescent="0.25">
      <c r="A2" s="12" t="str">
        <f>CONCATENATE("Budget", " ",'Rev &amp; Enroll'!F7," ","by Function-Grant")</f>
        <v>Budget FY21 by Function-Grant</v>
      </c>
      <c r="B2" s="12"/>
      <c r="C2" s="17"/>
      <c r="D2" s="13"/>
      <c r="E2" s="2"/>
      <c r="F2" s="2"/>
      <c r="G2" s="2"/>
      <c r="H2" s="2"/>
      <c r="AM2" s="25"/>
      <c r="AN2" s="2"/>
      <c r="AO2" s="29"/>
      <c r="AP2" s="256"/>
    </row>
    <row r="3" spans="1:42" s="6" customFormat="1" ht="13.5" customHeight="1" x14ac:dyDescent="0.2">
      <c r="A3" s="5" t="str">
        <f>'FY21'!A3</f>
        <v>Board Approved: Proposed: 4/16/2020</v>
      </c>
      <c r="B3" s="5"/>
      <c r="C3" s="1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25"/>
      <c r="AN3" s="7"/>
      <c r="AO3" s="30"/>
      <c r="AP3" s="257"/>
    </row>
    <row r="4" spans="1:42" s="9" customFormat="1" ht="24" x14ac:dyDescent="0.25">
      <c r="C4" s="19"/>
      <c r="D4" s="10"/>
      <c r="E4" s="223" t="s">
        <v>259</v>
      </c>
      <c r="F4" s="223" t="s">
        <v>260</v>
      </c>
      <c r="G4" s="223" t="s">
        <v>261</v>
      </c>
      <c r="H4" s="223" t="s">
        <v>262</v>
      </c>
      <c r="I4" s="223" t="s">
        <v>263</v>
      </c>
      <c r="J4" s="223" t="s">
        <v>264</v>
      </c>
      <c r="K4" s="223" t="s">
        <v>265</v>
      </c>
      <c r="L4" s="223" t="s">
        <v>266</v>
      </c>
      <c r="M4" s="223" t="s">
        <v>267</v>
      </c>
      <c r="N4" s="223" t="s">
        <v>268</v>
      </c>
      <c r="O4" s="223" t="s">
        <v>269</v>
      </c>
      <c r="P4" s="223" t="s">
        <v>324</v>
      </c>
      <c r="Q4" s="223" t="s">
        <v>270</v>
      </c>
      <c r="R4" s="223" t="s">
        <v>271</v>
      </c>
      <c r="S4" s="223" t="s">
        <v>272</v>
      </c>
      <c r="T4" s="223" t="s">
        <v>273</v>
      </c>
      <c r="U4" s="223" t="s">
        <v>274</v>
      </c>
      <c r="V4" s="223" t="s">
        <v>275</v>
      </c>
      <c r="W4" s="223" t="s">
        <v>276</v>
      </c>
      <c r="X4" s="223" t="s">
        <v>277</v>
      </c>
      <c r="Y4" s="223" t="s">
        <v>278</v>
      </c>
      <c r="Z4" s="223" t="s">
        <v>279</v>
      </c>
      <c r="AA4" s="223" t="s">
        <v>280</v>
      </c>
      <c r="AB4" s="223" t="s">
        <v>281</v>
      </c>
      <c r="AC4" s="223" t="s">
        <v>282</v>
      </c>
      <c r="AD4" s="223" t="s">
        <v>283</v>
      </c>
      <c r="AE4" s="223" t="s">
        <v>284</v>
      </c>
      <c r="AF4" s="223" t="s">
        <v>285</v>
      </c>
      <c r="AG4" s="223" t="s">
        <v>286</v>
      </c>
      <c r="AH4" s="223" t="s">
        <v>287</v>
      </c>
      <c r="AI4" s="223" t="s">
        <v>288</v>
      </c>
      <c r="AJ4" s="223" t="s">
        <v>289</v>
      </c>
      <c r="AK4" s="223" t="s">
        <v>290</v>
      </c>
      <c r="AL4" s="223" t="s">
        <v>291</v>
      </c>
      <c r="AM4" s="26"/>
      <c r="AN4" s="58" t="s">
        <v>55</v>
      </c>
      <c r="AO4" s="26"/>
      <c r="AP4" s="258" t="s">
        <v>293</v>
      </c>
    </row>
    <row r="5" spans="1:42" s="9" customFormat="1" ht="12" x14ac:dyDescent="0.2">
      <c r="C5" s="19"/>
      <c r="D5" s="208"/>
      <c r="E5" s="39">
        <v>3</v>
      </c>
      <c r="F5" s="39">
        <v>4</v>
      </c>
      <c r="G5" s="39">
        <v>5</v>
      </c>
      <c r="H5" s="39">
        <v>6</v>
      </c>
      <c r="I5" s="39">
        <v>7</v>
      </c>
      <c r="J5" s="39">
        <v>8</v>
      </c>
      <c r="K5" s="39">
        <v>9</v>
      </c>
      <c r="L5" s="39">
        <v>10</v>
      </c>
      <c r="M5" s="39">
        <v>11</v>
      </c>
      <c r="N5" s="39">
        <v>12</v>
      </c>
      <c r="O5" s="39">
        <v>13</v>
      </c>
      <c r="P5" s="39">
        <v>14</v>
      </c>
      <c r="Q5" s="39">
        <v>15</v>
      </c>
      <c r="R5" s="39">
        <v>16</v>
      </c>
      <c r="S5" s="39">
        <v>17</v>
      </c>
      <c r="T5" s="39">
        <v>18</v>
      </c>
      <c r="U5" s="39">
        <v>19</v>
      </c>
      <c r="V5" s="39">
        <v>20</v>
      </c>
      <c r="W5" s="39">
        <v>21</v>
      </c>
      <c r="X5" s="39">
        <v>22</v>
      </c>
      <c r="Y5" s="39">
        <v>23</v>
      </c>
      <c r="Z5" s="39">
        <v>24</v>
      </c>
      <c r="AA5" s="39">
        <v>25</v>
      </c>
      <c r="AB5" s="39">
        <v>26</v>
      </c>
      <c r="AC5" s="39">
        <v>27</v>
      </c>
      <c r="AD5" s="39">
        <v>28</v>
      </c>
      <c r="AE5" s="39">
        <v>29</v>
      </c>
      <c r="AF5" s="39">
        <v>30</v>
      </c>
      <c r="AG5" s="39">
        <v>31</v>
      </c>
      <c r="AH5" s="39">
        <v>32</v>
      </c>
      <c r="AI5" s="39">
        <v>33</v>
      </c>
      <c r="AJ5" s="39">
        <v>34</v>
      </c>
      <c r="AK5" s="39">
        <v>35</v>
      </c>
      <c r="AL5" s="39">
        <v>36</v>
      </c>
      <c r="AM5" s="41"/>
      <c r="AN5" s="59"/>
      <c r="AO5" s="41"/>
      <c r="AP5" s="258"/>
    </row>
    <row r="6" spans="1:42" s="37" customFormat="1" ht="12" x14ac:dyDescent="0.2">
      <c r="A6" s="45" t="s">
        <v>58</v>
      </c>
      <c r="C6" s="38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41"/>
      <c r="AN6" s="59"/>
      <c r="AO6" s="41"/>
      <c r="AP6" s="259"/>
    </row>
    <row r="7" spans="1:42" s="37" customFormat="1" ht="12" x14ac:dyDescent="0.2">
      <c r="A7" s="45"/>
      <c r="C7" s="49" t="s">
        <v>172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41"/>
      <c r="AN7" s="59"/>
      <c r="AO7" s="41"/>
      <c r="AP7" s="259"/>
    </row>
    <row r="8" spans="1:42" s="37" customFormat="1" ht="12" x14ac:dyDescent="0.2">
      <c r="A8" s="45"/>
      <c r="C8" s="199">
        <v>1110</v>
      </c>
      <c r="D8" s="37" t="s">
        <v>0</v>
      </c>
      <c r="E8" s="369">
        <f>'FY21'!S8</f>
        <v>117089.28000000001</v>
      </c>
      <c r="F8" s="180">
        <v>0</v>
      </c>
      <c r="G8" s="180">
        <v>0</v>
      </c>
      <c r="H8" s="180">
        <v>0</v>
      </c>
      <c r="I8" s="180">
        <v>0</v>
      </c>
      <c r="J8" s="180">
        <v>0</v>
      </c>
      <c r="K8" s="180">
        <v>0</v>
      </c>
      <c r="L8" s="180">
        <v>0</v>
      </c>
      <c r="M8" s="180">
        <v>0</v>
      </c>
      <c r="N8" s="180">
        <v>0</v>
      </c>
      <c r="O8" s="180">
        <v>0</v>
      </c>
      <c r="P8" s="180">
        <v>0</v>
      </c>
      <c r="Q8" s="180">
        <v>0</v>
      </c>
      <c r="R8" s="180">
        <v>0</v>
      </c>
      <c r="S8" s="180">
        <v>0</v>
      </c>
      <c r="T8" s="180">
        <v>0</v>
      </c>
      <c r="U8" s="180">
        <v>0</v>
      </c>
      <c r="V8" s="180">
        <v>0</v>
      </c>
      <c r="W8" s="180">
        <v>0</v>
      </c>
      <c r="X8" s="180">
        <v>0</v>
      </c>
      <c r="Y8" s="180">
        <v>0</v>
      </c>
      <c r="Z8" s="180">
        <v>0</v>
      </c>
      <c r="AA8" s="180">
        <v>0</v>
      </c>
      <c r="AB8" s="180">
        <v>0</v>
      </c>
      <c r="AC8" s="180">
        <v>0</v>
      </c>
      <c r="AD8" s="180">
        <v>0</v>
      </c>
      <c r="AE8" s="180">
        <v>0</v>
      </c>
      <c r="AF8" s="180">
        <v>0</v>
      </c>
      <c r="AG8" s="180">
        <v>0</v>
      </c>
      <c r="AH8" s="180">
        <v>0</v>
      </c>
      <c r="AI8" s="180">
        <v>0</v>
      </c>
      <c r="AJ8" s="180">
        <v>0</v>
      </c>
      <c r="AK8" s="180">
        <v>0</v>
      </c>
      <c r="AL8" s="180">
        <v>0</v>
      </c>
      <c r="AM8" s="186"/>
      <c r="AN8" s="187">
        <f>SUM(E8:AM8)</f>
        <v>117089.28000000001</v>
      </c>
      <c r="AO8" s="186"/>
      <c r="AP8" s="259">
        <f>AN8-'FY21'!S8</f>
        <v>0</v>
      </c>
    </row>
    <row r="9" spans="1:42" s="37" customFormat="1" ht="12" x14ac:dyDescent="0.2">
      <c r="A9" s="45"/>
      <c r="C9" s="199">
        <v>1120</v>
      </c>
      <c r="D9" s="37" t="s">
        <v>1</v>
      </c>
      <c r="E9" s="370">
        <f>'FY21'!S9</f>
        <v>128620.79999999994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v>0</v>
      </c>
      <c r="AC9" s="39">
        <v>0</v>
      </c>
      <c r="AD9" s="39">
        <v>0</v>
      </c>
      <c r="AE9" s="39">
        <v>0</v>
      </c>
      <c r="AF9" s="39">
        <v>0</v>
      </c>
      <c r="AG9" s="39">
        <v>0</v>
      </c>
      <c r="AH9" s="39">
        <v>0</v>
      </c>
      <c r="AI9" s="39">
        <v>0</v>
      </c>
      <c r="AJ9" s="39">
        <v>0</v>
      </c>
      <c r="AK9" s="39">
        <v>0</v>
      </c>
      <c r="AL9" s="39">
        <v>0</v>
      </c>
      <c r="AM9" s="41"/>
      <c r="AN9" s="59">
        <f>SUM(E9:AM9)</f>
        <v>128620.79999999994</v>
      </c>
      <c r="AO9" s="41"/>
      <c r="AP9" s="259">
        <f>AN9-'FY21'!S9</f>
        <v>0</v>
      </c>
    </row>
    <row r="10" spans="1:42" s="37" customFormat="1" ht="12" x14ac:dyDescent="0.2">
      <c r="A10" s="45"/>
      <c r="C10" s="199">
        <v>1191</v>
      </c>
      <c r="D10" s="37" t="s">
        <v>2</v>
      </c>
      <c r="E10" s="370">
        <f>'FY21'!S10</f>
        <v>443.51999999999981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0</v>
      </c>
      <c r="AE10" s="39">
        <v>0</v>
      </c>
      <c r="AF10" s="39">
        <v>0</v>
      </c>
      <c r="AG10" s="39">
        <v>0</v>
      </c>
      <c r="AH10" s="39">
        <v>0</v>
      </c>
      <c r="AI10" s="39">
        <v>0</v>
      </c>
      <c r="AJ10" s="39">
        <v>0</v>
      </c>
      <c r="AK10" s="39">
        <v>0</v>
      </c>
      <c r="AL10" s="39">
        <v>0</v>
      </c>
      <c r="AM10" s="41"/>
      <c r="AN10" s="59">
        <f>SUM(E10:AM10)</f>
        <v>443.51999999999981</v>
      </c>
      <c r="AO10" s="41"/>
      <c r="AP10" s="259">
        <f>AN10-'FY21'!S10</f>
        <v>0</v>
      </c>
    </row>
    <row r="11" spans="1:42" s="37" customFormat="1" ht="12" x14ac:dyDescent="0.2">
      <c r="A11" s="45"/>
      <c r="C11" s="199">
        <v>1192</v>
      </c>
      <c r="D11" s="37" t="s">
        <v>3</v>
      </c>
      <c r="E11" s="370">
        <f>'FY21'!S11</f>
        <v>13749.12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T11" s="39">
        <v>0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  <c r="AB11" s="39">
        <v>0</v>
      </c>
      <c r="AC11" s="39">
        <v>0</v>
      </c>
      <c r="AD11" s="39">
        <v>0</v>
      </c>
      <c r="AE11" s="39">
        <v>0</v>
      </c>
      <c r="AF11" s="39">
        <v>0</v>
      </c>
      <c r="AG11" s="39">
        <v>0</v>
      </c>
      <c r="AH11" s="39">
        <v>0</v>
      </c>
      <c r="AI11" s="39">
        <v>0</v>
      </c>
      <c r="AJ11" s="39">
        <v>0</v>
      </c>
      <c r="AK11" s="39">
        <v>0</v>
      </c>
      <c r="AL11" s="39">
        <v>0</v>
      </c>
      <c r="AM11" s="41"/>
      <c r="AN11" s="59">
        <f>SUM(E11:AM11)</f>
        <v>13749.12</v>
      </c>
      <c r="AO11" s="41"/>
      <c r="AP11" s="259">
        <f>AN11-'FY21'!S11</f>
        <v>0</v>
      </c>
    </row>
    <row r="12" spans="1:42" s="37" customFormat="1" ht="12" x14ac:dyDescent="0.2">
      <c r="A12" s="45"/>
      <c r="C12" s="199">
        <v>3110</v>
      </c>
      <c r="D12" s="37" t="s">
        <v>73</v>
      </c>
      <c r="E12" s="370">
        <f>'FY21'!S12</f>
        <v>183617.28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39">
        <v>0</v>
      </c>
      <c r="AG12" s="39">
        <v>0</v>
      </c>
      <c r="AH12" s="39">
        <v>0</v>
      </c>
      <c r="AI12" s="39">
        <v>0</v>
      </c>
      <c r="AJ12" s="39">
        <v>0</v>
      </c>
      <c r="AK12" s="39">
        <v>0</v>
      </c>
      <c r="AL12" s="39">
        <v>0</v>
      </c>
      <c r="AM12" s="41"/>
      <c r="AN12" s="59">
        <f>SUM(E12:AM12)</f>
        <v>183617.28</v>
      </c>
      <c r="AO12" s="41"/>
      <c r="AP12" s="259">
        <f>AN12-'FY21'!S12</f>
        <v>0</v>
      </c>
    </row>
    <row r="13" spans="1:42" s="37" customFormat="1" ht="12" x14ac:dyDescent="0.2">
      <c r="A13" s="45"/>
      <c r="C13" s="38"/>
      <c r="E13" s="50">
        <f t="shared" ref="E13:AL13" si="0">SUBTOTAL(9,E8:E12)</f>
        <v>443519.99999999994</v>
      </c>
      <c r="F13" s="50">
        <f>SUBTOTAL(9,F8:F12)</f>
        <v>0</v>
      </c>
      <c r="G13" s="50">
        <f>SUBTOTAL(9,G8:G12)</f>
        <v>0</v>
      </c>
      <c r="H13" s="50">
        <f t="shared" si="0"/>
        <v>0</v>
      </c>
      <c r="I13" s="50">
        <f t="shared" si="0"/>
        <v>0</v>
      </c>
      <c r="J13" s="50">
        <f t="shared" si="0"/>
        <v>0</v>
      </c>
      <c r="K13" s="50">
        <f t="shared" si="0"/>
        <v>0</v>
      </c>
      <c r="L13" s="50">
        <f t="shared" si="0"/>
        <v>0</v>
      </c>
      <c r="M13" s="50">
        <f t="shared" si="0"/>
        <v>0</v>
      </c>
      <c r="N13" s="50">
        <f t="shared" si="0"/>
        <v>0</v>
      </c>
      <c r="O13" s="50">
        <f t="shared" si="0"/>
        <v>0</v>
      </c>
      <c r="P13" s="50">
        <f t="shared" ref="P13" si="1">SUBTOTAL(9,P8:P12)</f>
        <v>0</v>
      </c>
      <c r="Q13" s="50">
        <f t="shared" si="0"/>
        <v>0</v>
      </c>
      <c r="R13" s="50">
        <f t="shared" ref="R13:AG13" si="2">SUBTOTAL(9,R8:R12)</f>
        <v>0</v>
      </c>
      <c r="S13" s="50">
        <f t="shared" si="2"/>
        <v>0</v>
      </c>
      <c r="T13" s="50">
        <f t="shared" si="2"/>
        <v>0</v>
      </c>
      <c r="U13" s="50">
        <f t="shared" si="2"/>
        <v>0</v>
      </c>
      <c r="V13" s="50">
        <f t="shared" si="2"/>
        <v>0</v>
      </c>
      <c r="W13" s="50">
        <f t="shared" si="2"/>
        <v>0</v>
      </c>
      <c r="X13" s="50">
        <f t="shared" si="2"/>
        <v>0</v>
      </c>
      <c r="Y13" s="50">
        <f t="shared" si="2"/>
        <v>0</v>
      </c>
      <c r="Z13" s="50">
        <f t="shared" si="2"/>
        <v>0</v>
      </c>
      <c r="AA13" s="50">
        <f t="shared" si="2"/>
        <v>0</v>
      </c>
      <c r="AB13" s="50">
        <f t="shared" si="2"/>
        <v>0</v>
      </c>
      <c r="AC13" s="50">
        <f t="shared" si="2"/>
        <v>0</v>
      </c>
      <c r="AD13" s="50">
        <f t="shared" si="2"/>
        <v>0</v>
      </c>
      <c r="AE13" s="50">
        <f t="shared" si="2"/>
        <v>0</v>
      </c>
      <c r="AF13" s="50">
        <f t="shared" si="2"/>
        <v>0</v>
      </c>
      <c r="AG13" s="50">
        <f t="shared" si="2"/>
        <v>0</v>
      </c>
      <c r="AH13" s="50">
        <f t="shared" si="0"/>
        <v>0</v>
      </c>
      <c r="AI13" s="50">
        <f t="shared" si="0"/>
        <v>0</v>
      </c>
      <c r="AJ13" s="50">
        <f t="shared" si="0"/>
        <v>0</v>
      </c>
      <c r="AK13" s="50">
        <f t="shared" si="0"/>
        <v>0</v>
      </c>
      <c r="AL13" s="50">
        <f t="shared" si="0"/>
        <v>0</v>
      </c>
      <c r="AM13" s="41"/>
      <c r="AN13" s="61">
        <f>SUBTOTAL(9,AN8:AN12)</f>
        <v>443519.99999999994</v>
      </c>
      <c r="AO13" s="41"/>
      <c r="AP13" s="259">
        <f>AN13-'FY21'!S13</f>
        <v>0</v>
      </c>
    </row>
    <row r="14" spans="1:42" s="37" customFormat="1" ht="12" x14ac:dyDescent="0.2">
      <c r="A14" s="45"/>
      <c r="C14" s="49" t="s">
        <v>171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41"/>
      <c r="AN14" s="59"/>
      <c r="AO14" s="41"/>
      <c r="AP14" s="259">
        <f>AN14-'FY21'!S14</f>
        <v>0</v>
      </c>
    </row>
    <row r="15" spans="1:42" s="37" customFormat="1" ht="12" x14ac:dyDescent="0.2">
      <c r="A15" s="45"/>
      <c r="C15" s="199">
        <v>3115</v>
      </c>
      <c r="D15" s="37" t="s">
        <v>5</v>
      </c>
      <c r="E15" s="370">
        <f>'FY21'!S15</f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  <c r="AE15" s="39">
        <v>0</v>
      </c>
      <c r="AF15" s="39">
        <v>0</v>
      </c>
      <c r="AG15" s="39">
        <v>0</v>
      </c>
      <c r="AH15" s="39">
        <v>0</v>
      </c>
      <c r="AI15" s="39">
        <v>0</v>
      </c>
      <c r="AJ15" s="39">
        <v>0</v>
      </c>
      <c r="AK15" s="39">
        <v>0</v>
      </c>
      <c r="AL15" s="39">
        <v>0</v>
      </c>
      <c r="AM15" s="41"/>
      <c r="AN15" s="59">
        <f>SUM(E15:AM15)</f>
        <v>0</v>
      </c>
      <c r="AO15" s="41"/>
      <c r="AP15" s="259">
        <f>AN15-'FY21'!S15</f>
        <v>0</v>
      </c>
    </row>
    <row r="16" spans="1:42" s="37" customFormat="1" ht="12" x14ac:dyDescent="0.2">
      <c r="A16" s="45" t="s">
        <v>360</v>
      </c>
      <c r="C16" s="199">
        <v>3200</v>
      </c>
      <c r="D16" s="37" t="s">
        <v>6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70">
        <f>+'Rev &amp; Enroll'!F49</f>
        <v>192</v>
      </c>
      <c r="Z16" s="370">
        <v>0</v>
      </c>
      <c r="AA16" s="370">
        <f>+'Rev &amp; Enroll'!F52</f>
        <v>51000</v>
      </c>
      <c r="AB16" s="39">
        <v>0</v>
      </c>
      <c r="AC16" s="39">
        <v>0</v>
      </c>
      <c r="AD16" s="39">
        <v>0</v>
      </c>
      <c r="AE16" s="39">
        <v>0</v>
      </c>
      <c r="AF16" s="39">
        <v>0</v>
      </c>
      <c r="AG16" s="39">
        <v>0</v>
      </c>
      <c r="AH16" s="39">
        <v>0</v>
      </c>
      <c r="AI16" s="39">
        <v>0</v>
      </c>
      <c r="AJ16" s="39">
        <v>0</v>
      </c>
      <c r="AK16" s="39">
        <v>0</v>
      </c>
      <c r="AL16" s="39">
        <v>0</v>
      </c>
      <c r="AM16" s="41"/>
      <c r="AN16" s="59">
        <f>SUM(E16:AM16)</f>
        <v>51192</v>
      </c>
      <c r="AO16" s="41"/>
      <c r="AP16" s="259">
        <f>AN16-'FY21'!S16</f>
        <v>0</v>
      </c>
    </row>
    <row r="17" spans="1:42" s="37" customFormat="1" ht="12" x14ac:dyDescent="0.2">
      <c r="A17" s="45"/>
      <c r="C17" s="38"/>
      <c r="E17" s="50">
        <f t="shared" ref="E17:AN17" si="3">SUBTOTAL(9,E15:E16)</f>
        <v>0</v>
      </c>
      <c r="F17" s="50">
        <f>SUBTOTAL(9,F15:F16)</f>
        <v>0</v>
      </c>
      <c r="G17" s="50">
        <f>SUBTOTAL(9,G15:G16)</f>
        <v>0</v>
      </c>
      <c r="H17" s="50">
        <f t="shared" si="3"/>
        <v>0</v>
      </c>
      <c r="I17" s="50">
        <f t="shared" si="3"/>
        <v>0</v>
      </c>
      <c r="J17" s="50">
        <f t="shared" si="3"/>
        <v>0</v>
      </c>
      <c r="K17" s="50">
        <f t="shared" si="3"/>
        <v>0</v>
      </c>
      <c r="L17" s="50">
        <f t="shared" si="3"/>
        <v>0</v>
      </c>
      <c r="M17" s="50">
        <f t="shared" si="3"/>
        <v>0</v>
      </c>
      <c r="N17" s="50">
        <f t="shared" si="3"/>
        <v>0</v>
      </c>
      <c r="O17" s="50">
        <f t="shared" si="3"/>
        <v>0</v>
      </c>
      <c r="P17" s="50">
        <f t="shared" ref="P17" si="4">SUBTOTAL(9,P15:P16)</f>
        <v>0</v>
      </c>
      <c r="Q17" s="50">
        <f t="shared" si="3"/>
        <v>0</v>
      </c>
      <c r="R17" s="50">
        <f t="shared" ref="R17:AG17" si="5">SUBTOTAL(9,R15:R16)</f>
        <v>0</v>
      </c>
      <c r="S17" s="50">
        <f t="shared" si="5"/>
        <v>0</v>
      </c>
      <c r="T17" s="50">
        <f t="shared" si="5"/>
        <v>0</v>
      </c>
      <c r="U17" s="50">
        <f t="shared" si="5"/>
        <v>0</v>
      </c>
      <c r="V17" s="50">
        <f t="shared" si="5"/>
        <v>0</v>
      </c>
      <c r="W17" s="50">
        <f t="shared" si="5"/>
        <v>0</v>
      </c>
      <c r="X17" s="50">
        <f t="shared" si="5"/>
        <v>0</v>
      </c>
      <c r="Y17" s="50">
        <f t="shared" si="5"/>
        <v>192</v>
      </c>
      <c r="Z17" s="50">
        <f t="shared" si="5"/>
        <v>0</v>
      </c>
      <c r="AA17" s="50">
        <f t="shared" si="5"/>
        <v>51000</v>
      </c>
      <c r="AB17" s="50">
        <f t="shared" si="5"/>
        <v>0</v>
      </c>
      <c r="AC17" s="50">
        <f t="shared" si="5"/>
        <v>0</v>
      </c>
      <c r="AD17" s="50">
        <f t="shared" si="5"/>
        <v>0</v>
      </c>
      <c r="AE17" s="50">
        <f t="shared" si="5"/>
        <v>0</v>
      </c>
      <c r="AF17" s="50">
        <f t="shared" si="5"/>
        <v>0</v>
      </c>
      <c r="AG17" s="50">
        <f t="shared" si="5"/>
        <v>0</v>
      </c>
      <c r="AH17" s="50">
        <f t="shared" si="3"/>
        <v>0</v>
      </c>
      <c r="AI17" s="50">
        <f t="shared" si="3"/>
        <v>0</v>
      </c>
      <c r="AJ17" s="50">
        <f t="shared" si="3"/>
        <v>0</v>
      </c>
      <c r="AK17" s="50">
        <f t="shared" si="3"/>
        <v>0</v>
      </c>
      <c r="AL17" s="50">
        <f t="shared" si="3"/>
        <v>0</v>
      </c>
      <c r="AM17" s="41"/>
      <c r="AN17" s="61">
        <f t="shared" si="3"/>
        <v>51192</v>
      </c>
      <c r="AO17" s="41"/>
      <c r="AP17" s="259">
        <f>AN17-'FY21'!S17</f>
        <v>0</v>
      </c>
    </row>
    <row r="18" spans="1:42" s="37" customFormat="1" ht="12" x14ac:dyDescent="0.2">
      <c r="A18" s="45"/>
      <c r="C18" s="49" t="s">
        <v>149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1"/>
      <c r="AN18" s="59"/>
      <c r="AO18" s="41"/>
      <c r="AP18" s="259">
        <f>AN18-'FY21'!S18</f>
        <v>0</v>
      </c>
    </row>
    <row r="19" spans="1:42" s="37" customFormat="1" ht="12" x14ac:dyDescent="0.2">
      <c r="A19" s="45" t="s">
        <v>361</v>
      </c>
      <c r="C19" s="199">
        <v>4500</v>
      </c>
      <c r="D19" s="37" t="s">
        <v>6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0</v>
      </c>
      <c r="AD19" s="370">
        <f>+'Rev &amp; Enroll'!F55</f>
        <v>0</v>
      </c>
      <c r="AE19" s="370">
        <v>0</v>
      </c>
      <c r="AF19" s="370">
        <v>0</v>
      </c>
      <c r="AG19" s="370">
        <v>0</v>
      </c>
      <c r="AH19" s="370">
        <v>0</v>
      </c>
      <c r="AI19" s="370">
        <f>+'Rev &amp; Enroll'!F57</f>
        <v>0</v>
      </c>
      <c r="AJ19" s="39">
        <v>0</v>
      </c>
      <c r="AK19" s="39">
        <v>0</v>
      </c>
      <c r="AL19" s="39">
        <v>0</v>
      </c>
      <c r="AM19" s="41"/>
      <c r="AN19" s="59">
        <f>SUM(E19:AM19)</f>
        <v>0</v>
      </c>
      <c r="AO19" s="41"/>
      <c r="AP19" s="259">
        <f>AN19-'FY21'!S19</f>
        <v>0</v>
      </c>
    </row>
    <row r="20" spans="1:42" s="37" customFormat="1" ht="12" x14ac:dyDescent="0.2">
      <c r="A20" s="45"/>
      <c r="C20" s="199">
        <v>4571</v>
      </c>
      <c r="D20" s="37" t="s">
        <v>7</v>
      </c>
      <c r="E20" s="371">
        <f>+'Rev &amp; Enroll'!F59</f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K20" s="41">
        <v>0</v>
      </c>
      <c r="AL20" s="41">
        <v>0</v>
      </c>
      <c r="AM20" s="41"/>
      <c r="AN20" s="62">
        <f>SUM(E20:AM20)</f>
        <v>0</v>
      </c>
      <c r="AO20" s="41"/>
      <c r="AP20" s="259">
        <f>AN20-'FY21'!S20</f>
        <v>0</v>
      </c>
    </row>
    <row r="21" spans="1:42" s="37" customFormat="1" ht="12" x14ac:dyDescent="0.2">
      <c r="A21" s="45"/>
      <c r="C21" s="38">
        <v>4703</v>
      </c>
      <c r="D21" s="37" t="s">
        <v>186</v>
      </c>
      <c r="E21" s="371">
        <f>+'Rev &amp; Enroll'!F60</f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K21" s="41">
        <v>0</v>
      </c>
      <c r="AL21" s="41">
        <v>0</v>
      </c>
      <c r="AM21" s="41"/>
      <c r="AN21" s="62">
        <f>SUM(E21:AM21)</f>
        <v>0</v>
      </c>
      <c r="AO21" s="41"/>
      <c r="AP21" s="259">
        <f>AN21-'FY21'!S21</f>
        <v>0</v>
      </c>
    </row>
    <row r="22" spans="1:42" s="37" customFormat="1" ht="12" x14ac:dyDescent="0.2">
      <c r="A22" s="45"/>
      <c r="C22" s="38"/>
      <c r="E22" s="50">
        <f t="shared" ref="E22:AL22" si="6">SUBTOTAL(9,E19:E21)</f>
        <v>0</v>
      </c>
      <c r="F22" s="50">
        <f>SUBTOTAL(9,F19:F21)</f>
        <v>0</v>
      </c>
      <c r="G22" s="50">
        <f>SUBTOTAL(9,G19:G21)</f>
        <v>0</v>
      </c>
      <c r="H22" s="50">
        <f t="shared" si="6"/>
        <v>0</v>
      </c>
      <c r="I22" s="50">
        <f t="shared" si="6"/>
        <v>0</v>
      </c>
      <c r="J22" s="50">
        <f t="shared" si="6"/>
        <v>0</v>
      </c>
      <c r="K22" s="50">
        <f t="shared" si="6"/>
        <v>0</v>
      </c>
      <c r="L22" s="50">
        <f t="shared" si="6"/>
        <v>0</v>
      </c>
      <c r="M22" s="50">
        <f t="shared" si="6"/>
        <v>0</v>
      </c>
      <c r="N22" s="50">
        <f t="shared" si="6"/>
        <v>0</v>
      </c>
      <c r="O22" s="50">
        <f t="shared" si="6"/>
        <v>0</v>
      </c>
      <c r="P22" s="50">
        <f t="shared" ref="P22" si="7">SUBTOTAL(9,P19:P21)</f>
        <v>0</v>
      </c>
      <c r="Q22" s="50">
        <f t="shared" si="6"/>
        <v>0</v>
      </c>
      <c r="R22" s="50">
        <f t="shared" ref="R22:AG22" si="8">SUBTOTAL(9,R19:R21)</f>
        <v>0</v>
      </c>
      <c r="S22" s="50">
        <f t="shared" si="8"/>
        <v>0</v>
      </c>
      <c r="T22" s="50">
        <f t="shared" si="8"/>
        <v>0</v>
      </c>
      <c r="U22" s="50">
        <f t="shared" si="8"/>
        <v>0</v>
      </c>
      <c r="V22" s="50">
        <f t="shared" si="8"/>
        <v>0</v>
      </c>
      <c r="W22" s="50">
        <f t="shared" si="8"/>
        <v>0</v>
      </c>
      <c r="X22" s="50">
        <f t="shared" si="8"/>
        <v>0</v>
      </c>
      <c r="Y22" s="50">
        <f t="shared" si="8"/>
        <v>0</v>
      </c>
      <c r="Z22" s="50">
        <f t="shared" si="8"/>
        <v>0</v>
      </c>
      <c r="AA22" s="50">
        <f t="shared" si="8"/>
        <v>0</v>
      </c>
      <c r="AB22" s="50">
        <f t="shared" si="8"/>
        <v>0</v>
      </c>
      <c r="AC22" s="50">
        <f t="shared" si="8"/>
        <v>0</v>
      </c>
      <c r="AD22" s="50">
        <f>SUBTOTAL(9,AD19:AD21)</f>
        <v>0</v>
      </c>
      <c r="AE22" s="50">
        <f t="shared" si="8"/>
        <v>0</v>
      </c>
      <c r="AF22" s="50">
        <f t="shared" si="8"/>
        <v>0</v>
      </c>
      <c r="AG22" s="50">
        <f t="shared" si="8"/>
        <v>0</v>
      </c>
      <c r="AH22" s="50">
        <f t="shared" si="6"/>
        <v>0</v>
      </c>
      <c r="AI22" s="50">
        <f t="shared" si="6"/>
        <v>0</v>
      </c>
      <c r="AJ22" s="50">
        <f t="shared" si="6"/>
        <v>0</v>
      </c>
      <c r="AK22" s="50">
        <f t="shared" si="6"/>
        <v>0</v>
      </c>
      <c r="AL22" s="50">
        <f t="shared" si="6"/>
        <v>0</v>
      </c>
      <c r="AM22" s="41"/>
      <c r="AN22" s="61">
        <f>SUBTOTAL(9,AN19:AN21)</f>
        <v>0</v>
      </c>
      <c r="AO22" s="41"/>
      <c r="AP22" s="259">
        <f>AN22-'FY21'!S22</f>
        <v>0</v>
      </c>
    </row>
    <row r="23" spans="1:42" s="37" customFormat="1" ht="12" x14ac:dyDescent="0.2">
      <c r="A23" s="45"/>
      <c r="C23" s="49" t="s">
        <v>150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41"/>
      <c r="AN23" s="62"/>
      <c r="AO23" s="41"/>
      <c r="AP23" s="259">
        <f>AN23-'FY21'!S23</f>
        <v>0</v>
      </c>
    </row>
    <row r="24" spans="1:42" s="37" customFormat="1" ht="12" x14ac:dyDescent="0.2">
      <c r="A24" s="45"/>
      <c r="C24" s="199">
        <v>1790</v>
      </c>
      <c r="D24" s="37" t="s">
        <v>4</v>
      </c>
      <c r="E24" s="39">
        <f>'FY21'!S24</f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0</v>
      </c>
      <c r="AD24" s="39">
        <v>0</v>
      </c>
      <c r="AE24" s="39">
        <v>0</v>
      </c>
      <c r="AF24" s="39">
        <v>0</v>
      </c>
      <c r="AG24" s="39">
        <v>0</v>
      </c>
      <c r="AH24" s="39">
        <v>0</v>
      </c>
      <c r="AI24" s="39">
        <v>0</v>
      </c>
      <c r="AJ24" s="39">
        <v>0</v>
      </c>
      <c r="AK24" s="39">
        <v>0</v>
      </c>
      <c r="AL24" s="39">
        <v>0</v>
      </c>
      <c r="AM24" s="41"/>
      <c r="AN24" s="59">
        <f>SUM(E24:AM24)</f>
        <v>0</v>
      </c>
      <c r="AO24" s="41"/>
      <c r="AP24" s="259">
        <f>AN24-'FY21'!S24</f>
        <v>0</v>
      </c>
    </row>
    <row r="25" spans="1:42" s="37" customFormat="1" ht="12" x14ac:dyDescent="0.2">
      <c r="A25" s="45"/>
      <c r="C25" s="38"/>
      <c r="E25" s="50">
        <f t="shared" ref="E25:AN25" si="9">SUBTOTAL(9,E24)</f>
        <v>0</v>
      </c>
      <c r="F25" s="50">
        <f>SUBTOTAL(9,F24)</f>
        <v>0</v>
      </c>
      <c r="G25" s="50">
        <f>SUBTOTAL(9,G24)</f>
        <v>0</v>
      </c>
      <c r="H25" s="50">
        <f t="shared" si="9"/>
        <v>0</v>
      </c>
      <c r="I25" s="50">
        <f t="shared" si="9"/>
        <v>0</v>
      </c>
      <c r="J25" s="50">
        <f t="shared" si="9"/>
        <v>0</v>
      </c>
      <c r="K25" s="50">
        <f t="shared" si="9"/>
        <v>0</v>
      </c>
      <c r="L25" s="50">
        <f t="shared" si="9"/>
        <v>0</v>
      </c>
      <c r="M25" s="50">
        <f t="shared" si="9"/>
        <v>0</v>
      </c>
      <c r="N25" s="50">
        <f t="shared" si="9"/>
        <v>0</v>
      </c>
      <c r="O25" s="50">
        <f t="shared" si="9"/>
        <v>0</v>
      </c>
      <c r="P25" s="50">
        <f t="shared" ref="P25" si="10">SUBTOTAL(9,P24)</f>
        <v>0</v>
      </c>
      <c r="Q25" s="50">
        <f t="shared" si="9"/>
        <v>0</v>
      </c>
      <c r="R25" s="50">
        <f t="shared" ref="R25:AG25" si="11">SUBTOTAL(9,R24)</f>
        <v>0</v>
      </c>
      <c r="S25" s="50">
        <f t="shared" si="11"/>
        <v>0</v>
      </c>
      <c r="T25" s="50">
        <f t="shared" si="11"/>
        <v>0</v>
      </c>
      <c r="U25" s="50">
        <f t="shared" si="11"/>
        <v>0</v>
      </c>
      <c r="V25" s="50">
        <f t="shared" si="11"/>
        <v>0</v>
      </c>
      <c r="W25" s="50">
        <f t="shared" si="11"/>
        <v>0</v>
      </c>
      <c r="X25" s="50">
        <f t="shared" si="11"/>
        <v>0</v>
      </c>
      <c r="Y25" s="50">
        <f t="shared" si="11"/>
        <v>0</v>
      </c>
      <c r="Z25" s="50">
        <f t="shared" si="11"/>
        <v>0</v>
      </c>
      <c r="AA25" s="50">
        <f t="shared" si="11"/>
        <v>0</v>
      </c>
      <c r="AB25" s="50">
        <f t="shared" si="11"/>
        <v>0</v>
      </c>
      <c r="AC25" s="50">
        <f t="shared" si="11"/>
        <v>0</v>
      </c>
      <c r="AD25" s="50">
        <f t="shared" si="11"/>
        <v>0</v>
      </c>
      <c r="AE25" s="50">
        <f t="shared" si="11"/>
        <v>0</v>
      </c>
      <c r="AF25" s="50">
        <f t="shared" si="11"/>
        <v>0</v>
      </c>
      <c r="AG25" s="50">
        <f t="shared" si="11"/>
        <v>0</v>
      </c>
      <c r="AH25" s="50">
        <f t="shared" si="9"/>
        <v>0</v>
      </c>
      <c r="AI25" s="50">
        <f t="shared" si="9"/>
        <v>0</v>
      </c>
      <c r="AJ25" s="50">
        <f t="shared" si="9"/>
        <v>0</v>
      </c>
      <c r="AK25" s="50">
        <f t="shared" si="9"/>
        <v>0</v>
      </c>
      <c r="AL25" s="50">
        <f t="shared" si="9"/>
        <v>0</v>
      </c>
      <c r="AM25" s="41"/>
      <c r="AN25" s="61">
        <f t="shared" si="9"/>
        <v>0</v>
      </c>
      <c r="AO25" s="41"/>
      <c r="AP25" s="259">
        <f>AN25-'FY21'!S25</f>
        <v>0</v>
      </c>
    </row>
    <row r="26" spans="1:42" s="37" customFormat="1" ht="9" customHeight="1" x14ac:dyDescent="0.2">
      <c r="A26" s="45"/>
      <c r="C26" s="38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41"/>
      <c r="AN26" s="59"/>
      <c r="AO26" s="41"/>
      <c r="AP26" s="259">
        <f>AN26-'FY21'!S26</f>
        <v>0</v>
      </c>
    </row>
    <row r="27" spans="1:42" s="45" customFormat="1" ht="12" x14ac:dyDescent="0.2">
      <c r="A27" s="45" t="s">
        <v>105</v>
      </c>
      <c r="C27" s="46"/>
      <c r="E27" s="43">
        <f t="shared" ref="E27:AL27" si="12">SUBTOTAL(9,E8:E26)</f>
        <v>443519.99999999994</v>
      </c>
      <c r="F27" s="43">
        <f>SUBTOTAL(9,F8:F26)</f>
        <v>0</v>
      </c>
      <c r="G27" s="43">
        <f>SUBTOTAL(9,G8:G26)</f>
        <v>0</v>
      </c>
      <c r="H27" s="43">
        <f t="shared" si="12"/>
        <v>0</v>
      </c>
      <c r="I27" s="43">
        <f t="shared" si="12"/>
        <v>0</v>
      </c>
      <c r="J27" s="43">
        <f t="shared" si="12"/>
        <v>0</v>
      </c>
      <c r="K27" s="43">
        <f t="shared" si="12"/>
        <v>0</v>
      </c>
      <c r="L27" s="43">
        <f t="shared" si="12"/>
        <v>0</v>
      </c>
      <c r="M27" s="43">
        <f t="shared" si="12"/>
        <v>0</v>
      </c>
      <c r="N27" s="43">
        <f t="shared" si="12"/>
        <v>0</v>
      </c>
      <c r="O27" s="43">
        <f t="shared" si="12"/>
        <v>0</v>
      </c>
      <c r="P27" s="43">
        <f t="shared" ref="P27" si="13">SUBTOTAL(9,P8:P26)</f>
        <v>0</v>
      </c>
      <c r="Q27" s="43">
        <f t="shared" si="12"/>
        <v>0</v>
      </c>
      <c r="R27" s="43">
        <f t="shared" ref="R27:AG27" si="14">SUBTOTAL(9,R8:R26)</f>
        <v>0</v>
      </c>
      <c r="S27" s="43">
        <f t="shared" si="14"/>
        <v>0</v>
      </c>
      <c r="T27" s="43">
        <f t="shared" si="14"/>
        <v>0</v>
      </c>
      <c r="U27" s="43">
        <f t="shared" si="14"/>
        <v>0</v>
      </c>
      <c r="V27" s="43">
        <f t="shared" si="14"/>
        <v>0</v>
      </c>
      <c r="W27" s="43">
        <f t="shared" si="14"/>
        <v>0</v>
      </c>
      <c r="X27" s="43">
        <f t="shared" si="14"/>
        <v>0</v>
      </c>
      <c r="Y27" s="43">
        <f t="shared" si="14"/>
        <v>192</v>
      </c>
      <c r="Z27" s="43">
        <f t="shared" si="14"/>
        <v>0</v>
      </c>
      <c r="AA27" s="43">
        <f t="shared" si="14"/>
        <v>51000</v>
      </c>
      <c r="AB27" s="43">
        <f t="shared" si="14"/>
        <v>0</v>
      </c>
      <c r="AC27" s="43">
        <f t="shared" si="14"/>
        <v>0</v>
      </c>
      <c r="AD27" s="43">
        <f t="shared" si="14"/>
        <v>0</v>
      </c>
      <c r="AE27" s="43">
        <f t="shared" si="14"/>
        <v>0</v>
      </c>
      <c r="AF27" s="43">
        <f t="shared" si="14"/>
        <v>0</v>
      </c>
      <c r="AG27" s="43">
        <f t="shared" si="14"/>
        <v>0</v>
      </c>
      <c r="AH27" s="43">
        <f t="shared" si="12"/>
        <v>0</v>
      </c>
      <c r="AI27" s="43">
        <f t="shared" si="12"/>
        <v>0</v>
      </c>
      <c r="AJ27" s="43">
        <f t="shared" si="12"/>
        <v>0</v>
      </c>
      <c r="AK27" s="43">
        <f t="shared" si="12"/>
        <v>0</v>
      </c>
      <c r="AL27" s="43">
        <f t="shared" si="12"/>
        <v>0</v>
      </c>
      <c r="AM27" s="48"/>
      <c r="AN27" s="60">
        <f>SUBTOTAL(9,AN8:AN26)</f>
        <v>494711.99999999994</v>
      </c>
      <c r="AO27" s="48"/>
      <c r="AP27" s="259">
        <f>AN27-'FY21'!S27</f>
        <v>0</v>
      </c>
    </row>
    <row r="28" spans="1:42" s="45" customFormat="1" ht="12" x14ac:dyDescent="0.2">
      <c r="C28" s="46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8"/>
      <c r="AN28" s="59"/>
      <c r="AO28" s="48"/>
      <c r="AP28" s="259">
        <f>AN28-'FY21'!S28</f>
        <v>0</v>
      </c>
    </row>
    <row r="29" spans="1:42" s="37" customFormat="1" ht="12" x14ac:dyDescent="0.2">
      <c r="A29" s="45" t="s">
        <v>59</v>
      </c>
      <c r="C29" s="3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41"/>
      <c r="AN29" s="59"/>
      <c r="AO29" s="41"/>
      <c r="AP29" s="259">
        <f>AN29-'FY21'!S29</f>
        <v>0</v>
      </c>
    </row>
    <row r="30" spans="1:42" s="37" customFormat="1" ht="12" x14ac:dyDescent="0.2">
      <c r="C30" s="49" t="s">
        <v>8</v>
      </c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41"/>
      <c r="AN30" s="59"/>
      <c r="AO30" s="41"/>
      <c r="AP30" s="259">
        <f>AN30-'FY21'!S30</f>
        <v>0</v>
      </c>
    </row>
    <row r="31" spans="1:42" s="37" customFormat="1" ht="12" x14ac:dyDescent="0.2">
      <c r="C31" s="199">
        <v>6111</v>
      </c>
      <c r="D31" s="37" t="s">
        <v>192</v>
      </c>
      <c r="E31" s="39">
        <v>0</v>
      </c>
      <c r="F31" s="370">
        <f>'FY21'!S31</f>
        <v>70273.646999999997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0</v>
      </c>
      <c r="AE31" s="39">
        <v>0</v>
      </c>
      <c r="AF31" s="39">
        <v>0</v>
      </c>
      <c r="AG31" s="39">
        <v>0</v>
      </c>
      <c r="AH31" s="39">
        <v>0</v>
      </c>
      <c r="AI31" s="39">
        <v>0</v>
      </c>
      <c r="AJ31" s="39">
        <v>0</v>
      </c>
      <c r="AK31" s="39">
        <v>0</v>
      </c>
      <c r="AL31" s="39">
        <v>0</v>
      </c>
      <c r="AM31" s="41"/>
      <c r="AN31" s="59">
        <f t="shared" ref="AN31:AN40" si="15">SUM(E31:AM31)</f>
        <v>70273.646999999997</v>
      </c>
      <c r="AO31" s="41"/>
      <c r="AP31" s="259">
        <f>AN31-'FY21'!S31</f>
        <v>0</v>
      </c>
    </row>
    <row r="32" spans="1:42" s="37" customFormat="1" ht="12" x14ac:dyDescent="0.2">
      <c r="C32" s="199">
        <v>6114</v>
      </c>
      <c r="D32" s="37" t="s">
        <v>193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70">
        <f>'FY21'!S32</f>
        <v>21862.5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0</v>
      </c>
      <c r="AE32" s="39">
        <v>0</v>
      </c>
      <c r="AF32" s="39">
        <v>0</v>
      </c>
      <c r="AG32" s="39">
        <v>0</v>
      </c>
      <c r="AH32" s="39">
        <v>0</v>
      </c>
      <c r="AI32" s="39">
        <v>0</v>
      </c>
      <c r="AJ32" s="39">
        <v>0</v>
      </c>
      <c r="AK32" s="39">
        <v>0</v>
      </c>
      <c r="AL32" s="39">
        <v>0</v>
      </c>
      <c r="AM32" s="41"/>
      <c r="AN32" s="59">
        <f t="shared" si="15"/>
        <v>21862.5</v>
      </c>
      <c r="AO32" s="41"/>
      <c r="AP32" s="259">
        <f>AN32-'FY21'!S32</f>
        <v>0</v>
      </c>
    </row>
    <row r="33" spans="3:42" s="37" customFormat="1" ht="12" x14ac:dyDescent="0.2">
      <c r="C33" s="199">
        <v>6117</v>
      </c>
      <c r="D33" s="37" t="s">
        <v>229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70">
        <f>'FY21'!S33</f>
        <v>40320.945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39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0</v>
      </c>
      <c r="AE33" s="39">
        <v>0</v>
      </c>
      <c r="AF33" s="39">
        <v>0</v>
      </c>
      <c r="AG33" s="39">
        <v>0</v>
      </c>
      <c r="AH33" s="39">
        <v>0</v>
      </c>
      <c r="AI33" s="39">
        <v>0</v>
      </c>
      <c r="AJ33" s="39">
        <v>0</v>
      </c>
      <c r="AK33" s="39">
        <v>0</v>
      </c>
      <c r="AL33" s="39">
        <v>0</v>
      </c>
      <c r="AM33" s="41"/>
      <c r="AN33" s="59">
        <f t="shared" si="15"/>
        <v>40320.945</v>
      </c>
      <c r="AO33" s="41"/>
      <c r="AP33" s="259">
        <f>AN33-'FY21'!S33</f>
        <v>0</v>
      </c>
    </row>
    <row r="34" spans="3:42" s="37" customFormat="1" ht="12" x14ac:dyDescent="0.2">
      <c r="C34" s="199">
        <v>6127</v>
      </c>
      <c r="D34" s="37" t="s">
        <v>230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70">
        <f>'FY21'!S34</f>
        <v>10400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39">
        <v>0</v>
      </c>
      <c r="U34" s="39">
        <v>0</v>
      </c>
      <c r="V34" s="39">
        <v>0</v>
      </c>
      <c r="W34" s="39">
        <v>0</v>
      </c>
      <c r="X34" s="39">
        <v>0</v>
      </c>
      <c r="Y34" s="39">
        <v>0</v>
      </c>
      <c r="Z34" s="39">
        <v>0</v>
      </c>
      <c r="AA34" s="39">
        <v>0</v>
      </c>
      <c r="AB34" s="39">
        <v>0</v>
      </c>
      <c r="AC34" s="39">
        <v>0</v>
      </c>
      <c r="AD34" s="39">
        <v>0</v>
      </c>
      <c r="AE34" s="39">
        <v>0</v>
      </c>
      <c r="AF34" s="39">
        <v>0</v>
      </c>
      <c r="AG34" s="39">
        <v>0</v>
      </c>
      <c r="AH34" s="39">
        <v>0</v>
      </c>
      <c r="AI34" s="39">
        <v>0</v>
      </c>
      <c r="AJ34" s="39">
        <v>0</v>
      </c>
      <c r="AK34" s="39">
        <v>0</v>
      </c>
      <c r="AL34" s="39">
        <v>0</v>
      </c>
      <c r="AM34" s="41"/>
      <c r="AN34" s="59">
        <f t="shared" si="15"/>
        <v>10400</v>
      </c>
      <c r="AO34" s="41"/>
      <c r="AP34" s="259">
        <f>AN34-'FY21'!S34</f>
        <v>0</v>
      </c>
    </row>
    <row r="35" spans="3:42" s="37" customFormat="1" ht="12" x14ac:dyDescent="0.2">
      <c r="C35" s="199">
        <v>6151</v>
      </c>
      <c r="D35" s="37" t="s">
        <v>190</v>
      </c>
      <c r="E35" s="39">
        <v>0</v>
      </c>
      <c r="F35" s="370">
        <f>'FY21'!S35</f>
        <v>4200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39">
        <v>0</v>
      </c>
      <c r="S35" s="39">
        <v>0</v>
      </c>
      <c r="T35" s="39">
        <v>0</v>
      </c>
      <c r="U35" s="39">
        <v>0</v>
      </c>
      <c r="V35" s="39">
        <v>0</v>
      </c>
      <c r="W35" s="39">
        <v>0</v>
      </c>
      <c r="X35" s="39">
        <v>0</v>
      </c>
      <c r="Y35" s="39">
        <v>0</v>
      </c>
      <c r="Z35" s="39">
        <v>0</v>
      </c>
      <c r="AA35" s="39">
        <v>0</v>
      </c>
      <c r="AB35" s="39">
        <v>0</v>
      </c>
      <c r="AC35" s="39">
        <v>0</v>
      </c>
      <c r="AD35" s="39">
        <v>0</v>
      </c>
      <c r="AE35" s="39">
        <v>0</v>
      </c>
      <c r="AF35" s="39">
        <v>0</v>
      </c>
      <c r="AG35" s="39">
        <v>0</v>
      </c>
      <c r="AH35" s="39">
        <v>0</v>
      </c>
      <c r="AI35" s="39">
        <v>0</v>
      </c>
      <c r="AJ35" s="39">
        <v>0</v>
      </c>
      <c r="AK35" s="39">
        <v>0</v>
      </c>
      <c r="AL35" s="39">
        <v>0</v>
      </c>
      <c r="AM35" s="41"/>
      <c r="AN35" s="59">
        <f t="shared" si="15"/>
        <v>4200</v>
      </c>
      <c r="AO35" s="41"/>
      <c r="AP35" s="259">
        <f>AN35-'FY21'!S35</f>
        <v>0</v>
      </c>
    </row>
    <row r="36" spans="3:42" s="37" customFormat="1" ht="12" x14ac:dyDescent="0.2">
      <c r="C36" s="199">
        <v>6154</v>
      </c>
      <c r="D36" s="37" t="s">
        <v>191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70">
        <f>'FY21'!S36</f>
        <v>1590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39">
        <v>0</v>
      </c>
      <c r="X36" s="39">
        <v>0</v>
      </c>
      <c r="Y36" s="39">
        <v>0</v>
      </c>
      <c r="Z36" s="39">
        <v>0</v>
      </c>
      <c r="AA36" s="39">
        <v>0</v>
      </c>
      <c r="AB36" s="39">
        <v>0</v>
      </c>
      <c r="AC36" s="39">
        <v>0</v>
      </c>
      <c r="AD36" s="39">
        <v>0</v>
      </c>
      <c r="AE36" s="39">
        <v>0</v>
      </c>
      <c r="AF36" s="39">
        <v>0</v>
      </c>
      <c r="AG36" s="39">
        <v>0</v>
      </c>
      <c r="AH36" s="39">
        <v>0</v>
      </c>
      <c r="AI36" s="39">
        <v>0</v>
      </c>
      <c r="AJ36" s="39">
        <v>0</v>
      </c>
      <c r="AK36" s="39">
        <v>0</v>
      </c>
      <c r="AL36" s="39">
        <v>0</v>
      </c>
      <c r="AM36" s="41"/>
      <c r="AN36" s="59">
        <f t="shared" si="15"/>
        <v>1590</v>
      </c>
      <c r="AO36" s="41"/>
      <c r="AP36" s="259">
        <f>AN36-'FY21'!S36</f>
        <v>0</v>
      </c>
    </row>
    <row r="37" spans="3:42" s="37" customFormat="1" ht="12" x14ac:dyDescent="0.2">
      <c r="C37" s="199">
        <v>6157</v>
      </c>
      <c r="D37" s="37" t="s">
        <v>231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70">
        <f>'FY21'!S37</f>
        <v>3000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39">
        <v>0</v>
      </c>
      <c r="V37" s="39">
        <v>0</v>
      </c>
      <c r="W37" s="39">
        <v>0</v>
      </c>
      <c r="X37" s="39">
        <v>0</v>
      </c>
      <c r="Y37" s="39">
        <v>0</v>
      </c>
      <c r="Z37" s="39">
        <v>0</v>
      </c>
      <c r="AA37" s="39">
        <v>0</v>
      </c>
      <c r="AB37" s="39">
        <v>0</v>
      </c>
      <c r="AC37" s="39">
        <v>0</v>
      </c>
      <c r="AD37" s="39">
        <v>0</v>
      </c>
      <c r="AE37" s="39">
        <v>0</v>
      </c>
      <c r="AF37" s="39">
        <v>0</v>
      </c>
      <c r="AG37" s="39">
        <v>0</v>
      </c>
      <c r="AH37" s="39">
        <v>0</v>
      </c>
      <c r="AI37" s="39">
        <v>0</v>
      </c>
      <c r="AJ37" s="39">
        <v>0</v>
      </c>
      <c r="AK37" s="39">
        <v>0</v>
      </c>
      <c r="AL37" s="39">
        <v>0</v>
      </c>
      <c r="AM37" s="41"/>
      <c r="AN37" s="59">
        <f t="shared" si="15"/>
        <v>3000</v>
      </c>
      <c r="AO37" s="41"/>
      <c r="AP37" s="259">
        <f>AN37-'FY21'!S37</f>
        <v>0</v>
      </c>
    </row>
    <row r="38" spans="3:42" s="37" customFormat="1" ht="12" x14ac:dyDescent="0.2">
      <c r="C38" s="199">
        <v>6161</v>
      </c>
      <c r="D38" s="37" t="s">
        <v>97</v>
      </c>
      <c r="E38" s="39">
        <v>0</v>
      </c>
      <c r="F38" s="370">
        <f>'FY21'!S38</f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9">
        <v>0</v>
      </c>
      <c r="S38" s="39">
        <v>0</v>
      </c>
      <c r="T38" s="39">
        <v>0</v>
      </c>
      <c r="U38" s="39">
        <v>0</v>
      </c>
      <c r="V38" s="39">
        <v>0</v>
      </c>
      <c r="W38" s="39">
        <v>0</v>
      </c>
      <c r="X38" s="39">
        <v>0</v>
      </c>
      <c r="Y38" s="39">
        <v>0</v>
      </c>
      <c r="Z38" s="39">
        <v>0</v>
      </c>
      <c r="AA38" s="39">
        <v>0</v>
      </c>
      <c r="AB38" s="39">
        <v>0</v>
      </c>
      <c r="AC38" s="39">
        <v>0</v>
      </c>
      <c r="AD38" s="39">
        <v>0</v>
      </c>
      <c r="AE38" s="39">
        <v>0</v>
      </c>
      <c r="AF38" s="39">
        <v>0</v>
      </c>
      <c r="AG38" s="39">
        <v>0</v>
      </c>
      <c r="AH38" s="39">
        <v>0</v>
      </c>
      <c r="AI38" s="39">
        <v>0</v>
      </c>
      <c r="AJ38" s="39">
        <v>0</v>
      </c>
      <c r="AK38" s="39">
        <v>0</v>
      </c>
      <c r="AL38" s="39">
        <v>0</v>
      </c>
      <c r="AM38" s="41"/>
      <c r="AN38" s="59">
        <f t="shared" si="15"/>
        <v>0</v>
      </c>
      <c r="AO38" s="41"/>
      <c r="AP38" s="259">
        <f>AN38-'FY21'!S38</f>
        <v>0</v>
      </c>
    </row>
    <row r="39" spans="3:42" s="37" customFormat="1" ht="12" x14ac:dyDescent="0.2">
      <c r="C39" s="199">
        <v>6164</v>
      </c>
      <c r="D39" s="37" t="s">
        <v>98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70">
        <f>'FY21'!S39</f>
        <v>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39">
        <v>0</v>
      </c>
      <c r="U39" s="39">
        <v>0</v>
      </c>
      <c r="V39" s="39">
        <v>0</v>
      </c>
      <c r="W39" s="39">
        <v>0</v>
      </c>
      <c r="X39" s="39">
        <v>0</v>
      </c>
      <c r="Y39" s="39">
        <v>0</v>
      </c>
      <c r="Z39" s="39">
        <v>0</v>
      </c>
      <c r="AA39" s="39">
        <v>0</v>
      </c>
      <c r="AB39" s="39">
        <v>0</v>
      </c>
      <c r="AC39" s="39">
        <v>0</v>
      </c>
      <c r="AD39" s="39">
        <v>0</v>
      </c>
      <c r="AE39" s="39">
        <v>0</v>
      </c>
      <c r="AF39" s="39">
        <v>0</v>
      </c>
      <c r="AG39" s="39">
        <v>0</v>
      </c>
      <c r="AH39" s="39">
        <v>0</v>
      </c>
      <c r="AI39" s="39">
        <v>0</v>
      </c>
      <c r="AJ39" s="39">
        <v>0</v>
      </c>
      <c r="AK39" s="39">
        <v>0</v>
      </c>
      <c r="AL39" s="39">
        <v>0</v>
      </c>
      <c r="AM39" s="41"/>
      <c r="AN39" s="59">
        <f t="shared" si="15"/>
        <v>0</v>
      </c>
      <c r="AO39" s="41"/>
      <c r="AP39" s="259">
        <f>AN39-'FY21'!S39</f>
        <v>0</v>
      </c>
    </row>
    <row r="40" spans="3:42" s="37" customFormat="1" ht="12" x14ac:dyDescent="0.2">
      <c r="C40" s="199">
        <v>6167</v>
      </c>
      <c r="D40" s="37" t="s">
        <v>232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70">
        <f>'FY21'!S40</f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0</v>
      </c>
      <c r="AD40" s="39">
        <v>0</v>
      </c>
      <c r="AE40" s="39">
        <v>0</v>
      </c>
      <c r="AF40" s="39">
        <v>0</v>
      </c>
      <c r="AG40" s="39">
        <v>0</v>
      </c>
      <c r="AH40" s="39">
        <v>0</v>
      </c>
      <c r="AI40" s="39">
        <v>0</v>
      </c>
      <c r="AJ40" s="39">
        <v>0</v>
      </c>
      <c r="AK40" s="39">
        <v>0</v>
      </c>
      <c r="AL40" s="39">
        <v>0</v>
      </c>
      <c r="AM40" s="41"/>
      <c r="AN40" s="59">
        <f t="shared" si="15"/>
        <v>0</v>
      </c>
      <c r="AO40" s="41"/>
      <c r="AP40" s="259">
        <f>AN40-'FY21'!S40</f>
        <v>0</v>
      </c>
    </row>
    <row r="41" spans="3:42" s="37" customFormat="1" ht="12" x14ac:dyDescent="0.2">
      <c r="C41" s="38"/>
      <c r="E41" s="50">
        <f t="shared" ref="E41:AL41" si="16">SUBTOTAL(9,E31:E40)</f>
        <v>0</v>
      </c>
      <c r="F41" s="50">
        <f t="shared" si="16"/>
        <v>74473.646999999997</v>
      </c>
      <c r="G41" s="50">
        <f t="shared" si="16"/>
        <v>0</v>
      </c>
      <c r="H41" s="50">
        <f t="shared" si="16"/>
        <v>0</v>
      </c>
      <c r="I41" s="50">
        <f t="shared" si="16"/>
        <v>0</v>
      </c>
      <c r="J41" s="50">
        <f t="shared" si="16"/>
        <v>0</v>
      </c>
      <c r="K41" s="50">
        <f t="shared" si="16"/>
        <v>0</v>
      </c>
      <c r="L41" s="50">
        <f t="shared" si="16"/>
        <v>0</v>
      </c>
      <c r="M41" s="50">
        <f t="shared" si="16"/>
        <v>0</v>
      </c>
      <c r="N41" s="50">
        <f t="shared" si="16"/>
        <v>77173.445000000007</v>
      </c>
      <c r="O41" s="50">
        <f t="shared" si="16"/>
        <v>0</v>
      </c>
      <c r="P41" s="50">
        <f t="shared" si="16"/>
        <v>0</v>
      </c>
      <c r="Q41" s="50">
        <f t="shared" si="16"/>
        <v>0</v>
      </c>
      <c r="R41" s="50">
        <f t="shared" si="16"/>
        <v>0</v>
      </c>
      <c r="S41" s="50">
        <f t="shared" si="16"/>
        <v>0</v>
      </c>
      <c r="T41" s="50">
        <f t="shared" si="16"/>
        <v>0</v>
      </c>
      <c r="U41" s="50">
        <f t="shared" si="16"/>
        <v>0</v>
      </c>
      <c r="V41" s="50">
        <f t="shared" si="16"/>
        <v>0</v>
      </c>
      <c r="W41" s="50">
        <f t="shared" si="16"/>
        <v>0</v>
      </c>
      <c r="X41" s="50">
        <f t="shared" si="16"/>
        <v>0</v>
      </c>
      <c r="Y41" s="50">
        <f t="shared" si="16"/>
        <v>0</v>
      </c>
      <c r="Z41" s="50">
        <f t="shared" si="16"/>
        <v>0</v>
      </c>
      <c r="AA41" s="50">
        <f t="shared" si="16"/>
        <v>0</v>
      </c>
      <c r="AB41" s="50">
        <f t="shared" si="16"/>
        <v>0</v>
      </c>
      <c r="AC41" s="50">
        <f t="shared" si="16"/>
        <v>0</v>
      </c>
      <c r="AD41" s="50">
        <f t="shared" si="16"/>
        <v>0</v>
      </c>
      <c r="AE41" s="50">
        <f t="shared" si="16"/>
        <v>0</v>
      </c>
      <c r="AF41" s="50">
        <f t="shared" si="16"/>
        <v>0</v>
      </c>
      <c r="AG41" s="50">
        <f t="shared" si="16"/>
        <v>0</v>
      </c>
      <c r="AH41" s="50">
        <f t="shared" si="16"/>
        <v>0</v>
      </c>
      <c r="AI41" s="50">
        <f t="shared" si="16"/>
        <v>0</v>
      </c>
      <c r="AJ41" s="50">
        <f t="shared" si="16"/>
        <v>0</v>
      </c>
      <c r="AK41" s="50">
        <f t="shared" si="16"/>
        <v>0</v>
      </c>
      <c r="AL41" s="50">
        <f t="shared" si="16"/>
        <v>0</v>
      </c>
      <c r="AM41" s="41"/>
      <c r="AN41" s="61">
        <f>SUBTOTAL(9,AN31:AN40)</f>
        <v>151647.092</v>
      </c>
      <c r="AO41" s="41"/>
      <c r="AP41" s="259">
        <f>AN41-'FY21'!S41</f>
        <v>0</v>
      </c>
    </row>
    <row r="42" spans="3:42" s="37" customFormat="1" ht="12" x14ac:dyDescent="0.2">
      <c r="C42" s="49" t="s">
        <v>99</v>
      </c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41"/>
      <c r="AN42" s="59"/>
      <c r="AO42" s="41"/>
      <c r="AP42" s="259">
        <f>AN42-'FY21'!S42</f>
        <v>0</v>
      </c>
    </row>
    <row r="43" spans="3:42" s="37" customFormat="1" ht="12" x14ac:dyDescent="0.2">
      <c r="C43" s="199">
        <v>6211</v>
      </c>
      <c r="D43" s="37" t="s">
        <v>199</v>
      </c>
      <c r="E43" s="39">
        <v>0</v>
      </c>
      <c r="F43" s="370">
        <f>'FY21'!S43</f>
        <v>444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  <c r="Q43" s="39">
        <v>0</v>
      </c>
      <c r="R43" s="39">
        <v>0</v>
      </c>
      <c r="S43" s="39">
        <v>0</v>
      </c>
      <c r="T43" s="39">
        <v>0</v>
      </c>
      <c r="U43" s="39">
        <v>0</v>
      </c>
      <c r="V43" s="39">
        <v>0</v>
      </c>
      <c r="W43" s="39">
        <v>0</v>
      </c>
      <c r="X43" s="39">
        <v>0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0</v>
      </c>
      <c r="AE43" s="39">
        <v>0</v>
      </c>
      <c r="AF43" s="39">
        <v>0</v>
      </c>
      <c r="AG43" s="39">
        <v>0</v>
      </c>
      <c r="AH43" s="39">
        <v>0</v>
      </c>
      <c r="AI43" s="39">
        <v>0</v>
      </c>
      <c r="AJ43" s="39">
        <v>0</v>
      </c>
      <c r="AK43" s="39">
        <v>0</v>
      </c>
      <c r="AL43" s="39">
        <v>0</v>
      </c>
      <c r="AM43" s="41"/>
      <c r="AN43" s="59">
        <f t="shared" ref="AN43:AN61" si="17">SUM(E43:AM43)</f>
        <v>444</v>
      </c>
      <c r="AO43" s="41"/>
      <c r="AP43" s="259">
        <f>AN43-'FY21'!S43</f>
        <v>0</v>
      </c>
    </row>
    <row r="44" spans="3:42" s="37" customFormat="1" ht="12" x14ac:dyDescent="0.2">
      <c r="C44" s="199">
        <v>6214</v>
      </c>
      <c r="D44" s="37" t="s">
        <v>200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70">
        <f>'FY21'!S44</f>
        <v>111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  <c r="V44" s="39">
        <v>0</v>
      </c>
      <c r="W44" s="39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  <c r="AF44" s="39">
        <v>0</v>
      </c>
      <c r="AG44" s="39">
        <v>0</v>
      </c>
      <c r="AH44" s="39">
        <v>0</v>
      </c>
      <c r="AI44" s="39">
        <v>0</v>
      </c>
      <c r="AJ44" s="39">
        <v>0</v>
      </c>
      <c r="AK44" s="39">
        <v>0</v>
      </c>
      <c r="AL44" s="39">
        <v>0</v>
      </c>
      <c r="AM44" s="41"/>
      <c r="AN44" s="59">
        <f t="shared" si="17"/>
        <v>111</v>
      </c>
      <c r="AO44" s="41"/>
      <c r="AP44" s="259">
        <f>AN44-'FY21'!S44</f>
        <v>0</v>
      </c>
    </row>
    <row r="45" spans="3:42" s="37" customFormat="1" ht="12" x14ac:dyDescent="0.2">
      <c r="C45" s="199">
        <v>6217</v>
      </c>
      <c r="D45" s="37" t="s">
        <v>223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70">
        <f>'FY21'!S45</f>
        <v>444</v>
      </c>
      <c r="O45" s="39">
        <v>0</v>
      </c>
      <c r="P45" s="39">
        <v>0</v>
      </c>
      <c r="Q45" s="39">
        <v>0</v>
      </c>
      <c r="R45" s="39">
        <v>0</v>
      </c>
      <c r="S45" s="39">
        <v>0</v>
      </c>
      <c r="T45" s="39">
        <v>0</v>
      </c>
      <c r="U45" s="39">
        <v>0</v>
      </c>
      <c r="V45" s="39">
        <v>0</v>
      </c>
      <c r="W45" s="39">
        <v>0</v>
      </c>
      <c r="X45" s="39">
        <v>0</v>
      </c>
      <c r="Y45" s="39">
        <v>0</v>
      </c>
      <c r="Z45" s="39">
        <v>0</v>
      </c>
      <c r="AA45" s="39">
        <v>0</v>
      </c>
      <c r="AB45" s="39">
        <v>0</v>
      </c>
      <c r="AC45" s="39">
        <v>0</v>
      </c>
      <c r="AD45" s="39">
        <v>0</v>
      </c>
      <c r="AE45" s="39">
        <v>0</v>
      </c>
      <c r="AF45" s="39">
        <v>0</v>
      </c>
      <c r="AG45" s="39">
        <v>0</v>
      </c>
      <c r="AH45" s="39">
        <v>0</v>
      </c>
      <c r="AI45" s="39">
        <v>0</v>
      </c>
      <c r="AJ45" s="39">
        <v>0</v>
      </c>
      <c r="AK45" s="39">
        <v>0</v>
      </c>
      <c r="AL45" s="39">
        <v>0</v>
      </c>
      <c r="AM45" s="41"/>
      <c r="AN45" s="59">
        <f t="shared" si="17"/>
        <v>444</v>
      </c>
      <c r="AO45" s="41"/>
      <c r="AP45" s="259">
        <f>AN45-'FY21'!S45</f>
        <v>0</v>
      </c>
    </row>
    <row r="46" spans="3:42" s="37" customFormat="1" ht="12" x14ac:dyDescent="0.2">
      <c r="C46" s="199">
        <v>6227</v>
      </c>
      <c r="D46" s="37" t="s">
        <v>222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70">
        <f>'FY21'!S46</f>
        <v>644.80000000000007</v>
      </c>
      <c r="O46" s="39">
        <v>0</v>
      </c>
      <c r="P46" s="39">
        <v>0</v>
      </c>
      <c r="Q46" s="39">
        <v>0</v>
      </c>
      <c r="R46" s="39">
        <v>0</v>
      </c>
      <c r="S46" s="39">
        <v>0</v>
      </c>
      <c r="T46" s="39">
        <v>0</v>
      </c>
      <c r="U46" s="39">
        <v>0</v>
      </c>
      <c r="V46" s="39">
        <v>0</v>
      </c>
      <c r="W46" s="39">
        <v>0</v>
      </c>
      <c r="X46" s="39">
        <v>0</v>
      </c>
      <c r="Y46" s="39">
        <v>0</v>
      </c>
      <c r="Z46" s="39">
        <v>0</v>
      </c>
      <c r="AA46" s="39">
        <v>0</v>
      </c>
      <c r="AB46" s="39">
        <v>0</v>
      </c>
      <c r="AC46" s="39">
        <v>0</v>
      </c>
      <c r="AD46" s="39">
        <v>0</v>
      </c>
      <c r="AE46" s="39">
        <v>0</v>
      </c>
      <c r="AF46" s="39">
        <v>0</v>
      </c>
      <c r="AG46" s="39">
        <v>0</v>
      </c>
      <c r="AH46" s="39">
        <v>0</v>
      </c>
      <c r="AI46" s="39">
        <v>0</v>
      </c>
      <c r="AJ46" s="39">
        <v>0</v>
      </c>
      <c r="AK46" s="39">
        <v>0</v>
      </c>
      <c r="AL46" s="39">
        <v>0</v>
      </c>
      <c r="AM46" s="41"/>
      <c r="AN46" s="59">
        <f t="shared" si="17"/>
        <v>644.80000000000007</v>
      </c>
      <c r="AO46" s="41"/>
      <c r="AP46" s="259">
        <f>AN46-'FY21'!S46</f>
        <v>0</v>
      </c>
    </row>
    <row r="47" spans="3:42" s="37" customFormat="1" ht="12" x14ac:dyDescent="0.2">
      <c r="C47" s="199">
        <v>6231</v>
      </c>
      <c r="D47" s="37" t="s">
        <v>206</v>
      </c>
      <c r="E47" s="39">
        <v>0</v>
      </c>
      <c r="F47" s="370">
        <f>'FY21'!S47</f>
        <v>10716.731167500002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39">
        <v>0</v>
      </c>
      <c r="T47" s="39">
        <v>0</v>
      </c>
      <c r="U47" s="39">
        <v>0</v>
      </c>
      <c r="V47" s="39">
        <v>0</v>
      </c>
      <c r="W47" s="39">
        <v>0</v>
      </c>
      <c r="X47" s="39">
        <v>0</v>
      </c>
      <c r="Y47" s="39">
        <v>0</v>
      </c>
      <c r="Z47" s="39">
        <v>0</v>
      </c>
      <c r="AA47" s="39">
        <v>0</v>
      </c>
      <c r="AB47" s="39">
        <v>0</v>
      </c>
      <c r="AC47" s="39">
        <v>0</v>
      </c>
      <c r="AD47" s="39">
        <v>0</v>
      </c>
      <c r="AE47" s="39">
        <v>0</v>
      </c>
      <c r="AF47" s="39">
        <v>0</v>
      </c>
      <c r="AG47" s="39">
        <v>0</v>
      </c>
      <c r="AH47" s="39">
        <v>0</v>
      </c>
      <c r="AI47" s="39">
        <v>0</v>
      </c>
      <c r="AJ47" s="39">
        <v>0</v>
      </c>
      <c r="AK47" s="39">
        <v>0</v>
      </c>
      <c r="AL47" s="39">
        <v>0</v>
      </c>
      <c r="AM47" s="41"/>
      <c r="AN47" s="59">
        <f t="shared" si="17"/>
        <v>10716.731167500002</v>
      </c>
      <c r="AO47" s="41"/>
      <c r="AP47" s="259">
        <f>AN47-'FY21'!S47</f>
        <v>0</v>
      </c>
    </row>
    <row r="48" spans="3:42" s="37" customFormat="1" ht="12" x14ac:dyDescent="0.2">
      <c r="C48" s="199">
        <v>6234</v>
      </c>
      <c r="D48" s="37" t="s">
        <v>207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70">
        <f>'FY21'!S48</f>
        <v>6394.78125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  <c r="T48" s="39">
        <v>0</v>
      </c>
      <c r="U48" s="39">
        <v>0</v>
      </c>
      <c r="V48" s="39">
        <v>0</v>
      </c>
      <c r="W48" s="39">
        <v>0</v>
      </c>
      <c r="X48" s="39">
        <v>0</v>
      </c>
      <c r="Y48" s="39">
        <v>0</v>
      </c>
      <c r="Z48" s="39">
        <v>0</v>
      </c>
      <c r="AA48" s="39">
        <v>0</v>
      </c>
      <c r="AB48" s="39">
        <v>0</v>
      </c>
      <c r="AC48" s="39">
        <v>0</v>
      </c>
      <c r="AD48" s="39">
        <v>0</v>
      </c>
      <c r="AE48" s="39">
        <v>0</v>
      </c>
      <c r="AF48" s="39">
        <v>0</v>
      </c>
      <c r="AG48" s="39">
        <v>0</v>
      </c>
      <c r="AH48" s="39">
        <v>0</v>
      </c>
      <c r="AI48" s="39">
        <v>0</v>
      </c>
      <c r="AJ48" s="39">
        <v>0</v>
      </c>
      <c r="AK48" s="39">
        <v>0</v>
      </c>
      <c r="AL48" s="39">
        <v>0</v>
      </c>
      <c r="AM48" s="41"/>
      <c r="AN48" s="59">
        <f t="shared" si="17"/>
        <v>6394.78125</v>
      </c>
      <c r="AO48" s="41"/>
      <c r="AP48" s="259">
        <f>AN48-'FY21'!S48</f>
        <v>0</v>
      </c>
    </row>
    <row r="49" spans="3:42" s="37" customFormat="1" ht="12" x14ac:dyDescent="0.2">
      <c r="C49" s="199">
        <v>6237</v>
      </c>
      <c r="D49" s="37" t="s">
        <v>224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70">
        <f>'FY21'!S49</f>
        <v>6148.9441124999985</v>
      </c>
      <c r="O49" s="39">
        <v>0</v>
      </c>
      <c r="P49" s="39">
        <v>0</v>
      </c>
      <c r="Q49" s="39">
        <v>0</v>
      </c>
      <c r="R49" s="39">
        <v>0</v>
      </c>
      <c r="S49" s="39">
        <v>0</v>
      </c>
      <c r="T49" s="39">
        <v>0</v>
      </c>
      <c r="U49" s="39">
        <v>0</v>
      </c>
      <c r="V49" s="39">
        <v>0</v>
      </c>
      <c r="W49" s="39">
        <v>0</v>
      </c>
      <c r="X49" s="39">
        <v>0</v>
      </c>
      <c r="Y49" s="39">
        <v>0</v>
      </c>
      <c r="Z49" s="39">
        <v>0</v>
      </c>
      <c r="AA49" s="39">
        <v>0</v>
      </c>
      <c r="AB49" s="39">
        <v>0</v>
      </c>
      <c r="AC49" s="39">
        <v>0</v>
      </c>
      <c r="AD49" s="39">
        <v>0</v>
      </c>
      <c r="AE49" s="39">
        <v>0</v>
      </c>
      <c r="AF49" s="39">
        <v>0</v>
      </c>
      <c r="AG49" s="39">
        <v>0</v>
      </c>
      <c r="AH49" s="39">
        <v>0</v>
      </c>
      <c r="AI49" s="39">
        <v>0</v>
      </c>
      <c r="AJ49" s="39">
        <v>0</v>
      </c>
      <c r="AK49" s="39">
        <v>0</v>
      </c>
      <c r="AL49" s="39">
        <v>0</v>
      </c>
      <c r="AM49" s="41"/>
      <c r="AN49" s="59">
        <f t="shared" si="17"/>
        <v>6148.9441124999985</v>
      </c>
      <c r="AO49" s="41"/>
      <c r="AP49" s="259">
        <f>AN49-'FY21'!S49</f>
        <v>0</v>
      </c>
    </row>
    <row r="50" spans="3:42" s="37" customFormat="1" ht="12" x14ac:dyDescent="0.2">
      <c r="C50" s="199">
        <v>6241</v>
      </c>
      <c r="D50" s="37" t="s">
        <v>197</v>
      </c>
      <c r="E50" s="39">
        <v>0</v>
      </c>
      <c r="F50" s="370">
        <f>'FY21'!S50</f>
        <v>1079.8678815000003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  <c r="Q50" s="39">
        <v>0</v>
      </c>
      <c r="R50" s="39">
        <v>0</v>
      </c>
      <c r="S50" s="39">
        <v>0</v>
      </c>
      <c r="T50" s="39">
        <v>0</v>
      </c>
      <c r="U50" s="39">
        <v>0</v>
      </c>
      <c r="V50" s="39">
        <v>0</v>
      </c>
      <c r="W50" s="39">
        <v>0</v>
      </c>
      <c r="X50" s="39">
        <v>0</v>
      </c>
      <c r="Y50" s="39">
        <v>0</v>
      </c>
      <c r="Z50" s="39">
        <v>0</v>
      </c>
      <c r="AA50" s="39">
        <v>0</v>
      </c>
      <c r="AB50" s="39">
        <v>0</v>
      </c>
      <c r="AC50" s="39">
        <v>0</v>
      </c>
      <c r="AD50" s="39">
        <v>0</v>
      </c>
      <c r="AE50" s="39">
        <v>0</v>
      </c>
      <c r="AF50" s="39">
        <v>0</v>
      </c>
      <c r="AG50" s="39">
        <v>0</v>
      </c>
      <c r="AH50" s="39">
        <v>0</v>
      </c>
      <c r="AI50" s="39">
        <v>0</v>
      </c>
      <c r="AJ50" s="39">
        <v>0</v>
      </c>
      <c r="AK50" s="39">
        <v>0</v>
      </c>
      <c r="AL50" s="39">
        <v>0</v>
      </c>
      <c r="AM50" s="41"/>
      <c r="AN50" s="59">
        <f t="shared" si="17"/>
        <v>1079.8678815000003</v>
      </c>
      <c r="AO50" s="41"/>
      <c r="AP50" s="259">
        <f>AN50-'FY21'!S50</f>
        <v>0</v>
      </c>
    </row>
    <row r="51" spans="3:42" s="37" customFormat="1" ht="12" x14ac:dyDescent="0.2">
      <c r="C51" s="199">
        <v>6244</v>
      </c>
      <c r="D51" s="37" t="s">
        <v>198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70">
        <f>'FY21'!S51</f>
        <v>340.06125000000009</v>
      </c>
      <c r="O51" s="39">
        <v>0</v>
      </c>
      <c r="P51" s="39">
        <v>0</v>
      </c>
      <c r="Q51" s="39">
        <v>0</v>
      </c>
      <c r="R51" s="39">
        <v>0</v>
      </c>
      <c r="S51" s="39">
        <v>0</v>
      </c>
      <c r="T51" s="39">
        <v>0</v>
      </c>
      <c r="U51" s="39">
        <v>0</v>
      </c>
      <c r="V51" s="39">
        <v>0</v>
      </c>
      <c r="W51" s="39">
        <v>0</v>
      </c>
      <c r="X51" s="39">
        <v>0</v>
      </c>
      <c r="Y51" s="39">
        <v>0</v>
      </c>
      <c r="Z51" s="39">
        <v>0</v>
      </c>
      <c r="AA51" s="39">
        <v>0</v>
      </c>
      <c r="AB51" s="39">
        <v>0</v>
      </c>
      <c r="AC51" s="39">
        <v>0</v>
      </c>
      <c r="AD51" s="39">
        <v>0</v>
      </c>
      <c r="AE51" s="39">
        <v>0</v>
      </c>
      <c r="AF51" s="39">
        <v>0</v>
      </c>
      <c r="AG51" s="39">
        <v>0</v>
      </c>
      <c r="AH51" s="39">
        <v>0</v>
      </c>
      <c r="AI51" s="39">
        <v>0</v>
      </c>
      <c r="AJ51" s="39">
        <v>0</v>
      </c>
      <c r="AK51" s="39">
        <v>0</v>
      </c>
      <c r="AL51" s="39">
        <v>0</v>
      </c>
      <c r="AM51" s="41"/>
      <c r="AN51" s="59">
        <f t="shared" si="17"/>
        <v>340.06125000000009</v>
      </c>
      <c r="AO51" s="41"/>
      <c r="AP51" s="259">
        <f>AN51-'FY21'!S51</f>
        <v>0</v>
      </c>
    </row>
    <row r="52" spans="3:42" s="37" customFormat="1" ht="12" x14ac:dyDescent="0.2">
      <c r="C52" s="199">
        <v>6247</v>
      </c>
      <c r="D52" s="37" t="s">
        <v>225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70">
        <f>'FY21'!S52</f>
        <v>778.95370249999996</v>
      </c>
      <c r="O52" s="39">
        <v>0</v>
      </c>
      <c r="P52" s="39">
        <v>0</v>
      </c>
      <c r="Q52" s="39">
        <v>0</v>
      </c>
      <c r="R52" s="39">
        <v>0</v>
      </c>
      <c r="S52" s="39">
        <v>0</v>
      </c>
      <c r="T52" s="39">
        <v>0</v>
      </c>
      <c r="U52" s="39">
        <v>0</v>
      </c>
      <c r="V52" s="39">
        <v>0</v>
      </c>
      <c r="W52" s="39">
        <v>0</v>
      </c>
      <c r="X52" s="39">
        <v>0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0</v>
      </c>
      <c r="AE52" s="39">
        <v>0</v>
      </c>
      <c r="AF52" s="39">
        <v>0</v>
      </c>
      <c r="AG52" s="39">
        <v>0</v>
      </c>
      <c r="AH52" s="39">
        <v>0</v>
      </c>
      <c r="AI52" s="39">
        <v>0</v>
      </c>
      <c r="AJ52" s="39">
        <v>0</v>
      </c>
      <c r="AK52" s="39">
        <v>0</v>
      </c>
      <c r="AL52" s="39">
        <v>0</v>
      </c>
      <c r="AM52" s="41"/>
      <c r="AN52" s="59">
        <f t="shared" si="17"/>
        <v>778.95370249999996</v>
      </c>
      <c r="AO52" s="41"/>
      <c r="AP52" s="259">
        <f>AN52-'FY21'!S52</f>
        <v>0</v>
      </c>
    </row>
    <row r="53" spans="3:42" s="37" customFormat="1" ht="12" x14ac:dyDescent="0.2">
      <c r="C53" s="199">
        <v>6261</v>
      </c>
      <c r="D53" s="37" t="s">
        <v>208</v>
      </c>
      <c r="E53" s="39">
        <v>0</v>
      </c>
      <c r="F53" s="370">
        <f>'FY21'!S53</f>
        <v>936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39">
        <v>0</v>
      </c>
      <c r="Q53" s="39">
        <v>0</v>
      </c>
      <c r="R53" s="39">
        <v>0</v>
      </c>
      <c r="S53" s="39">
        <v>0</v>
      </c>
      <c r="T53" s="39">
        <v>0</v>
      </c>
      <c r="U53" s="39">
        <v>0</v>
      </c>
      <c r="V53" s="39">
        <v>0</v>
      </c>
      <c r="W53" s="39">
        <v>0</v>
      </c>
      <c r="X53" s="39">
        <v>0</v>
      </c>
      <c r="Y53" s="39">
        <v>0</v>
      </c>
      <c r="Z53" s="39">
        <v>0</v>
      </c>
      <c r="AA53" s="39">
        <v>0</v>
      </c>
      <c r="AB53" s="39">
        <v>0</v>
      </c>
      <c r="AC53" s="39">
        <v>0</v>
      </c>
      <c r="AD53" s="39">
        <v>0</v>
      </c>
      <c r="AE53" s="39">
        <v>0</v>
      </c>
      <c r="AF53" s="39">
        <v>0</v>
      </c>
      <c r="AG53" s="39">
        <v>0</v>
      </c>
      <c r="AH53" s="39">
        <v>0</v>
      </c>
      <c r="AI53" s="39">
        <v>0</v>
      </c>
      <c r="AJ53" s="39">
        <v>0</v>
      </c>
      <c r="AK53" s="39">
        <v>0</v>
      </c>
      <c r="AL53" s="39">
        <v>0</v>
      </c>
      <c r="AM53" s="41"/>
      <c r="AN53" s="59">
        <f t="shared" si="17"/>
        <v>936</v>
      </c>
      <c r="AO53" s="41"/>
      <c r="AP53" s="259">
        <f>AN53-'FY21'!S53</f>
        <v>0</v>
      </c>
    </row>
    <row r="54" spans="3:42" s="37" customFormat="1" ht="12" x14ac:dyDescent="0.2">
      <c r="C54" s="199">
        <v>6264</v>
      </c>
      <c r="D54" s="37" t="s">
        <v>209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70">
        <f>'FY21'!S54</f>
        <v>655.875</v>
      </c>
      <c r="O54" s="39">
        <v>0</v>
      </c>
      <c r="P54" s="39">
        <v>0</v>
      </c>
      <c r="Q54" s="39">
        <v>0</v>
      </c>
      <c r="R54" s="39">
        <v>0</v>
      </c>
      <c r="S54" s="39">
        <v>0</v>
      </c>
      <c r="T54" s="39">
        <v>0</v>
      </c>
      <c r="U54" s="39">
        <v>0</v>
      </c>
      <c r="V54" s="39">
        <v>0</v>
      </c>
      <c r="W54" s="39">
        <v>0</v>
      </c>
      <c r="X54" s="39">
        <v>0</v>
      </c>
      <c r="Y54" s="39">
        <v>0</v>
      </c>
      <c r="Z54" s="39">
        <v>0</v>
      </c>
      <c r="AA54" s="39">
        <v>0</v>
      </c>
      <c r="AB54" s="39">
        <v>0</v>
      </c>
      <c r="AC54" s="39">
        <v>0</v>
      </c>
      <c r="AD54" s="39">
        <v>0</v>
      </c>
      <c r="AE54" s="39">
        <v>0</v>
      </c>
      <c r="AF54" s="39">
        <v>0</v>
      </c>
      <c r="AG54" s="39">
        <v>0</v>
      </c>
      <c r="AH54" s="39">
        <v>0</v>
      </c>
      <c r="AI54" s="39">
        <v>0</v>
      </c>
      <c r="AJ54" s="39">
        <v>0</v>
      </c>
      <c r="AK54" s="39">
        <v>0</v>
      </c>
      <c r="AL54" s="39">
        <v>0</v>
      </c>
      <c r="AM54" s="41"/>
      <c r="AN54" s="59">
        <f t="shared" si="17"/>
        <v>655.875</v>
      </c>
      <c r="AO54" s="41"/>
      <c r="AP54" s="259">
        <f>AN54-'FY21'!S54</f>
        <v>0</v>
      </c>
    </row>
    <row r="55" spans="3:42" s="37" customFormat="1" ht="12" x14ac:dyDescent="0.2">
      <c r="C55" s="199">
        <v>6267</v>
      </c>
      <c r="D55" s="37" t="s">
        <v>226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70">
        <f>'FY21'!S55</f>
        <v>1248</v>
      </c>
      <c r="O55" s="39">
        <v>0</v>
      </c>
      <c r="P55" s="39">
        <v>0</v>
      </c>
      <c r="Q55" s="39">
        <v>0</v>
      </c>
      <c r="R55" s="39">
        <v>0</v>
      </c>
      <c r="S55" s="39">
        <v>0</v>
      </c>
      <c r="T55" s="39">
        <v>0</v>
      </c>
      <c r="U55" s="39">
        <v>0</v>
      </c>
      <c r="V55" s="39">
        <v>0</v>
      </c>
      <c r="W55" s="39">
        <v>0</v>
      </c>
      <c r="X55" s="39">
        <v>0</v>
      </c>
      <c r="Y55" s="39">
        <v>0</v>
      </c>
      <c r="Z55" s="39">
        <v>0</v>
      </c>
      <c r="AA55" s="39">
        <v>0</v>
      </c>
      <c r="AB55" s="39">
        <v>0</v>
      </c>
      <c r="AC55" s="39">
        <v>0</v>
      </c>
      <c r="AD55" s="39">
        <v>0</v>
      </c>
      <c r="AE55" s="39">
        <v>0</v>
      </c>
      <c r="AF55" s="39">
        <v>0</v>
      </c>
      <c r="AG55" s="39">
        <v>0</v>
      </c>
      <c r="AH55" s="39">
        <v>0</v>
      </c>
      <c r="AI55" s="39">
        <v>0</v>
      </c>
      <c r="AJ55" s="39">
        <v>0</v>
      </c>
      <c r="AK55" s="39">
        <v>0</v>
      </c>
      <c r="AL55" s="39">
        <v>0</v>
      </c>
      <c r="AM55" s="41"/>
      <c r="AN55" s="59">
        <f t="shared" si="17"/>
        <v>1248</v>
      </c>
      <c r="AO55" s="41"/>
      <c r="AP55" s="259">
        <f>AN55-'FY21'!S55</f>
        <v>0</v>
      </c>
    </row>
    <row r="56" spans="3:42" s="37" customFormat="1" ht="12" x14ac:dyDescent="0.2">
      <c r="C56" s="199">
        <v>6271</v>
      </c>
      <c r="D56" s="37" t="s">
        <v>210</v>
      </c>
      <c r="E56" s="39">
        <v>0</v>
      </c>
      <c r="F56" s="370">
        <f>'FY21'!S56</f>
        <v>484.07870550000001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39">
        <v>0</v>
      </c>
      <c r="R56" s="39">
        <v>0</v>
      </c>
      <c r="S56" s="39">
        <v>0</v>
      </c>
      <c r="T56" s="39">
        <v>0</v>
      </c>
      <c r="U56" s="39">
        <v>0</v>
      </c>
      <c r="V56" s="39">
        <v>0</v>
      </c>
      <c r="W56" s="39">
        <v>0</v>
      </c>
      <c r="X56" s="39">
        <v>0</v>
      </c>
      <c r="Y56" s="39">
        <v>0</v>
      </c>
      <c r="Z56" s="39">
        <v>0</v>
      </c>
      <c r="AA56" s="39">
        <v>0</v>
      </c>
      <c r="AB56" s="39">
        <v>0</v>
      </c>
      <c r="AC56" s="39">
        <v>0</v>
      </c>
      <c r="AD56" s="39">
        <v>0</v>
      </c>
      <c r="AE56" s="39">
        <v>0</v>
      </c>
      <c r="AF56" s="39">
        <v>0</v>
      </c>
      <c r="AG56" s="39">
        <v>0</v>
      </c>
      <c r="AH56" s="39">
        <v>0</v>
      </c>
      <c r="AI56" s="39">
        <v>0</v>
      </c>
      <c r="AJ56" s="39">
        <v>0</v>
      </c>
      <c r="AK56" s="39">
        <v>0</v>
      </c>
      <c r="AL56" s="39">
        <v>0</v>
      </c>
      <c r="AM56" s="41"/>
      <c r="AN56" s="59">
        <f t="shared" si="17"/>
        <v>484.07870550000001</v>
      </c>
      <c r="AO56" s="41"/>
      <c r="AP56" s="259">
        <f>AN56-'FY21'!S56</f>
        <v>0</v>
      </c>
    </row>
    <row r="57" spans="3:42" s="37" customFormat="1" ht="12" x14ac:dyDescent="0.2">
      <c r="C57" s="199">
        <v>6274</v>
      </c>
      <c r="D57" s="37" t="s">
        <v>211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70">
        <f>'FY21'!S57</f>
        <v>152.44125000000003</v>
      </c>
      <c r="O57" s="39">
        <v>0</v>
      </c>
      <c r="P57" s="39">
        <v>0</v>
      </c>
      <c r="Q57" s="39">
        <v>0</v>
      </c>
      <c r="R57" s="39">
        <v>0</v>
      </c>
      <c r="S57" s="39">
        <v>0</v>
      </c>
      <c r="T57" s="39">
        <v>0</v>
      </c>
      <c r="U57" s="39">
        <v>0</v>
      </c>
      <c r="V57" s="39">
        <v>0</v>
      </c>
      <c r="W57" s="39">
        <v>0</v>
      </c>
      <c r="X57" s="39">
        <v>0</v>
      </c>
      <c r="Y57" s="39">
        <v>0</v>
      </c>
      <c r="Z57" s="39">
        <v>0</v>
      </c>
      <c r="AA57" s="39">
        <v>0</v>
      </c>
      <c r="AB57" s="39">
        <v>0</v>
      </c>
      <c r="AC57" s="39">
        <v>0</v>
      </c>
      <c r="AD57" s="39">
        <v>0</v>
      </c>
      <c r="AE57" s="39">
        <v>0</v>
      </c>
      <c r="AF57" s="39">
        <v>0</v>
      </c>
      <c r="AG57" s="39">
        <v>0</v>
      </c>
      <c r="AH57" s="39">
        <v>0</v>
      </c>
      <c r="AI57" s="39">
        <v>0</v>
      </c>
      <c r="AJ57" s="39">
        <v>0</v>
      </c>
      <c r="AK57" s="39">
        <v>0</v>
      </c>
      <c r="AL57" s="39">
        <v>0</v>
      </c>
      <c r="AM57" s="41"/>
      <c r="AN57" s="59">
        <f t="shared" si="17"/>
        <v>152.44125000000003</v>
      </c>
      <c r="AO57" s="41"/>
      <c r="AP57" s="259">
        <f>AN57-'FY21'!S57</f>
        <v>0</v>
      </c>
    </row>
    <row r="58" spans="3:42" s="37" customFormat="1" ht="12" x14ac:dyDescent="0.2">
      <c r="C58" s="199">
        <v>6277</v>
      </c>
      <c r="D58" s="37" t="s">
        <v>227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70">
        <f>'FY21'!S58</f>
        <v>349.18614249999996</v>
      </c>
      <c r="O58" s="39">
        <v>0</v>
      </c>
      <c r="P58" s="39">
        <v>0</v>
      </c>
      <c r="Q58" s="39">
        <v>0</v>
      </c>
      <c r="R58" s="39">
        <v>0</v>
      </c>
      <c r="S58" s="39">
        <v>0</v>
      </c>
      <c r="T58" s="39">
        <v>0</v>
      </c>
      <c r="U58" s="39">
        <v>0</v>
      </c>
      <c r="V58" s="39">
        <v>0</v>
      </c>
      <c r="W58" s="39">
        <v>0</v>
      </c>
      <c r="X58" s="39">
        <v>0</v>
      </c>
      <c r="Y58" s="39">
        <v>0</v>
      </c>
      <c r="Z58" s="39">
        <v>0</v>
      </c>
      <c r="AA58" s="39">
        <v>0</v>
      </c>
      <c r="AB58" s="39">
        <v>0</v>
      </c>
      <c r="AC58" s="39">
        <v>0</v>
      </c>
      <c r="AD58" s="39">
        <v>0</v>
      </c>
      <c r="AE58" s="39">
        <v>0</v>
      </c>
      <c r="AF58" s="39">
        <v>0</v>
      </c>
      <c r="AG58" s="39">
        <v>0</v>
      </c>
      <c r="AH58" s="39">
        <v>0</v>
      </c>
      <c r="AI58" s="39">
        <v>0</v>
      </c>
      <c r="AJ58" s="39">
        <v>0</v>
      </c>
      <c r="AK58" s="39">
        <v>0</v>
      </c>
      <c r="AL58" s="39">
        <v>0</v>
      </c>
      <c r="AM58" s="41"/>
      <c r="AN58" s="59">
        <f t="shared" si="17"/>
        <v>349.18614249999996</v>
      </c>
      <c r="AO58" s="41"/>
      <c r="AP58" s="259">
        <f>AN58-'FY21'!S58</f>
        <v>0</v>
      </c>
    </row>
    <row r="59" spans="3:42" s="37" customFormat="1" ht="12" x14ac:dyDescent="0.2">
      <c r="C59" s="199">
        <v>6281</v>
      </c>
      <c r="D59" s="37" t="s">
        <v>194</v>
      </c>
      <c r="E59" s="39">
        <v>0</v>
      </c>
      <c r="F59" s="370">
        <f>'FY21'!S59</f>
        <v>4860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  <c r="Q59" s="39">
        <v>0</v>
      </c>
      <c r="R59" s="39">
        <v>0</v>
      </c>
      <c r="S59" s="39">
        <v>0</v>
      </c>
      <c r="T59" s="39">
        <v>0</v>
      </c>
      <c r="U59" s="39">
        <v>0</v>
      </c>
      <c r="V59" s="39">
        <v>0</v>
      </c>
      <c r="W59" s="39">
        <v>0</v>
      </c>
      <c r="X59" s="39">
        <v>0</v>
      </c>
      <c r="Y59" s="39">
        <v>0</v>
      </c>
      <c r="Z59" s="39">
        <v>0</v>
      </c>
      <c r="AA59" s="39">
        <v>0</v>
      </c>
      <c r="AB59" s="39">
        <v>0</v>
      </c>
      <c r="AC59" s="39">
        <v>0</v>
      </c>
      <c r="AD59" s="39">
        <v>0</v>
      </c>
      <c r="AE59" s="39">
        <v>0</v>
      </c>
      <c r="AF59" s="39">
        <v>0</v>
      </c>
      <c r="AG59" s="39">
        <v>0</v>
      </c>
      <c r="AH59" s="39">
        <v>0</v>
      </c>
      <c r="AI59" s="39">
        <v>0</v>
      </c>
      <c r="AJ59" s="39">
        <v>0</v>
      </c>
      <c r="AK59" s="39">
        <v>0</v>
      </c>
      <c r="AL59" s="39">
        <v>0</v>
      </c>
      <c r="AM59" s="41"/>
      <c r="AN59" s="59">
        <f t="shared" si="17"/>
        <v>4860</v>
      </c>
      <c r="AO59" s="41"/>
      <c r="AP59" s="259">
        <f>AN59-'FY21'!S59</f>
        <v>0</v>
      </c>
    </row>
    <row r="60" spans="3:42" s="37" customFormat="1" ht="12" x14ac:dyDescent="0.2">
      <c r="C60" s="199">
        <v>6284</v>
      </c>
      <c r="D60" s="37" t="s">
        <v>195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70">
        <f>'FY21'!S60</f>
        <v>1215</v>
      </c>
      <c r="O60" s="39">
        <v>0</v>
      </c>
      <c r="P60" s="39">
        <v>0</v>
      </c>
      <c r="Q60" s="39">
        <v>0</v>
      </c>
      <c r="R60" s="39">
        <v>0</v>
      </c>
      <c r="S60" s="39">
        <v>0</v>
      </c>
      <c r="T60" s="39">
        <v>0</v>
      </c>
      <c r="U60" s="39">
        <v>0</v>
      </c>
      <c r="V60" s="39">
        <v>0</v>
      </c>
      <c r="W60" s="39">
        <v>0</v>
      </c>
      <c r="X60" s="39">
        <v>0</v>
      </c>
      <c r="Y60" s="39">
        <v>0</v>
      </c>
      <c r="Z60" s="39">
        <v>0</v>
      </c>
      <c r="AA60" s="39">
        <v>0</v>
      </c>
      <c r="AB60" s="39">
        <v>0</v>
      </c>
      <c r="AC60" s="39">
        <v>0</v>
      </c>
      <c r="AD60" s="39">
        <v>0</v>
      </c>
      <c r="AE60" s="39">
        <v>0</v>
      </c>
      <c r="AF60" s="39">
        <v>0</v>
      </c>
      <c r="AG60" s="39">
        <v>0</v>
      </c>
      <c r="AH60" s="39">
        <v>0</v>
      </c>
      <c r="AI60" s="39">
        <v>0</v>
      </c>
      <c r="AJ60" s="39">
        <v>0</v>
      </c>
      <c r="AK60" s="39">
        <v>0</v>
      </c>
      <c r="AL60" s="39">
        <v>0</v>
      </c>
      <c r="AM60" s="41"/>
      <c r="AN60" s="59">
        <f t="shared" si="17"/>
        <v>1215</v>
      </c>
      <c r="AO60" s="41"/>
      <c r="AP60" s="259">
        <f>AN60-'FY21'!S60</f>
        <v>0</v>
      </c>
    </row>
    <row r="61" spans="3:42" s="37" customFormat="1" ht="12" x14ac:dyDescent="0.2">
      <c r="C61" s="199">
        <v>6287</v>
      </c>
      <c r="D61" s="37" t="s">
        <v>228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70">
        <f>'FY21'!S61</f>
        <v>4860</v>
      </c>
      <c r="O61" s="39">
        <v>0</v>
      </c>
      <c r="P61" s="39">
        <v>0</v>
      </c>
      <c r="Q61" s="39">
        <v>0</v>
      </c>
      <c r="R61" s="39">
        <v>0</v>
      </c>
      <c r="S61" s="39">
        <v>0</v>
      </c>
      <c r="T61" s="39">
        <v>0</v>
      </c>
      <c r="U61" s="39">
        <v>0</v>
      </c>
      <c r="V61" s="39">
        <v>0</v>
      </c>
      <c r="W61" s="39">
        <v>0</v>
      </c>
      <c r="X61" s="39">
        <v>0</v>
      </c>
      <c r="Y61" s="39">
        <v>0</v>
      </c>
      <c r="Z61" s="39">
        <v>0</v>
      </c>
      <c r="AA61" s="39">
        <v>0</v>
      </c>
      <c r="AB61" s="39">
        <v>0</v>
      </c>
      <c r="AC61" s="39">
        <v>0</v>
      </c>
      <c r="AD61" s="39">
        <v>0</v>
      </c>
      <c r="AE61" s="39">
        <v>0</v>
      </c>
      <c r="AF61" s="39">
        <v>0</v>
      </c>
      <c r="AG61" s="39">
        <v>0</v>
      </c>
      <c r="AH61" s="39">
        <v>0</v>
      </c>
      <c r="AI61" s="39">
        <v>0</v>
      </c>
      <c r="AJ61" s="39">
        <v>0</v>
      </c>
      <c r="AK61" s="39">
        <v>0</v>
      </c>
      <c r="AL61" s="39">
        <v>0</v>
      </c>
      <c r="AM61" s="41"/>
      <c r="AN61" s="59">
        <f t="shared" si="17"/>
        <v>4860</v>
      </c>
      <c r="AO61" s="41"/>
      <c r="AP61" s="259">
        <f>AN61-'FY21'!S61</f>
        <v>0</v>
      </c>
    </row>
    <row r="62" spans="3:42" s="37" customFormat="1" ht="12" x14ac:dyDescent="0.2">
      <c r="C62" s="38"/>
      <c r="E62" s="50">
        <f t="shared" ref="E62:AL62" si="18">SUBTOTAL(9,E43:E61)</f>
        <v>0</v>
      </c>
      <c r="F62" s="50">
        <f t="shared" si="18"/>
        <v>18520.6777545</v>
      </c>
      <c r="G62" s="50">
        <f t="shared" si="18"/>
        <v>0</v>
      </c>
      <c r="H62" s="50">
        <f t="shared" si="18"/>
        <v>0</v>
      </c>
      <c r="I62" s="50">
        <f t="shared" si="18"/>
        <v>0</v>
      </c>
      <c r="J62" s="50">
        <f t="shared" si="18"/>
        <v>0</v>
      </c>
      <c r="K62" s="50">
        <f t="shared" si="18"/>
        <v>0</v>
      </c>
      <c r="L62" s="50">
        <f t="shared" si="18"/>
        <v>0</v>
      </c>
      <c r="M62" s="50">
        <f t="shared" si="18"/>
        <v>0</v>
      </c>
      <c r="N62" s="50">
        <f t="shared" si="18"/>
        <v>23343.042707499997</v>
      </c>
      <c r="O62" s="50">
        <f t="shared" si="18"/>
        <v>0</v>
      </c>
      <c r="P62" s="50">
        <f t="shared" si="18"/>
        <v>0</v>
      </c>
      <c r="Q62" s="50">
        <f t="shared" si="18"/>
        <v>0</v>
      </c>
      <c r="R62" s="50">
        <f t="shared" si="18"/>
        <v>0</v>
      </c>
      <c r="S62" s="50">
        <f t="shared" si="18"/>
        <v>0</v>
      </c>
      <c r="T62" s="50">
        <f t="shared" si="18"/>
        <v>0</v>
      </c>
      <c r="U62" s="50">
        <f t="shared" si="18"/>
        <v>0</v>
      </c>
      <c r="V62" s="50">
        <f t="shared" si="18"/>
        <v>0</v>
      </c>
      <c r="W62" s="50">
        <f t="shared" si="18"/>
        <v>0</v>
      </c>
      <c r="X62" s="50">
        <f t="shared" si="18"/>
        <v>0</v>
      </c>
      <c r="Y62" s="50">
        <f t="shared" si="18"/>
        <v>0</v>
      </c>
      <c r="Z62" s="50">
        <f t="shared" si="18"/>
        <v>0</v>
      </c>
      <c r="AA62" s="50">
        <f t="shared" si="18"/>
        <v>0</v>
      </c>
      <c r="AB62" s="50">
        <f t="shared" si="18"/>
        <v>0</v>
      </c>
      <c r="AC62" s="50">
        <f t="shared" si="18"/>
        <v>0</v>
      </c>
      <c r="AD62" s="50">
        <f t="shared" si="18"/>
        <v>0</v>
      </c>
      <c r="AE62" s="50">
        <f t="shared" si="18"/>
        <v>0</v>
      </c>
      <c r="AF62" s="50">
        <f t="shared" si="18"/>
        <v>0</v>
      </c>
      <c r="AG62" s="50">
        <f t="shared" si="18"/>
        <v>0</v>
      </c>
      <c r="AH62" s="50">
        <f t="shared" si="18"/>
        <v>0</v>
      </c>
      <c r="AI62" s="50">
        <f t="shared" si="18"/>
        <v>0</v>
      </c>
      <c r="AJ62" s="50">
        <f t="shared" si="18"/>
        <v>0</v>
      </c>
      <c r="AK62" s="50">
        <f t="shared" si="18"/>
        <v>0</v>
      </c>
      <c r="AL62" s="50">
        <f t="shared" si="18"/>
        <v>0</v>
      </c>
      <c r="AM62" s="41"/>
      <c r="AN62" s="61">
        <f>SUBTOTAL(9,AN43:AN61)</f>
        <v>41863.720461999997</v>
      </c>
      <c r="AO62" s="41"/>
      <c r="AP62" s="259">
        <f>AN62-'FY21'!S62</f>
        <v>0</v>
      </c>
    </row>
    <row r="63" spans="3:42" s="37" customFormat="1" ht="12" x14ac:dyDescent="0.2">
      <c r="C63" s="49" t="s">
        <v>9</v>
      </c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41"/>
      <c r="AN63" s="59"/>
      <c r="AO63" s="41"/>
      <c r="AP63" s="259">
        <f>AN63-'FY21'!S63</f>
        <v>0</v>
      </c>
    </row>
    <row r="64" spans="3:42" s="37" customFormat="1" ht="12" x14ac:dyDescent="0.2">
      <c r="C64" s="199">
        <v>6300</v>
      </c>
      <c r="D64" s="37" t="s">
        <v>9</v>
      </c>
      <c r="E64" s="39">
        <f>SUMIF('Exp Details'!$D$8:$D$11,'Function-Grant'!E$4,'Exp Details'!$H$8:$H$11)</f>
        <v>0</v>
      </c>
      <c r="F64" s="370">
        <f>SUMIF('Exp Details'!$D$8:$D$11,'Function-Grant'!F$4,'Exp Details'!$H$8:$H$11)</f>
        <v>264</v>
      </c>
      <c r="G64" s="39">
        <f>SUMIF('Exp Details'!$D$8:$D$11,'Function-Grant'!G$4,'Exp Details'!$H$8:$H$11)</f>
        <v>0</v>
      </c>
      <c r="H64" s="39">
        <f>SUMIF('Exp Details'!$D$8:$D$11,'Function-Grant'!H$4,'Exp Details'!$H$8:$H$11)</f>
        <v>0</v>
      </c>
      <c r="I64" s="39">
        <f>SUMIF('Exp Details'!$D$8:$D$11,'Function-Grant'!I$4,'Exp Details'!$H$8:$H$11)</f>
        <v>0</v>
      </c>
      <c r="J64" s="39">
        <f>SUMIF('Exp Details'!$D$8:$D$11,'Function-Grant'!J$4,'Exp Details'!$H$8:$H$11)</f>
        <v>0</v>
      </c>
      <c r="K64" s="39">
        <f>SUMIF('Exp Details'!$D$8:$D$11,'Function-Grant'!K$4,'Exp Details'!$H$8:$H$11)</f>
        <v>0</v>
      </c>
      <c r="L64" s="39">
        <f>SUMIF('Exp Details'!$D$8:$D$11,'Function-Grant'!L$4,'Exp Details'!$H$8:$H$11)</f>
        <v>0</v>
      </c>
      <c r="M64" s="39">
        <f>SUMIF('Exp Details'!$D$8:$D$11,'Function-Grant'!M$4,'Exp Details'!$H$8:$H$11)</f>
        <v>0</v>
      </c>
      <c r="N64" s="370">
        <f>SUMIF('Exp Details'!$D$8:$D$11,'Function-Grant'!N$4,'Exp Details'!$H$8:$H$11)</f>
        <v>0</v>
      </c>
      <c r="O64" s="370">
        <f>SUMIF('Exp Details'!$D$8:$D$11,'Function-Grant'!O$4,'Exp Details'!$H$8:$H$11)</f>
        <v>900</v>
      </c>
      <c r="P64" s="39">
        <f>SUMIF('Exp Details'!$D$8:$D$11,'Function-Grant'!P$4,'Exp Details'!$H$8:$H$11)</f>
        <v>0</v>
      </c>
      <c r="Q64" s="39">
        <f>SUMIF('Exp Details'!$D$8:$D$11,'Function-Grant'!Q$4,'Exp Details'!$H$8:$H$11)</f>
        <v>0</v>
      </c>
      <c r="R64" s="39">
        <f>SUMIF('Exp Details'!$D$8:$D$11,'Function-Grant'!R$4,'Exp Details'!$H$8:$H$11)</f>
        <v>0</v>
      </c>
      <c r="S64" s="39">
        <f>SUMIF('Exp Details'!$D$8:$D$11,'Function-Grant'!S$4,'Exp Details'!$H$8:$H$11)</f>
        <v>0</v>
      </c>
      <c r="T64" s="39">
        <f>SUMIF('Exp Details'!$D$8:$D$11,'Function-Grant'!T$4,'Exp Details'!$H$8:$H$11)</f>
        <v>0</v>
      </c>
      <c r="U64" s="39">
        <f>SUMIF('Exp Details'!$D$8:$D$11,'Function-Grant'!U$4,'Exp Details'!$H$8:$H$11)</f>
        <v>0</v>
      </c>
      <c r="V64" s="39">
        <f>SUMIF('Exp Details'!$D$8:$D$11,'Function-Grant'!V$4,'Exp Details'!$H$8:$H$11)</f>
        <v>0</v>
      </c>
      <c r="W64" s="39">
        <f>SUMIF('Exp Details'!$D$8:$D$11,'Function-Grant'!W$4,'Exp Details'!$H$8:$H$11)</f>
        <v>0</v>
      </c>
      <c r="X64" s="39">
        <f>SUMIF('Exp Details'!$D$8:$D$11,'Function-Grant'!X$4,'Exp Details'!$H$8:$H$11)</f>
        <v>0</v>
      </c>
      <c r="Y64" s="39">
        <f>SUMIF('Exp Details'!$D$8:$D$11,'Function-Grant'!Y$4,'Exp Details'!$H$8:$H$11)</f>
        <v>0</v>
      </c>
      <c r="Z64" s="39">
        <f>SUMIF('Exp Details'!$D$8:$D$11,'Function-Grant'!Z$4,'Exp Details'!$H$8:$H$11)</f>
        <v>0</v>
      </c>
      <c r="AA64" s="39">
        <f>SUMIF('Exp Details'!$D$8:$D$11,'Function-Grant'!AA$4,'Exp Details'!$H$8:$H$11)</f>
        <v>0</v>
      </c>
      <c r="AB64" s="39">
        <f>SUMIF('Exp Details'!$D$8:$D$11,'Function-Grant'!AB$4,'Exp Details'!$H$8:$H$11)</f>
        <v>0</v>
      </c>
      <c r="AC64" s="39">
        <f>SUMIF('Exp Details'!$D$8:$D$11,'Function-Grant'!AC$4,'Exp Details'!$H$8:$H$11)</f>
        <v>0</v>
      </c>
      <c r="AD64" s="39">
        <f>SUMIF('Exp Details'!$D$8:$D$11,'Function-Grant'!AD$4,'Exp Details'!$H$8:$H$11)</f>
        <v>0</v>
      </c>
      <c r="AE64" s="39">
        <f>SUMIF('Exp Details'!$D$8:$D$11,'Function-Grant'!AE$4,'Exp Details'!$H$8:$H$11)</f>
        <v>0</v>
      </c>
      <c r="AF64" s="39">
        <f>SUMIF('Exp Details'!$D$8:$D$11,'Function-Grant'!AF$4,'Exp Details'!$H$8:$H$11)</f>
        <v>0</v>
      </c>
      <c r="AG64" s="39">
        <f>SUMIF('Exp Details'!$D$8:$D$11,'Function-Grant'!AG$4,'Exp Details'!$H$8:$H$11)</f>
        <v>0</v>
      </c>
      <c r="AH64" s="39">
        <f>SUMIF('Exp Details'!$D$8:$D$11,'Function-Grant'!AH$4,'Exp Details'!$H$8:$H$11)</f>
        <v>0</v>
      </c>
      <c r="AI64" s="39">
        <f>SUMIF('Exp Details'!$D$8:$D$11,'Function-Grant'!AI$4,'Exp Details'!$H$8:$H$11)</f>
        <v>0</v>
      </c>
      <c r="AJ64" s="39">
        <f>SUMIF('Exp Details'!$D$8:$D$11,'Function-Grant'!AJ$4,'Exp Details'!$H$8:$H$11)</f>
        <v>0</v>
      </c>
      <c r="AK64" s="39">
        <f>SUMIF('Exp Details'!$D$8:$D$11,'Function-Grant'!AK$4,'Exp Details'!$H$8:$H$11)</f>
        <v>0</v>
      </c>
      <c r="AL64" s="39">
        <f>SUMIF('Exp Details'!$D$8:$D$11,'Function-Grant'!AL$4,'Exp Details'!$H$8:$H$11)</f>
        <v>0</v>
      </c>
      <c r="AM64" s="41"/>
      <c r="AN64" s="59">
        <f t="shared" ref="AN64:AN73" si="19">SUM(E64:AM64)</f>
        <v>1164</v>
      </c>
      <c r="AO64" s="41"/>
      <c r="AP64" s="259">
        <f>AN64-'FY21'!S64</f>
        <v>0</v>
      </c>
    </row>
    <row r="65" spans="3:42" s="37" customFormat="1" ht="12" x14ac:dyDescent="0.2">
      <c r="C65" s="199">
        <v>6320</v>
      </c>
      <c r="D65" s="37" t="s">
        <v>10</v>
      </c>
      <c r="E65" s="39">
        <f>SUMIF('Exp Details'!$D$15:$D$18,'Function-Grant'!E$4,'Exp Details'!$H$15:$H$18)</f>
        <v>0</v>
      </c>
      <c r="F65" s="39">
        <f>SUMIF('Exp Details'!$D$15:$D$18,'Function-Grant'!F$4,'Exp Details'!$H$15:$H$18)</f>
        <v>0</v>
      </c>
      <c r="G65" s="39">
        <f>SUMIF('Exp Details'!$D$15:$D$18,'Function-Grant'!G$4,'Exp Details'!$H$15:$H$18)</f>
        <v>0</v>
      </c>
      <c r="H65" s="39">
        <f>SUMIF('Exp Details'!$D$15:$D$18,'Function-Grant'!H$4,'Exp Details'!$H$15:$H$18)</f>
        <v>0</v>
      </c>
      <c r="I65" s="39">
        <f>SUMIF('Exp Details'!$D$15:$D$18,'Function-Grant'!I$4,'Exp Details'!$H$15:$H$18)</f>
        <v>0</v>
      </c>
      <c r="J65" s="370">
        <f>SUMIF('Exp Details'!$D$15:$D$18,'Function-Grant'!J$4,'Exp Details'!$H$15:$H$18)</f>
        <v>0</v>
      </c>
      <c r="K65" s="39">
        <f>SUMIF('Exp Details'!$D$15:$D$18,'Function-Grant'!K$4,'Exp Details'!$H$15:$H$18)</f>
        <v>0</v>
      </c>
      <c r="L65" s="39">
        <f>SUMIF('Exp Details'!$D$15:$D$18,'Function-Grant'!L$4,'Exp Details'!$H$15:$H$18)</f>
        <v>0</v>
      </c>
      <c r="M65" s="39">
        <f>SUMIF('Exp Details'!$D$15:$D$18,'Function-Grant'!M$4,'Exp Details'!$H$15:$H$18)</f>
        <v>0</v>
      </c>
      <c r="N65" s="39">
        <f>SUMIF('Exp Details'!$D$15:$D$18,'Function-Grant'!N$4,'Exp Details'!$H$15:$H$18)</f>
        <v>1000</v>
      </c>
      <c r="O65" s="39">
        <f>SUMIF('Exp Details'!$D$15:$D$18,'Function-Grant'!O$4,'Exp Details'!$H$15:$H$18)</f>
        <v>0</v>
      </c>
      <c r="P65" s="39">
        <f>SUMIF('Exp Details'!$D$15:$D$18,'Function-Grant'!P$4,'Exp Details'!$H$15:$H$18)</f>
        <v>0</v>
      </c>
      <c r="Q65" s="39">
        <f>SUMIF('Exp Details'!$D$15:$D$18,'Function-Grant'!Q$4,'Exp Details'!$H$15:$H$18)</f>
        <v>0</v>
      </c>
      <c r="R65" s="39">
        <f>SUMIF('Exp Details'!$D$15:$D$18,'Function-Grant'!R$4,'Exp Details'!$H$15:$H$18)</f>
        <v>0</v>
      </c>
      <c r="S65" s="39">
        <f>SUMIF('Exp Details'!$D$15:$D$18,'Function-Grant'!S$4,'Exp Details'!$H$15:$H$18)</f>
        <v>0</v>
      </c>
      <c r="T65" s="39">
        <f>SUMIF('Exp Details'!$D$15:$D$18,'Function-Grant'!T$4,'Exp Details'!$H$15:$H$18)</f>
        <v>0</v>
      </c>
      <c r="U65" s="39">
        <f>SUMIF('Exp Details'!$D$15:$D$18,'Function-Grant'!U$4,'Exp Details'!$H$15:$H$18)</f>
        <v>0</v>
      </c>
      <c r="V65" s="39">
        <f>SUMIF('Exp Details'!$D$15:$D$18,'Function-Grant'!V$4,'Exp Details'!$H$15:$H$18)</f>
        <v>0</v>
      </c>
      <c r="W65" s="39">
        <f>SUMIF('Exp Details'!$D$15:$D$18,'Function-Grant'!W$4,'Exp Details'!$H$15:$H$18)</f>
        <v>0</v>
      </c>
      <c r="X65" s="39">
        <f>SUMIF('Exp Details'!$D$15:$D$18,'Function-Grant'!X$4,'Exp Details'!$H$15:$H$18)</f>
        <v>0</v>
      </c>
      <c r="Y65" s="39">
        <f>SUMIF('Exp Details'!$D$15:$D$18,'Function-Grant'!Y$4,'Exp Details'!$H$15:$H$18)</f>
        <v>0</v>
      </c>
      <c r="Z65" s="39">
        <f>SUMIF('Exp Details'!$D$15:$D$18,'Function-Grant'!Z$4,'Exp Details'!$H$15:$H$18)</f>
        <v>0</v>
      </c>
      <c r="AA65" s="39">
        <f>SUMIF('Exp Details'!$D$15:$D$18,'Function-Grant'!AA$4,'Exp Details'!$H$15:$H$18)</f>
        <v>0</v>
      </c>
      <c r="AB65" s="39">
        <f>SUMIF('Exp Details'!$D$15:$D$18,'Function-Grant'!AB$4,'Exp Details'!$H$15:$H$18)</f>
        <v>0</v>
      </c>
      <c r="AC65" s="39">
        <f>SUMIF('Exp Details'!$D$15:$D$18,'Function-Grant'!AC$4,'Exp Details'!$H$15:$H$18)</f>
        <v>0</v>
      </c>
      <c r="AD65" s="39">
        <f>SUMIF('Exp Details'!$D$15:$D$18,'Function-Grant'!AD$4,'Exp Details'!$H$15:$H$18)</f>
        <v>0</v>
      </c>
      <c r="AE65" s="39">
        <f>SUMIF('Exp Details'!$D$15:$D$18,'Function-Grant'!AE$4,'Exp Details'!$H$15:$H$18)</f>
        <v>0</v>
      </c>
      <c r="AF65" s="39">
        <f>SUMIF('Exp Details'!$D$15:$D$18,'Function-Grant'!AF$4,'Exp Details'!$H$15:$H$18)</f>
        <v>0</v>
      </c>
      <c r="AG65" s="39">
        <f>SUMIF('Exp Details'!$D$15:$D$18,'Function-Grant'!AG$4,'Exp Details'!$H$15:$H$18)</f>
        <v>0</v>
      </c>
      <c r="AH65" s="39">
        <f>SUMIF('Exp Details'!$D$15:$D$18,'Function-Grant'!AH$4,'Exp Details'!$H$15:$H$18)</f>
        <v>0</v>
      </c>
      <c r="AI65" s="39">
        <f>SUMIF('Exp Details'!$D$15:$D$18,'Function-Grant'!AI$4,'Exp Details'!$H$15:$H$18)</f>
        <v>0</v>
      </c>
      <c r="AJ65" s="39">
        <f>SUMIF('Exp Details'!$D$15:$D$18,'Function-Grant'!AJ$4,'Exp Details'!$H$15:$H$18)</f>
        <v>0</v>
      </c>
      <c r="AK65" s="39">
        <f>SUMIF('Exp Details'!$D$15:$D$18,'Function-Grant'!AK$4,'Exp Details'!$H$15:$H$18)</f>
        <v>0</v>
      </c>
      <c r="AL65" s="39">
        <f>SUMIF('Exp Details'!$D$15:$D$18,'Function-Grant'!AL$4,'Exp Details'!$H$15:$H$18)</f>
        <v>0</v>
      </c>
      <c r="AM65" s="41"/>
      <c r="AN65" s="59">
        <f t="shared" si="19"/>
        <v>1000</v>
      </c>
      <c r="AO65" s="41"/>
      <c r="AP65" s="259">
        <f>AN65-'FY21'!S65</f>
        <v>0</v>
      </c>
    </row>
    <row r="66" spans="3:42" s="37" customFormat="1" ht="12" x14ac:dyDescent="0.2">
      <c r="C66" s="199">
        <v>6331</v>
      </c>
      <c r="D66" s="37" t="s">
        <v>11</v>
      </c>
      <c r="E66" s="39">
        <f>SUMIF('Exp Details'!$D$22:$D$24,'Function-Grant'!E$4,'Exp Details'!$H$22:$H$24)</f>
        <v>0</v>
      </c>
      <c r="F66" s="39">
        <f>SUMIF('Exp Details'!$D$22:$D$24,'Function-Grant'!F$4,'Exp Details'!$H$22:$H$24)</f>
        <v>500</v>
      </c>
      <c r="G66" s="39">
        <f>SUMIF('Exp Details'!$D$22:$D$24,'Function-Grant'!G$4,'Exp Details'!$H$22:$H$24)</f>
        <v>0</v>
      </c>
      <c r="H66" s="39">
        <f>SUMIF('Exp Details'!$D$22:$D$24,'Function-Grant'!H$4,'Exp Details'!$H$22:$H$24)</f>
        <v>0</v>
      </c>
      <c r="I66" s="39">
        <f>SUMIF('Exp Details'!$D$22:$D$24,'Function-Grant'!I$4,'Exp Details'!$H$22:$H$24)</f>
        <v>0</v>
      </c>
      <c r="J66" s="39">
        <f>SUMIF('Exp Details'!$D$22:$D$24,'Function-Grant'!J$4,'Exp Details'!$H$22:$H$24)</f>
        <v>0</v>
      </c>
      <c r="K66" s="39">
        <f>SUMIF('Exp Details'!$D$22:$D$24,'Function-Grant'!K$4,'Exp Details'!$H$22:$H$24)</f>
        <v>0</v>
      </c>
      <c r="L66" s="39">
        <f>SUMIF('Exp Details'!$D$22:$D$24,'Function-Grant'!L$4,'Exp Details'!$H$22:$H$24)</f>
        <v>0</v>
      </c>
      <c r="M66" s="39">
        <f>SUMIF('Exp Details'!$D$22:$D$24,'Function-Grant'!M$4,'Exp Details'!$H$22:$H$24)</f>
        <v>0</v>
      </c>
      <c r="N66" s="39">
        <f>SUMIF('Exp Details'!$D$22:$D$24,'Function-Grant'!N$4,'Exp Details'!$H$22:$H$24)</f>
        <v>0</v>
      </c>
      <c r="O66" s="39">
        <f>SUMIF('Exp Details'!$D$22:$D$24,'Function-Grant'!O$4,'Exp Details'!$H$22:$H$24)</f>
        <v>0</v>
      </c>
      <c r="P66" s="39">
        <f>SUMIF('Exp Details'!$D$22:$D$24,'Function-Grant'!P$4,'Exp Details'!$H$22:$H$24)</f>
        <v>0</v>
      </c>
      <c r="Q66" s="39">
        <f>SUMIF('Exp Details'!$D$22:$D$24,'Function-Grant'!Q$4,'Exp Details'!$H$22:$H$24)</f>
        <v>0</v>
      </c>
      <c r="R66" s="39">
        <f>SUMIF('Exp Details'!$D$22:$D$24,'Function-Grant'!R$4,'Exp Details'!$H$22:$H$24)</f>
        <v>0</v>
      </c>
      <c r="S66" s="39">
        <f>SUMIF('Exp Details'!$D$22:$D$24,'Function-Grant'!S$4,'Exp Details'!$H$22:$H$24)</f>
        <v>0</v>
      </c>
      <c r="T66" s="39">
        <f>SUMIF('Exp Details'!$D$22:$D$24,'Function-Grant'!T$4,'Exp Details'!$H$22:$H$24)</f>
        <v>0</v>
      </c>
      <c r="U66" s="39">
        <f>SUMIF('Exp Details'!$D$22:$D$24,'Function-Grant'!U$4,'Exp Details'!$H$22:$H$24)</f>
        <v>0</v>
      </c>
      <c r="V66" s="39">
        <f>SUMIF('Exp Details'!$D$22:$D$24,'Function-Grant'!V$4,'Exp Details'!$H$22:$H$24)</f>
        <v>0</v>
      </c>
      <c r="W66" s="39">
        <f>SUMIF('Exp Details'!$D$22:$D$24,'Function-Grant'!W$4,'Exp Details'!$H$22:$H$24)</f>
        <v>0</v>
      </c>
      <c r="X66" s="39">
        <f>SUMIF('Exp Details'!$D$22:$D$24,'Function-Grant'!X$4,'Exp Details'!$H$22:$H$24)</f>
        <v>0</v>
      </c>
      <c r="Y66" s="39">
        <f>SUMIF('Exp Details'!$D$22:$D$24,'Function-Grant'!Y$4,'Exp Details'!$H$22:$H$24)</f>
        <v>0</v>
      </c>
      <c r="Z66" s="39">
        <f>SUMIF('Exp Details'!$D$22:$D$24,'Function-Grant'!Z$4,'Exp Details'!$H$22:$H$24)</f>
        <v>0</v>
      </c>
      <c r="AA66" s="39">
        <f>SUMIF('Exp Details'!$D$22:$D$24,'Function-Grant'!AA$4,'Exp Details'!$H$22:$H$24)</f>
        <v>0</v>
      </c>
      <c r="AB66" s="39">
        <f>SUMIF('Exp Details'!$D$22:$D$24,'Function-Grant'!AB$4,'Exp Details'!$H$22:$H$24)</f>
        <v>0</v>
      </c>
      <c r="AC66" s="39">
        <f>SUMIF('Exp Details'!$D$22:$D$24,'Function-Grant'!AC$4,'Exp Details'!$H$22:$H$24)</f>
        <v>0</v>
      </c>
      <c r="AD66" s="39">
        <f>SUMIF('Exp Details'!$D$22:$D$24,'Function-Grant'!AD$4,'Exp Details'!$H$22:$H$24)</f>
        <v>0</v>
      </c>
      <c r="AE66" s="39">
        <f>SUMIF('Exp Details'!$D$22:$D$24,'Function-Grant'!AE$4,'Exp Details'!$H$22:$H$24)</f>
        <v>0</v>
      </c>
      <c r="AF66" s="39">
        <f>SUMIF('Exp Details'!$D$22:$D$24,'Function-Grant'!AF$4,'Exp Details'!$H$22:$H$24)</f>
        <v>0</v>
      </c>
      <c r="AG66" s="39">
        <f>SUMIF('Exp Details'!$D$22:$D$24,'Function-Grant'!AG$4,'Exp Details'!$H$22:$H$24)</f>
        <v>0</v>
      </c>
      <c r="AH66" s="39">
        <f>SUMIF('Exp Details'!$D$22:$D$24,'Function-Grant'!AH$4,'Exp Details'!$H$22:$H$24)</f>
        <v>0</v>
      </c>
      <c r="AI66" s="39">
        <f>SUMIF('Exp Details'!$D$22:$D$24,'Function-Grant'!AI$4,'Exp Details'!$H$22:$H$24)</f>
        <v>0</v>
      </c>
      <c r="AJ66" s="39">
        <f>SUMIF('Exp Details'!$D$22:$D$24,'Function-Grant'!AJ$4,'Exp Details'!$H$22:$H$24)</f>
        <v>0</v>
      </c>
      <c r="AK66" s="39">
        <f>SUMIF('Exp Details'!$D$22:$D$24,'Function-Grant'!AK$4,'Exp Details'!$H$22:$H$24)</f>
        <v>0</v>
      </c>
      <c r="AL66" s="39">
        <f>SUMIF('Exp Details'!$D$22:$D$24,'Function-Grant'!AL$4,'Exp Details'!$H$22:$H$24)</f>
        <v>0</v>
      </c>
      <c r="AM66" s="41"/>
      <c r="AN66" s="59">
        <f t="shared" si="19"/>
        <v>500</v>
      </c>
      <c r="AO66" s="41"/>
      <c r="AP66" s="259">
        <f>AN66-'FY21'!S66</f>
        <v>0</v>
      </c>
    </row>
    <row r="67" spans="3:42" s="37" customFormat="1" ht="12" x14ac:dyDescent="0.2">
      <c r="C67" s="199">
        <v>6334</v>
      </c>
      <c r="D67" s="37" t="s">
        <v>12</v>
      </c>
      <c r="E67" s="39">
        <f>SUMIF('Exp Details'!$D$28:$D$31,'Function-Grant'!E$4,'Exp Details'!$H$28:$H$31)</f>
        <v>0</v>
      </c>
      <c r="F67" s="39">
        <f>SUMIF('Exp Details'!$D$28:$D$31,'Function-Grant'!F$4,'Exp Details'!$H$28:$H$31)</f>
        <v>0</v>
      </c>
      <c r="G67" s="39">
        <f>SUMIF('Exp Details'!$D$28:$D$31,'Function-Grant'!G$4,'Exp Details'!$H$28:$H$31)</f>
        <v>0</v>
      </c>
      <c r="H67" s="39">
        <f>SUMIF('Exp Details'!$D$28:$D$31,'Function-Grant'!H$4,'Exp Details'!$H$28:$H$31)</f>
        <v>0</v>
      </c>
      <c r="I67" s="39">
        <f>SUMIF('Exp Details'!$D$28:$D$31,'Function-Grant'!I$4,'Exp Details'!$H$28:$H$31)</f>
        <v>0</v>
      </c>
      <c r="J67" s="39">
        <f>SUMIF('Exp Details'!$D$28:$D$31,'Function-Grant'!J$4,'Exp Details'!$H$28:$H$31)</f>
        <v>0</v>
      </c>
      <c r="K67" s="39">
        <f>SUMIF('Exp Details'!$D$28:$D$31,'Function-Grant'!K$4,'Exp Details'!$H$28:$H$31)</f>
        <v>0</v>
      </c>
      <c r="L67" s="39">
        <f>SUMIF('Exp Details'!$D$28:$D$31,'Function-Grant'!L$4,'Exp Details'!$H$28:$H$31)</f>
        <v>0</v>
      </c>
      <c r="M67" s="39">
        <f>SUMIF('Exp Details'!$D$28:$D$31,'Function-Grant'!M$4,'Exp Details'!$H$28:$H$31)</f>
        <v>0</v>
      </c>
      <c r="N67" s="39">
        <f>SUMIF('Exp Details'!$D$28:$D$31,'Function-Grant'!N$4,'Exp Details'!$H$28:$H$31)</f>
        <v>0</v>
      </c>
      <c r="O67" s="39">
        <f>SUMIF('Exp Details'!$D$28:$D$31,'Function-Grant'!O$4,'Exp Details'!$H$28:$H$31)</f>
        <v>0</v>
      </c>
      <c r="P67" s="39">
        <f>SUMIF('Exp Details'!$D$28:$D$31,'Function-Grant'!P$4,'Exp Details'!$H$28:$H$31)</f>
        <v>0</v>
      </c>
      <c r="Q67" s="39">
        <f>SUMIF('Exp Details'!$D$28:$D$31,'Function-Grant'!Q$4,'Exp Details'!$H$28:$H$31)</f>
        <v>0</v>
      </c>
      <c r="R67" s="39">
        <f>SUMIF('Exp Details'!$D$28:$D$31,'Function-Grant'!R$4,'Exp Details'!$H$28:$H$31)</f>
        <v>0</v>
      </c>
      <c r="S67" s="39">
        <f>SUMIF('Exp Details'!$D$28:$D$31,'Function-Grant'!S$4,'Exp Details'!$H$28:$H$31)</f>
        <v>0</v>
      </c>
      <c r="T67" s="39">
        <f>SUMIF('Exp Details'!$D$28:$D$31,'Function-Grant'!T$4,'Exp Details'!$H$28:$H$31)</f>
        <v>0</v>
      </c>
      <c r="U67" s="39">
        <f>SUMIF('Exp Details'!$D$28:$D$31,'Function-Grant'!U$4,'Exp Details'!$H$28:$H$31)</f>
        <v>0</v>
      </c>
      <c r="V67" s="39">
        <f>SUMIF('Exp Details'!$D$28:$D$31,'Function-Grant'!V$4,'Exp Details'!$H$28:$H$31)</f>
        <v>0</v>
      </c>
      <c r="W67" s="39">
        <f>SUMIF('Exp Details'!$D$28:$D$31,'Function-Grant'!W$4,'Exp Details'!$H$28:$H$31)</f>
        <v>0</v>
      </c>
      <c r="X67" s="39">
        <f>SUMIF('Exp Details'!$D$28:$D$31,'Function-Grant'!X$4,'Exp Details'!$H$28:$H$31)</f>
        <v>0</v>
      </c>
      <c r="Y67" s="39">
        <f>SUMIF('Exp Details'!$D$28:$D$31,'Function-Grant'!Y$4,'Exp Details'!$H$28:$H$31)</f>
        <v>0</v>
      </c>
      <c r="Z67" s="39">
        <f>SUMIF('Exp Details'!$D$28:$D$31,'Function-Grant'!Z$4,'Exp Details'!$H$28:$H$31)</f>
        <v>0</v>
      </c>
      <c r="AA67" s="39">
        <f>SUMIF('Exp Details'!$D$28:$D$31,'Function-Grant'!AA$4,'Exp Details'!$H$28:$H$31)</f>
        <v>0</v>
      </c>
      <c r="AB67" s="39">
        <f>SUMIF('Exp Details'!$D$28:$D$31,'Function-Grant'!AB$4,'Exp Details'!$H$28:$H$31)</f>
        <v>0</v>
      </c>
      <c r="AC67" s="39">
        <f>SUMIF('Exp Details'!$D$28:$D$31,'Function-Grant'!AC$4,'Exp Details'!$H$28:$H$31)</f>
        <v>0</v>
      </c>
      <c r="AD67" s="39">
        <f>SUMIF('Exp Details'!$D$28:$D$31,'Function-Grant'!AD$4,'Exp Details'!$H$28:$H$31)</f>
        <v>0</v>
      </c>
      <c r="AE67" s="39">
        <f>SUMIF('Exp Details'!$D$28:$D$31,'Function-Grant'!AE$4,'Exp Details'!$H$28:$H$31)</f>
        <v>0</v>
      </c>
      <c r="AF67" s="39">
        <f>SUMIF('Exp Details'!$D$28:$D$31,'Function-Grant'!AF$4,'Exp Details'!$H$28:$H$31)</f>
        <v>0</v>
      </c>
      <c r="AG67" s="39">
        <f>SUMIF('Exp Details'!$D$28:$D$31,'Function-Grant'!AG$4,'Exp Details'!$H$28:$H$31)</f>
        <v>0</v>
      </c>
      <c r="AH67" s="39">
        <f>SUMIF('Exp Details'!$D$28:$D$31,'Function-Grant'!AH$4,'Exp Details'!$H$28:$H$31)</f>
        <v>0</v>
      </c>
      <c r="AI67" s="39">
        <f>SUMIF('Exp Details'!$D$28:$D$31,'Function-Grant'!AI$4,'Exp Details'!$H$28:$H$31)</f>
        <v>0</v>
      </c>
      <c r="AJ67" s="39">
        <f>SUMIF('Exp Details'!$D$28:$D$31,'Function-Grant'!AJ$4,'Exp Details'!$H$28:$H$31)</f>
        <v>0</v>
      </c>
      <c r="AK67" s="39">
        <f>SUMIF('Exp Details'!$D$28:$D$31,'Function-Grant'!AK$4,'Exp Details'!$H$28:$H$31)</f>
        <v>0</v>
      </c>
      <c r="AL67" s="39">
        <f>SUMIF('Exp Details'!$D$28:$D$31,'Function-Grant'!AL$4,'Exp Details'!$H$28:$H$31)</f>
        <v>0</v>
      </c>
      <c r="AM67" s="41"/>
      <c r="AN67" s="59">
        <f t="shared" si="19"/>
        <v>0</v>
      </c>
      <c r="AO67" s="41"/>
      <c r="AP67" s="259">
        <f>AN67-'FY21'!S67</f>
        <v>0</v>
      </c>
    </row>
    <row r="68" spans="3:42" s="37" customFormat="1" ht="12" x14ac:dyDescent="0.2">
      <c r="C68" s="199">
        <v>6336</v>
      </c>
      <c r="D68" s="37" t="s">
        <v>13</v>
      </c>
      <c r="E68" s="39">
        <f>SUMIF('Exp Details'!$D$35:$D$37,'Function-Grant'!E$4,'Exp Details'!$H$35:$H$37)</f>
        <v>0</v>
      </c>
      <c r="F68" s="39">
        <f>SUMIF('Exp Details'!$D$35:$D$37,'Function-Grant'!F$4,'Exp Details'!$H$35:$H$37)</f>
        <v>0</v>
      </c>
      <c r="G68" s="39">
        <f>SUMIF('Exp Details'!$D$35:$D$37,'Function-Grant'!G$4,'Exp Details'!$H$35:$H$37)</f>
        <v>0</v>
      </c>
      <c r="H68" s="39">
        <f>SUMIF('Exp Details'!$D$35:$D$37,'Function-Grant'!H$4,'Exp Details'!$H$35:$H$37)</f>
        <v>0</v>
      </c>
      <c r="I68" s="39">
        <f>SUMIF('Exp Details'!$D$35:$D$37,'Function-Grant'!I$4,'Exp Details'!$H$35:$H$37)</f>
        <v>0</v>
      </c>
      <c r="J68" s="39">
        <f>SUMIF('Exp Details'!$D$35:$D$37,'Function-Grant'!J$4,'Exp Details'!$H$35:$H$37)</f>
        <v>0</v>
      </c>
      <c r="K68" s="39">
        <f>SUMIF('Exp Details'!$D$35:$D$37,'Function-Grant'!K$4,'Exp Details'!$H$35:$H$37)</f>
        <v>0</v>
      </c>
      <c r="L68" s="39">
        <f>SUMIF('Exp Details'!$D$35:$D$37,'Function-Grant'!L$4,'Exp Details'!$H$35:$H$37)</f>
        <v>0</v>
      </c>
      <c r="M68" s="39">
        <f>SUMIF('Exp Details'!$D$35:$D$37,'Function-Grant'!M$4,'Exp Details'!$H$35:$H$37)</f>
        <v>0</v>
      </c>
      <c r="N68" s="39">
        <f>SUMIF('Exp Details'!$D$35:$D$37,'Function-Grant'!N$4,'Exp Details'!$H$35:$H$37)</f>
        <v>0</v>
      </c>
      <c r="O68" s="39">
        <f>SUMIF('Exp Details'!$D$35:$D$37,'Function-Grant'!O$4,'Exp Details'!$H$35:$H$37)</f>
        <v>0</v>
      </c>
      <c r="P68" s="39">
        <f>SUMIF('Exp Details'!$D$35:$D$37,'Function-Grant'!P$4,'Exp Details'!$H$35:$H$37)</f>
        <v>0</v>
      </c>
      <c r="Q68" s="39">
        <f>SUMIF('Exp Details'!$D$35:$D$37,'Function-Grant'!Q$4,'Exp Details'!$H$35:$H$37)</f>
        <v>0</v>
      </c>
      <c r="R68" s="39">
        <f>SUMIF('Exp Details'!$D$35:$D$37,'Function-Grant'!R$4,'Exp Details'!$H$35:$H$37)</f>
        <v>0</v>
      </c>
      <c r="S68" s="39">
        <f>SUMIF('Exp Details'!$D$35:$D$37,'Function-Grant'!S$4,'Exp Details'!$H$35:$H$37)</f>
        <v>0</v>
      </c>
      <c r="T68" s="39">
        <f>SUMIF('Exp Details'!$D$35:$D$37,'Function-Grant'!T$4,'Exp Details'!$H$35:$H$37)</f>
        <v>0</v>
      </c>
      <c r="U68" s="39">
        <f>SUMIF('Exp Details'!$D$35:$D$37,'Function-Grant'!U$4,'Exp Details'!$H$35:$H$37)</f>
        <v>0</v>
      </c>
      <c r="V68" s="39">
        <f>SUMIF('Exp Details'!$D$35:$D$37,'Function-Grant'!V$4,'Exp Details'!$H$35:$H$37)</f>
        <v>0</v>
      </c>
      <c r="W68" s="39">
        <f>SUMIF('Exp Details'!$D$35:$D$37,'Function-Grant'!W$4,'Exp Details'!$H$35:$H$37)</f>
        <v>0</v>
      </c>
      <c r="X68" s="39">
        <f>SUMIF('Exp Details'!$D$35:$D$37,'Function-Grant'!X$4,'Exp Details'!$H$35:$H$37)</f>
        <v>0</v>
      </c>
      <c r="Y68" s="39">
        <f>SUMIF('Exp Details'!$D$35:$D$37,'Function-Grant'!Y$4,'Exp Details'!$H$35:$H$37)</f>
        <v>0</v>
      </c>
      <c r="Z68" s="39">
        <f>SUMIF('Exp Details'!$D$35:$D$37,'Function-Grant'!Z$4,'Exp Details'!$H$35:$H$37)</f>
        <v>0</v>
      </c>
      <c r="AA68" s="39">
        <f>SUMIF('Exp Details'!$D$35:$D$37,'Function-Grant'!AA$4,'Exp Details'!$H$35:$H$37)</f>
        <v>0</v>
      </c>
      <c r="AB68" s="39">
        <f>SUMIF('Exp Details'!$D$35:$D$37,'Function-Grant'!AB$4,'Exp Details'!$H$35:$H$37)</f>
        <v>0</v>
      </c>
      <c r="AC68" s="39">
        <f>SUMIF('Exp Details'!$D$35:$D$37,'Function-Grant'!AC$4,'Exp Details'!$H$35:$H$37)</f>
        <v>0</v>
      </c>
      <c r="AD68" s="39">
        <f>SUMIF('Exp Details'!$D$35:$D$37,'Function-Grant'!AD$4,'Exp Details'!$H$35:$H$37)</f>
        <v>0</v>
      </c>
      <c r="AE68" s="39">
        <f>SUMIF('Exp Details'!$D$35:$D$37,'Function-Grant'!AE$4,'Exp Details'!$H$35:$H$37)</f>
        <v>0</v>
      </c>
      <c r="AF68" s="39">
        <f>SUMIF('Exp Details'!$D$35:$D$37,'Function-Grant'!AF$4,'Exp Details'!$H$35:$H$37)</f>
        <v>0</v>
      </c>
      <c r="AG68" s="39">
        <f>SUMIF('Exp Details'!$D$35:$D$37,'Function-Grant'!AG$4,'Exp Details'!$H$35:$H$37)</f>
        <v>0</v>
      </c>
      <c r="AH68" s="39">
        <f>SUMIF('Exp Details'!$D$35:$D$37,'Function-Grant'!AH$4,'Exp Details'!$H$35:$H$37)</f>
        <v>0</v>
      </c>
      <c r="AI68" s="39">
        <f>SUMIF('Exp Details'!$D$35:$D$37,'Function-Grant'!AI$4,'Exp Details'!$H$35:$H$37)</f>
        <v>0</v>
      </c>
      <c r="AJ68" s="39">
        <f>SUMIF('Exp Details'!$D$35:$D$37,'Function-Grant'!AJ$4,'Exp Details'!$H$35:$H$37)</f>
        <v>0</v>
      </c>
      <c r="AK68" s="39">
        <f>SUMIF('Exp Details'!$D$35:$D$37,'Function-Grant'!AK$4,'Exp Details'!$H$35:$H$37)</f>
        <v>0</v>
      </c>
      <c r="AL68" s="39">
        <f>SUMIF('Exp Details'!$D$35:$D$37,'Function-Grant'!AL$4,'Exp Details'!$H$35:$H$37)</f>
        <v>0</v>
      </c>
      <c r="AM68" s="41"/>
      <c r="AN68" s="59">
        <f t="shared" si="19"/>
        <v>0</v>
      </c>
      <c r="AO68" s="41"/>
      <c r="AP68" s="259">
        <f>AN68-'FY21'!S68</f>
        <v>0</v>
      </c>
    </row>
    <row r="69" spans="3:42" s="37" customFormat="1" ht="12" x14ac:dyDescent="0.2">
      <c r="C69" s="199">
        <v>6337</v>
      </c>
      <c r="D69" s="37" t="s">
        <v>14</v>
      </c>
      <c r="E69" s="39">
        <f>SUMIF('Exp Details'!$D$41:$D$44,'Function-Grant'!E$4,'Exp Details'!$H$41:$H$44)</f>
        <v>0</v>
      </c>
      <c r="F69" s="39">
        <f>SUMIF('Exp Details'!$D$41:$D$44,'Function-Grant'!F$4,'Exp Details'!$H$41:$H$44)</f>
        <v>0</v>
      </c>
      <c r="G69" s="39">
        <f>SUMIF('Exp Details'!$D$41:$D$44,'Function-Grant'!G$4,'Exp Details'!$H$41:$H$44)</f>
        <v>0</v>
      </c>
      <c r="H69" s="39">
        <f>SUMIF('Exp Details'!$D$41:$D$44,'Function-Grant'!H$4,'Exp Details'!$H$41:$H$44)</f>
        <v>0</v>
      </c>
      <c r="I69" s="39">
        <f>SUMIF('Exp Details'!$D$41:$D$44,'Function-Grant'!I$4,'Exp Details'!$H$41:$H$44)</f>
        <v>0</v>
      </c>
      <c r="J69" s="39">
        <f>SUMIF('Exp Details'!$D$41:$D$44,'Function-Grant'!J$4,'Exp Details'!$H$41:$H$44)</f>
        <v>0</v>
      </c>
      <c r="K69" s="39">
        <f>SUMIF('Exp Details'!$D$41:$D$44,'Function-Grant'!K$4,'Exp Details'!$H$41:$H$44)</f>
        <v>0</v>
      </c>
      <c r="L69" s="39">
        <f>SUMIF('Exp Details'!$D$41:$D$44,'Function-Grant'!L$4,'Exp Details'!$H$41:$H$44)</f>
        <v>0</v>
      </c>
      <c r="M69" s="39">
        <f>SUMIF('Exp Details'!$D$41:$D$44,'Function-Grant'!M$4,'Exp Details'!$H$41:$H$44)</f>
        <v>0</v>
      </c>
      <c r="N69" s="39">
        <f>SUMIF('Exp Details'!$D$41:$D$44,'Function-Grant'!N$4,'Exp Details'!$H$41:$H$44)</f>
        <v>500</v>
      </c>
      <c r="O69" s="39">
        <f>SUMIF('Exp Details'!$D$41:$D$44,'Function-Grant'!O$4,'Exp Details'!$H$41:$H$44)</f>
        <v>0</v>
      </c>
      <c r="P69" s="39">
        <f>SUMIF('Exp Details'!$D$41:$D$44,'Function-Grant'!P$4,'Exp Details'!$H$41:$H$44)</f>
        <v>0</v>
      </c>
      <c r="Q69" s="39">
        <f>SUMIF('Exp Details'!$D$41:$D$44,'Function-Grant'!Q$4,'Exp Details'!$H$41:$H$44)</f>
        <v>0</v>
      </c>
      <c r="R69" s="39">
        <f>SUMIF('Exp Details'!$D$41:$D$44,'Function-Grant'!R$4,'Exp Details'!$H$41:$H$44)</f>
        <v>0</v>
      </c>
      <c r="S69" s="39">
        <f>SUMIF('Exp Details'!$D$41:$D$44,'Function-Grant'!S$4,'Exp Details'!$H$41:$H$44)</f>
        <v>0</v>
      </c>
      <c r="T69" s="39">
        <f>SUMIF('Exp Details'!$D$41:$D$44,'Function-Grant'!T$4,'Exp Details'!$H$41:$H$44)</f>
        <v>0</v>
      </c>
      <c r="U69" s="39">
        <f>SUMIF('Exp Details'!$D$41:$D$44,'Function-Grant'!U$4,'Exp Details'!$H$41:$H$44)</f>
        <v>0</v>
      </c>
      <c r="V69" s="39">
        <f>SUMIF('Exp Details'!$D$41:$D$44,'Function-Grant'!V$4,'Exp Details'!$H$41:$H$44)</f>
        <v>0</v>
      </c>
      <c r="W69" s="39">
        <f>SUMIF('Exp Details'!$D$41:$D$44,'Function-Grant'!W$4,'Exp Details'!$H$41:$H$44)</f>
        <v>0</v>
      </c>
      <c r="X69" s="39">
        <f>SUMIF('Exp Details'!$D$41:$D$44,'Function-Grant'!X$4,'Exp Details'!$H$41:$H$44)</f>
        <v>0</v>
      </c>
      <c r="Y69" s="39">
        <f>SUMIF('Exp Details'!$D$41:$D$44,'Function-Grant'!Y$4,'Exp Details'!$H$41:$H$44)</f>
        <v>0</v>
      </c>
      <c r="Z69" s="39">
        <f>SUMIF('Exp Details'!$D$41:$D$44,'Function-Grant'!Z$4,'Exp Details'!$H$41:$H$44)</f>
        <v>0</v>
      </c>
      <c r="AA69" s="39">
        <f>SUMIF('Exp Details'!$D$41:$D$44,'Function-Grant'!AA$4,'Exp Details'!$H$41:$H$44)</f>
        <v>0</v>
      </c>
      <c r="AB69" s="39">
        <f>SUMIF('Exp Details'!$D$41:$D$44,'Function-Grant'!AB$4,'Exp Details'!$H$41:$H$44)</f>
        <v>0</v>
      </c>
      <c r="AC69" s="39">
        <f>SUMIF('Exp Details'!$D$41:$D$44,'Function-Grant'!AC$4,'Exp Details'!$H$41:$H$44)</f>
        <v>0</v>
      </c>
      <c r="AD69" s="39">
        <f>SUMIF('Exp Details'!$D$41:$D$44,'Function-Grant'!AD$4,'Exp Details'!$H$41:$H$44)</f>
        <v>0</v>
      </c>
      <c r="AE69" s="39">
        <f>SUMIF('Exp Details'!$D$41:$D$44,'Function-Grant'!AE$4,'Exp Details'!$H$41:$H$44)</f>
        <v>0</v>
      </c>
      <c r="AF69" s="39">
        <f>SUMIF('Exp Details'!$D$41:$D$44,'Function-Grant'!AF$4,'Exp Details'!$H$41:$H$44)</f>
        <v>0</v>
      </c>
      <c r="AG69" s="39">
        <f>SUMIF('Exp Details'!$D$41:$D$44,'Function-Grant'!AG$4,'Exp Details'!$H$41:$H$44)</f>
        <v>0</v>
      </c>
      <c r="AH69" s="39">
        <f>SUMIF('Exp Details'!$D$41:$D$44,'Function-Grant'!AH$4,'Exp Details'!$H$41:$H$44)</f>
        <v>0</v>
      </c>
      <c r="AI69" s="39">
        <f>SUMIF('Exp Details'!$D$41:$D$44,'Function-Grant'!AI$4,'Exp Details'!$H$41:$H$44)</f>
        <v>0</v>
      </c>
      <c r="AJ69" s="39">
        <f>SUMIF('Exp Details'!$D$41:$D$44,'Function-Grant'!AJ$4,'Exp Details'!$H$41:$H$44)</f>
        <v>0</v>
      </c>
      <c r="AK69" s="39">
        <f>SUMIF('Exp Details'!$D$41:$D$44,'Function-Grant'!AK$4,'Exp Details'!$H$41:$H$44)</f>
        <v>0</v>
      </c>
      <c r="AL69" s="39">
        <f>SUMIF('Exp Details'!$D$41:$D$44,'Function-Grant'!AL$4,'Exp Details'!$H$41:$H$44)</f>
        <v>0</v>
      </c>
      <c r="AM69" s="41"/>
      <c r="AN69" s="59">
        <f t="shared" si="19"/>
        <v>500</v>
      </c>
      <c r="AO69" s="41"/>
      <c r="AP69" s="259">
        <f>AN69-'FY21'!S69</f>
        <v>0</v>
      </c>
    </row>
    <row r="70" spans="3:42" s="37" customFormat="1" ht="12" x14ac:dyDescent="0.2">
      <c r="C70" s="199">
        <v>6340</v>
      </c>
      <c r="D70" s="37" t="s">
        <v>15</v>
      </c>
      <c r="E70" s="39">
        <f>SUMIF('Exp Details'!$D$48:$D$52,'Function-Grant'!E$4,'Exp Details'!$H$48:$H$52)</f>
        <v>0</v>
      </c>
      <c r="F70" s="39">
        <f>SUMIF('Exp Details'!$D$48:$D$52,'Function-Grant'!F$4,'Exp Details'!$H$48:$H$52)</f>
        <v>0</v>
      </c>
      <c r="G70" s="39">
        <f>SUMIF('Exp Details'!$D$48:$D$52,'Function-Grant'!G$4,'Exp Details'!$H$48:$H$52)</f>
        <v>0</v>
      </c>
      <c r="H70" s="39">
        <f>SUMIF('Exp Details'!$D$48:$D$52,'Function-Grant'!H$4,'Exp Details'!$H$48:$H$52)</f>
        <v>0</v>
      </c>
      <c r="I70" s="39">
        <f>SUMIF('Exp Details'!$D$48:$D$52,'Function-Grant'!I$4,'Exp Details'!$H$48:$H$52)</f>
        <v>0</v>
      </c>
      <c r="J70" s="39">
        <f>SUMIF('Exp Details'!$D$48:$D$52,'Function-Grant'!J$4,'Exp Details'!$H$48:$H$52)</f>
        <v>0</v>
      </c>
      <c r="K70" s="39">
        <f>SUMIF('Exp Details'!$D$48:$D$52,'Function-Grant'!K$4,'Exp Details'!$H$48:$H$52)</f>
        <v>0</v>
      </c>
      <c r="L70" s="39">
        <f>SUMIF('Exp Details'!$D$48:$D$52,'Function-Grant'!L$4,'Exp Details'!$H$48:$H$52)</f>
        <v>0</v>
      </c>
      <c r="M70" s="39">
        <f>SUMIF('Exp Details'!$D$48:$D$52,'Function-Grant'!M$4,'Exp Details'!$H$48:$H$52)</f>
        <v>0</v>
      </c>
      <c r="N70" s="39">
        <f>SUMIF('Exp Details'!$D$48:$D$52,'Function-Grant'!N$4,'Exp Details'!$H$48:$H$52)</f>
        <v>0</v>
      </c>
      <c r="O70" s="39">
        <f>SUMIF('Exp Details'!$D$48:$D$52,'Function-Grant'!O$4,'Exp Details'!$H$48:$H$52)</f>
        <v>0</v>
      </c>
      <c r="P70" s="370">
        <f>SUMIF('Exp Details'!$D$48:$D$52,'Function-Grant'!P$4,'Exp Details'!$H$48:$H$52)</f>
        <v>9504</v>
      </c>
      <c r="Q70" s="39">
        <f>SUMIF('Exp Details'!$D$48:$D$52,'Function-Grant'!Q$4,'Exp Details'!$H$48:$H$52)</f>
        <v>0</v>
      </c>
      <c r="R70" s="39">
        <f>SUMIF('Exp Details'!$D$48:$D$52,'Function-Grant'!R$4,'Exp Details'!$H$48:$H$52)</f>
        <v>0</v>
      </c>
      <c r="S70" s="39">
        <f>SUMIF('Exp Details'!$D$48:$D$52,'Function-Grant'!S$4,'Exp Details'!$H$48:$H$52)</f>
        <v>0</v>
      </c>
      <c r="T70" s="39">
        <f>SUMIF('Exp Details'!$D$48:$D$52,'Function-Grant'!T$4,'Exp Details'!$H$48:$H$52)</f>
        <v>0</v>
      </c>
      <c r="U70" s="370">
        <f>SUMIF('Exp Details'!$D$48:$D$52,'Function-Grant'!U$4,'Exp Details'!$H$48:$H$52)</f>
        <v>0</v>
      </c>
      <c r="V70" s="39">
        <f>SUMIF('Exp Details'!$D$48:$D$52,'Function-Grant'!V$4,'Exp Details'!$H$48:$H$52)</f>
        <v>0</v>
      </c>
      <c r="W70" s="39">
        <f>SUMIF('Exp Details'!$D$48:$D$52,'Function-Grant'!W$4,'Exp Details'!$H$48:$H$52)</f>
        <v>0</v>
      </c>
      <c r="X70" s="39">
        <f>SUMIF('Exp Details'!$D$48:$D$52,'Function-Grant'!X$4,'Exp Details'!$H$48:$H$52)</f>
        <v>0</v>
      </c>
      <c r="Y70" s="39">
        <f>SUMIF('Exp Details'!$D$48:$D$52,'Function-Grant'!Y$4,'Exp Details'!$H$48:$H$52)</f>
        <v>0</v>
      </c>
      <c r="Z70" s="39">
        <f>SUMIF('Exp Details'!$D$48:$D$52,'Function-Grant'!Z$4,'Exp Details'!$H$48:$H$52)</f>
        <v>0</v>
      </c>
      <c r="AA70" s="39">
        <f>SUMIF('Exp Details'!$D$48:$D$52,'Function-Grant'!AA$4,'Exp Details'!$H$48:$H$52)</f>
        <v>0</v>
      </c>
      <c r="AB70" s="39">
        <f>SUMIF('Exp Details'!$D$48:$D$52,'Function-Grant'!AB$4,'Exp Details'!$H$48:$H$52)</f>
        <v>0</v>
      </c>
      <c r="AC70" s="39">
        <f>SUMIF('Exp Details'!$D$48:$D$52,'Function-Grant'!AC$4,'Exp Details'!$H$48:$H$52)</f>
        <v>0</v>
      </c>
      <c r="AD70" s="39">
        <f>SUMIF('Exp Details'!$D$48:$D$52,'Function-Grant'!AD$4,'Exp Details'!$H$48:$H$52)</f>
        <v>0</v>
      </c>
      <c r="AE70" s="39">
        <f>SUMIF('Exp Details'!$D$48:$D$52,'Function-Grant'!AE$4,'Exp Details'!$H$48:$H$52)</f>
        <v>0</v>
      </c>
      <c r="AF70" s="39">
        <f>SUMIF('Exp Details'!$D$48:$D$52,'Function-Grant'!AF$4,'Exp Details'!$H$48:$H$52)</f>
        <v>0</v>
      </c>
      <c r="AG70" s="39">
        <f>SUMIF('Exp Details'!$D$48:$D$52,'Function-Grant'!AG$4,'Exp Details'!$H$48:$H$52)</f>
        <v>0</v>
      </c>
      <c r="AH70" s="39">
        <f>SUMIF('Exp Details'!$D$48:$D$52,'Function-Grant'!AH$4,'Exp Details'!$H$48:$H$52)</f>
        <v>0</v>
      </c>
      <c r="AI70" s="39">
        <f>SUMIF('Exp Details'!$D$48:$D$52,'Function-Grant'!AI$4,'Exp Details'!$H$48:$H$52)</f>
        <v>0</v>
      </c>
      <c r="AJ70" s="39">
        <f>SUMIF('Exp Details'!$D$48:$D$52,'Function-Grant'!AJ$4,'Exp Details'!$H$48:$H$52)</f>
        <v>0</v>
      </c>
      <c r="AK70" s="39">
        <f>SUMIF('Exp Details'!$D$48:$D$52,'Function-Grant'!AK$4,'Exp Details'!$H$48:$H$52)</f>
        <v>0</v>
      </c>
      <c r="AL70" s="39">
        <f>SUMIF('Exp Details'!$D$48:$D$52,'Function-Grant'!AL$4,'Exp Details'!$H$48:$H$52)</f>
        <v>0</v>
      </c>
      <c r="AM70" s="41"/>
      <c r="AN70" s="59">
        <f t="shared" si="19"/>
        <v>9504</v>
      </c>
      <c r="AO70" s="41"/>
      <c r="AP70" s="259">
        <f>AN70-'FY21'!S70</f>
        <v>0</v>
      </c>
    </row>
    <row r="71" spans="3:42" s="37" customFormat="1" ht="12" x14ac:dyDescent="0.2">
      <c r="C71" s="199">
        <v>6345</v>
      </c>
      <c r="D71" s="37" t="s">
        <v>16</v>
      </c>
      <c r="E71" s="39">
        <f>SUMIF('Exp Details'!$D$56:$D$58,'Function-Grant'!E$4,'Exp Details'!$H$56:$H$58)</f>
        <v>0</v>
      </c>
      <c r="F71" s="39">
        <f>SUMIF('Exp Details'!$D$56:$D$58,'Function-Grant'!F$4,'Exp Details'!$H$56:$H$58)</f>
        <v>0</v>
      </c>
      <c r="G71" s="39">
        <f>SUMIF('Exp Details'!$D$56:$D$58,'Function-Grant'!G$4,'Exp Details'!$H$56:$H$58)</f>
        <v>0</v>
      </c>
      <c r="H71" s="39">
        <f>SUMIF('Exp Details'!$D$56:$D$58,'Function-Grant'!H$4,'Exp Details'!$H$56:$H$58)</f>
        <v>0</v>
      </c>
      <c r="I71" s="39">
        <f>SUMIF('Exp Details'!$D$56:$D$58,'Function-Grant'!I$4,'Exp Details'!$H$56:$H$58)</f>
        <v>0</v>
      </c>
      <c r="J71" s="39">
        <f>SUMIF('Exp Details'!$D$56:$D$58,'Function-Grant'!J$4,'Exp Details'!$H$56:$H$58)</f>
        <v>0</v>
      </c>
      <c r="K71" s="39">
        <f>SUMIF('Exp Details'!$D$56:$D$58,'Function-Grant'!K$4,'Exp Details'!$H$56:$H$58)</f>
        <v>0</v>
      </c>
      <c r="L71" s="39">
        <f>SUMIF('Exp Details'!$D$56:$D$58,'Function-Grant'!L$4,'Exp Details'!$H$56:$H$58)</f>
        <v>0</v>
      </c>
      <c r="M71" s="39">
        <f>SUMIF('Exp Details'!$D$56:$D$58,'Function-Grant'!M$4,'Exp Details'!$H$56:$H$58)</f>
        <v>0</v>
      </c>
      <c r="N71" s="39">
        <f>SUMIF('Exp Details'!$D$56:$D$58,'Function-Grant'!N$4,'Exp Details'!$H$56:$H$58)</f>
        <v>0</v>
      </c>
      <c r="O71" s="39">
        <f>SUMIF('Exp Details'!$D$56:$D$58,'Function-Grant'!O$4,'Exp Details'!$H$56:$H$58)</f>
        <v>0</v>
      </c>
      <c r="P71" s="39">
        <f>SUMIF('Exp Details'!$D$56:$D$58,'Function-Grant'!P$4,'Exp Details'!$H$56:$H$58)</f>
        <v>0</v>
      </c>
      <c r="Q71" s="39">
        <f>SUMIF('Exp Details'!$D$56:$D$58,'Function-Grant'!Q$4,'Exp Details'!$H$56:$H$58)</f>
        <v>0</v>
      </c>
      <c r="R71" s="39">
        <f>SUMIF('Exp Details'!$D$56:$D$58,'Function-Grant'!R$4,'Exp Details'!$H$56:$H$58)</f>
        <v>0</v>
      </c>
      <c r="S71" s="39">
        <f>SUMIF('Exp Details'!$D$56:$D$58,'Function-Grant'!S$4,'Exp Details'!$H$56:$H$58)</f>
        <v>0</v>
      </c>
      <c r="T71" s="39">
        <f>SUMIF('Exp Details'!$D$56:$D$58,'Function-Grant'!T$4,'Exp Details'!$H$56:$H$58)</f>
        <v>0</v>
      </c>
      <c r="U71" s="39">
        <f>SUMIF('Exp Details'!$D$56:$D$58,'Function-Grant'!U$4,'Exp Details'!$H$56:$H$58)</f>
        <v>0</v>
      </c>
      <c r="V71" s="39">
        <f>SUMIF('Exp Details'!$D$56:$D$58,'Function-Grant'!V$4,'Exp Details'!$H$56:$H$58)</f>
        <v>0</v>
      </c>
      <c r="W71" s="39">
        <f>SUMIF('Exp Details'!$D$56:$D$58,'Function-Grant'!W$4,'Exp Details'!$H$56:$H$58)</f>
        <v>0</v>
      </c>
      <c r="X71" s="39">
        <f>SUMIF('Exp Details'!$D$56:$D$58,'Function-Grant'!X$4,'Exp Details'!$H$56:$H$58)</f>
        <v>0</v>
      </c>
      <c r="Y71" s="39">
        <f>SUMIF('Exp Details'!$D$56:$D$58,'Function-Grant'!Y$4,'Exp Details'!$H$56:$H$58)</f>
        <v>0</v>
      </c>
      <c r="Z71" s="39">
        <f>SUMIF('Exp Details'!$D$56:$D$58,'Function-Grant'!Z$4,'Exp Details'!$H$56:$H$58)</f>
        <v>0</v>
      </c>
      <c r="AA71" s="39">
        <f>SUMIF('Exp Details'!$D$56:$D$58,'Function-Grant'!AA$4,'Exp Details'!$H$56:$H$58)</f>
        <v>0</v>
      </c>
      <c r="AB71" s="39">
        <f>SUMIF('Exp Details'!$D$56:$D$58,'Function-Grant'!AB$4,'Exp Details'!$H$56:$H$58)</f>
        <v>0</v>
      </c>
      <c r="AC71" s="39">
        <f>SUMIF('Exp Details'!$D$56:$D$58,'Function-Grant'!AC$4,'Exp Details'!$H$56:$H$58)</f>
        <v>0</v>
      </c>
      <c r="AD71" s="39">
        <f>SUMIF('Exp Details'!$D$56:$D$58,'Function-Grant'!AD$4,'Exp Details'!$H$56:$H$58)</f>
        <v>0</v>
      </c>
      <c r="AE71" s="39">
        <f>SUMIF('Exp Details'!$D$56:$D$58,'Function-Grant'!AE$4,'Exp Details'!$H$56:$H$58)</f>
        <v>0</v>
      </c>
      <c r="AF71" s="39">
        <f>SUMIF('Exp Details'!$D$56:$D$58,'Function-Grant'!AF$4,'Exp Details'!$H$56:$H$58)</f>
        <v>0</v>
      </c>
      <c r="AG71" s="39">
        <f>SUMIF('Exp Details'!$D$56:$D$58,'Function-Grant'!AG$4,'Exp Details'!$H$56:$H$58)</f>
        <v>0</v>
      </c>
      <c r="AH71" s="39">
        <f>SUMIF('Exp Details'!$D$56:$D$58,'Function-Grant'!AH$4,'Exp Details'!$H$56:$H$58)</f>
        <v>0</v>
      </c>
      <c r="AI71" s="39">
        <f>SUMIF('Exp Details'!$D$56:$D$58,'Function-Grant'!AI$4,'Exp Details'!$H$56:$H$58)</f>
        <v>0</v>
      </c>
      <c r="AJ71" s="39">
        <f>SUMIF('Exp Details'!$D$56:$D$58,'Function-Grant'!AJ$4,'Exp Details'!$H$56:$H$58)</f>
        <v>0</v>
      </c>
      <c r="AK71" s="39">
        <f>SUMIF('Exp Details'!$D$56:$D$58,'Function-Grant'!AK$4,'Exp Details'!$H$56:$H$58)</f>
        <v>0</v>
      </c>
      <c r="AL71" s="39">
        <f>SUMIF('Exp Details'!$D$56:$D$58,'Function-Grant'!AL$4,'Exp Details'!$H$56:$H$58)</f>
        <v>0</v>
      </c>
      <c r="AM71" s="41"/>
      <c r="AN71" s="59">
        <f t="shared" si="19"/>
        <v>0</v>
      </c>
      <c r="AO71" s="41"/>
      <c r="AP71" s="259">
        <f>AN71-'FY21'!S71</f>
        <v>0</v>
      </c>
    </row>
    <row r="72" spans="3:42" s="37" customFormat="1" ht="12" x14ac:dyDescent="0.2">
      <c r="C72" s="199">
        <v>6350</v>
      </c>
      <c r="D72" s="37" t="s">
        <v>17</v>
      </c>
      <c r="E72" s="39">
        <f>SUMIF('Exp Details'!$D$62:$D$64,'Function-Grant'!E$4,'Exp Details'!$H$62:$H$64)</f>
        <v>0</v>
      </c>
      <c r="F72" s="39">
        <f>SUMIF('Exp Details'!$D$62:$D$64,'Function-Grant'!F$4,'Exp Details'!$H$62:$H$64)</f>
        <v>0</v>
      </c>
      <c r="G72" s="39">
        <f>SUMIF('Exp Details'!$D$62:$D$64,'Function-Grant'!G$4,'Exp Details'!$H$62:$H$64)</f>
        <v>0</v>
      </c>
      <c r="H72" s="39">
        <f>SUMIF('Exp Details'!$D$62:$D$64,'Function-Grant'!H$4,'Exp Details'!$H$62:$H$64)</f>
        <v>0</v>
      </c>
      <c r="I72" s="39">
        <f>SUMIF('Exp Details'!$D$62:$D$64,'Function-Grant'!I$4,'Exp Details'!$H$62:$H$64)</f>
        <v>0</v>
      </c>
      <c r="J72" s="39">
        <f>SUMIF('Exp Details'!$D$62:$D$64,'Function-Grant'!J$4,'Exp Details'!$H$62:$H$64)</f>
        <v>0</v>
      </c>
      <c r="K72" s="39">
        <f>SUMIF('Exp Details'!$D$62:$D$64,'Function-Grant'!K$4,'Exp Details'!$H$62:$H$64)</f>
        <v>0</v>
      </c>
      <c r="L72" s="39">
        <f>SUMIF('Exp Details'!$D$62:$D$64,'Function-Grant'!L$4,'Exp Details'!$H$62:$H$64)</f>
        <v>0</v>
      </c>
      <c r="M72" s="39">
        <f>SUMIF('Exp Details'!$D$62:$D$64,'Function-Grant'!M$4,'Exp Details'!$H$62:$H$64)</f>
        <v>0</v>
      </c>
      <c r="N72" s="39">
        <f>SUMIF('Exp Details'!$D$62:$D$64,'Function-Grant'!N$4,'Exp Details'!$H$62:$H$64)</f>
        <v>0</v>
      </c>
      <c r="O72" s="39">
        <f>SUMIF('Exp Details'!$D$62:$D$64,'Function-Grant'!O$4,'Exp Details'!$H$62:$H$64)</f>
        <v>0</v>
      </c>
      <c r="P72" s="39">
        <f>SUMIF('Exp Details'!$D$62:$D$64,'Function-Grant'!P$4,'Exp Details'!$H$62:$H$64)</f>
        <v>0</v>
      </c>
      <c r="Q72" s="39">
        <f>SUMIF('Exp Details'!$D$62:$D$64,'Function-Grant'!Q$4,'Exp Details'!$H$62:$H$64)</f>
        <v>0</v>
      </c>
      <c r="R72" s="39">
        <f>SUMIF('Exp Details'!$D$62:$D$64,'Function-Grant'!R$4,'Exp Details'!$H$62:$H$64)</f>
        <v>0</v>
      </c>
      <c r="S72" s="370">
        <f>SUMIF('Exp Details'!$D$62:$D$64,'Function-Grant'!S$4,'Exp Details'!$H$62:$H$64)</f>
        <v>500</v>
      </c>
      <c r="T72" s="39">
        <f>SUMIF('Exp Details'!$D$62:$D$64,'Function-Grant'!T$4,'Exp Details'!$H$62:$H$64)</f>
        <v>0</v>
      </c>
      <c r="U72" s="39">
        <f>SUMIF('Exp Details'!$D$62:$D$64,'Function-Grant'!U$4,'Exp Details'!$H$62:$H$64)</f>
        <v>0</v>
      </c>
      <c r="V72" s="39">
        <f>SUMIF('Exp Details'!$D$62:$D$64,'Function-Grant'!V$4,'Exp Details'!$H$62:$H$64)</f>
        <v>0</v>
      </c>
      <c r="W72" s="39">
        <f>SUMIF('Exp Details'!$D$62:$D$64,'Function-Grant'!W$4,'Exp Details'!$H$62:$H$64)</f>
        <v>0</v>
      </c>
      <c r="X72" s="39">
        <f>SUMIF('Exp Details'!$D$62:$D$64,'Function-Grant'!X$4,'Exp Details'!$H$62:$H$64)</f>
        <v>0</v>
      </c>
      <c r="Y72" s="39">
        <f>SUMIF('Exp Details'!$D$62:$D$64,'Function-Grant'!Y$4,'Exp Details'!$H$62:$H$64)</f>
        <v>0</v>
      </c>
      <c r="Z72" s="39">
        <f>SUMIF('Exp Details'!$D$62:$D$64,'Function-Grant'!Z$4,'Exp Details'!$H$62:$H$64)</f>
        <v>0</v>
      </c>
      <c r="AA72" s="39">
        <f>SUMIF('Exp Details'!$D$62:$D$64,'Function-Grant'!AA$4,'Exp Details'!$H$62:$H$64)</f>
        <v>0</v>
      </c>
      <c r="AB72" s="39">
        <f>SUMIF('Exp Details'!$D$62:$D$64,'Function-Grant'!AB$4,'Exp Details'!$H$62:$H$64)</f>
        <v>0</v>
      </c>
      <c r="AC72" s="39">
        <f>SUMIF('Exp Details'!$D$62:$D$64,'Function-Grant'!AC$4,'Exp Details'!$H$62:$H$64)</f>
        <v>0</v>
      </c>
      <c r="AD72" s="39">
        <f>SUMIF('Exp Details'!$D$62:$D$64,'Function-Grant'!AD$4,'Exp Details'!$H$62:$H$64)</f>
        <v>0</v>
      </c>
      <c r="AE72" s="39">
        <f>SUMIF('Exp Details'!$D$62:$D$64,'Function-Grant'!AE$4,'Exp Details'!$H$62:$H$64)</f>
        <v>0</v>
      </c>
      <c r="AF72" s="39">
        <f>SUMIF('Exp Details'!$D$62:$D$64,'Function-Grant'!AF$4,'Exp Details'!$H$62:$H$64)</f>
        <v>0</v>
      </c>
      <c r="AG72" s="39">
        <f>SUMIF('Exp Details'!$D$62:$D$64,'Function-Grant'!AG$4,'Exp Details'!$H$62:$H$64)</f>
        <v>0</v>
      </c>
      <c r="AH72" s="39">
        <f>SUMIF('Exp Details'!$D$62:$D$64,'Function-Grant'!AH$4,'Exp Details'!$H$62:$H$64)</f>
        <v>0</v>
      </c>
      <c r="AI72" s="39">
        <f>SUMIF('Exp Details'!$D$62:$D$64,'Function-Grant'!AI$4,'Exp Details'!$H$62:$H$64)</f>
        <v>0</v>
      </c>
      <c r="AJ72" s="39">
        <f>SUMIF('Exp Details'!$D$62:$D$64,'Function-Grant'!AJ$4,'Exp Details'!$H$62:$H$64)</f>
        <v>0</v>
      </c>
      <c r="AK72" s="39">
        <f>SUMIF('Exp Details'!$D$62:$D$64,'Function-Grant'!AK$4,'Exp Details'!$H$62:$H$64)</f>
        <v>0</v>
      </c>
      <c r="AL72" s="39">
        <f>SUMIF('Exp Details'!$D$62:$D$64,'Function-Grant'!AL$4,'Exp Details'!$H$62:$H$64)</f>
        <v>0</v>
      </c>
      <c r="AM72" s="41"/>
      <c r="AN72" s="59">
        <f t="shared" si="19"/>
        <v>500</v>
      </c>
      <c r="AO72" s="41"/>
      <c r="AP72" s="259">
        <f>AN72-'FY21'!S72</f>
        <v>0</v>
      </c>
    </row>
    <row r="73" spans="3:42" s="37" customFormat="1" ht="12" x14ac:dyDescent="0.2">
      <c r="C73" s="199">
        <v>6351</v>
      </c>
      <c r="D73" s="37" t="s">
        <v>18</v>
      </c>
      <c r="E73" s="39">
        <f>SUMIF('Exp Details'!$D$68:$D$73,'Function-Grant'!E$4,'Exp Details'!$H$68:$H$73)</f>
        <v>0</v>
      </c>
      <c r="F73" s="39">
        <f>SUMIF('Exp Details'!$D$68:$D$73,'Function-Grant'!F$4,'Exp Details'!$H$68:$H$73)</f>
        <v>0</v>
      </c>
      <c r="G73" s="39">
        <f>SUMIF('Exp Details'!$D$68:$D$73,'Function-Grant'!G$4,'Exp Details'!$H$68:$H$73)</f>
        <v>0</v>
      </c>
      <c r="H73" s="39">
        <f>SUMIF('Exp Details'!$D$68:$D$73,'Function-Grant'!H$4,'Exp Details'!$H$68:$H$73)</f>
        <v>0</v>
      </c>
      <c r="I73" s="39">
        <f>SUMIF('Exp Details'!$D$68:$D$73,'Function-Grant'!I$4,'Exp Details'!$H$68:$H$73)</f>
        <v>0</v>
      </c>
      <c r="J73" s="39">
        <f>SUMIF('Exp Details'!$D$68:$D$73,'Function-Grant'!J$4,'Exp Details'!$H$68:$H$73)</f>
        <v>0</v>
      </c>
      <c r="K73" s="39">
        <f>SUMIF('Exp Details'!$D$68:$D$73,'Function-Grant'!K$4,'Exp Details'!$H$68:$H$73)</f>
        <v>0</v>
      </c>
      <c r="L73" s="39">
        <f>SUMIF('Exp Details'!$D$68:$D$73,'Function-Grant'!L$4,'Exp Details'!$H$68:$H$73)</f>
        <v>0</v>
      </c>
      <c r="M73" s="39">
        <f>SUMIF('Exp Details'!$D$68:$D$73,'Function-Grant'!M$4,'Exp Details'!$H$68:$H$73)</f>
        <v>0</v>
      </c>
      <c r="N73" s="39">
        <f>SUMIF('Exp Details'!$D$68:$D$73,'Function-Grant'!N$4,'Exp Details'!$H$68:$H$73)</f>
        <v>0</v>
      </c>
      <c r="O73" s="39">
        <f>SUMIF('Exp Details'!$D$68:$D$73,'Function-Grant'!O$4,'Exp Details'!$H$68:$H$73)</f>
        <v>0</v>
      </c>
      <c r="P73" s="39">
        <f>SUMIF('Exp Details'!$D$68:$D$73,'Function-Grant'!P$4,'Exp Details'!$H$68:$H$73)</f>
        <v>0</v>
      </c>
      <c r="Q73" s="39">
        <f>SUMIF('Exp Details'!$D$68:$D$73,'Function-Grant'!Q$4,'Exp Details'!$H$68:$H$73)</f>
        <v>0</v>
      </c>
      <c r="R73" s="39">
        <f>SUMIF('Exp Details'!$D$68:$D$73,'Function-Grant'!R$4,'Exp Details'!$H$68:$H$73)</f>
        <v>0</v>
      </c>
      <c r="S73" s="39">
        <f>SUMIF('Exp Details'!$D$68:$D$73,'Function-Grant'!S$4,'Exp Details'!$H$68:$H$73)</f>
        <v>0</v>
      </c>
      <c r="T73" s="39">
        <f>SUMIF('Exp Details'!$D$68:$D$73,'Function-Grant'!T$4,'Exp Details'!$H$68:$H$73)</f>
        <v>0</v>
      </c>
      <c r="U73" s="39">
        <f>SUMIF('Exp Details'!$D$68:$D$73,'Function-Grant'!U$4,'Exp Details'!$H$68:$H$73)</f>
        <v>0</v>
      </c>
      <c r="V73" s="39">
        <f>SUMIF('Exp Details'!$D$68:$D$73,'Function-Grant'!V$4,'Exp Details'!$H$68:$H$73)</f>
        <v>0</v>
      </c>
      <c r="W73" s="39">
        <f>SUMIF('Exp Details'!$D$68:$D$73,'Function-Grant'!W$4,'Exp Details'!$H$68:$H$73)</f>
        <v>0</v>
      </c>
      <c r="X73" s="39">
        <f>SUMIF('Exp Details'!$D$68:$D$73,'Function-Grant'!X$4,'Exp Details'!$H$68:$H$73)</f>
        <v>0</v>
      </c>
      <c r="Y73" s="39">
        <f>SUMIF('Exp Details'!$D$68:$D$73,'Function-Grant'!Y$4,'Exp Details'!$H$68:$H$73)</f>
        <v>0</v>
      </c>
      <c r="Z73" s="39">
        <f>SUMIF('Exp Details'!$D$68:$D$73,'Function-Grant'!Z$4,'Exp Details'!$H$68:$H$73)</f>
        <v>0</v>
      </c>
      <c r="AA73" s="39">
        <f>SUMIF('Exp Details'!$D$68:$D$73,'Function-Grant'!AA$4,'Exp Details'!$H$68:$H$73)</f>
        <v>0</v>
      </c>
      <c r="AB73" s="39">
        <f>SUMIF('Exp Details'!$D$68:$D$73,'Function-Grant'!AB$4,'Exp Details'!$H$68:$H$73)</f>
        <v>0</v>
      </c>
      <c r="AC73" s="39">
        <f>SUMIF('Exp Details'!$D$68:$D$73,'Function-Grant'!AC$4,'Exp Details'!$H$68:$H$73)</f>
        <v>0</v>
      </c>
      <c r="AD73" s="39">
        <f>SUMIF('Exp Details'!$D$68:$D$73,'Function-Grant'!AD$4,'Exp Details'!$H$68:$H$73)</f>
        <v>0</v>
      </c>
      <c r="AE73" s="39">
        <f>SUMIF('Exp Details'!$D$68:$D$73,'Function-Grant'!AE$4,'Exp Details'!$H$68:$H$73)</f>
        <v>0</v>
      </c>
      <c r="AF73" s="39">
        <f>SUMIF('Exp Details'!$D$68:$D$73,'Function-Grant'!AF$4,'Exp Details'!$H$68:$H$73)</f>
        <v>0</v>
      </c>
      <c r="AG73" s="39">
        <f>SUMIF('Exp Details'!$D$68:$D$73,'Function-Grant'!AG$4,'Exp Details'!$H$68:$H$73)</f>
        <v>0</v>
      </c>
      <c r="AH73" s="39">
        <f>SUMIF('Exp Details'!$D$68:$D$73,'Function-Grant'!AH$4,'Exp Details'!$H$68:$H$73)</f>
        <v>0</v>
      </c>
      <c r="AI73" s="39">
        <f>SUMIF('Exp Details'!$D$68:$D$73,'Function-Grant'!AI$4,'Exp Details'!$H$68:$H$73)</f>
        <v>0</v>
      </c>
      <c r="AJ73" s="39">
        <f>SUMIF('Exp Details'!$D$68:$D$73,'Function-Grant'!AJ$4,'Exp Details'!$H$68:$H$73)</f>
        <v>0</v>
      </c>
      <c r="AK73" s="39">
        <f>SUMIF('Exp Details'!$D$68:$D$73,'Function-Grant'!AK$4,'Exp Details'!$H$68:$H$73)</f>
        <v>0</v>
      </c>
      <c r="AL73" s="39">
        <f>SUMIF('Exp Details'!$D$68:$D$73,'Function-Grant'!AL$4,'Exp Details'!$H$68:$H$73)</f>
        <v>0</v>
      </c>
      <c r="AM73" s="41"/>
      <c r="AN73" s="59">
        <f t="shared" si="19"/>
        <v>0</v>
      </c>
      <c r="AO73" s="41"/>
      <c r="AP73" s="259">
        <f>AN73-'FY21'!S73</f>
        <v>0</v>
      </c>
    </row>
    <row r="74" spans="3:42" s="37" customFormat="1" ht="12" x14ac:dyDescent="0.2">
      <c r="C74" s="38"/>
      <c r="E74" s="50">
        <f t="shared" ref="E74:AL74" si="20">SUBTOTAL(9,E64:E73)</f>
        <v>0</v>
      </c>
      <c r="F74" s="50">
        <f>SUBTOTAL(9,F64:F73)</f>
        <v>764</v>
      </c>
      <c r="G74" s="50">
        <f>SUBTOTAL(9,G64:G73)</f>
        <v>0</v>
      </c>
      <c r="H74" s="50">
        <f t="shared" si="20"/>
        <v>0</v>
      </c>
      <c r="I74" s="50">
        <f t="shared" si="20"/>
        <v>0</v>
      </c>
      <c r="J74" s="50">
        <f t="shared" si="20"/>
        <v>0</v>
      </c>
      <c r="K74" s="50">
        <f t="shared" si="20"/>
        <v>0</v>
      </c>
      <c r="L74" s="50">
        <f t="shared" si="20"/>
        <v>0</v>
      </c>
      <c r="M74" s="50">
        <f t="shared" si="20"/>
        <v>0</v>
      </c>
      <c r="N74" s="50">
        <f t="shared" si="20"/>
        <v>1500</v>
      </c>
      <c r="O74" s="50">
        <f t="shared" si="20"/>
        <v>900</v>
      </c>
      <c r="P74" s="50">
        <f t="shared" ref="P74" si="21">SUBTOTAL(9,P64:P73)</f>
        <v>9504</v>
      </c>
      <c r="Q74" s="50">
        <f t="shared" si="20"/>
        <v>0</v>
      </c>
      <c r="R74" s="50">
        <f t="shared" ref="R74:AG74" si="22">SUBTOTAL(9,R64:R73)</f>
        <v>0</v>
      </c>
      <c r="S74" s="50">
        <f t="shared" si="22"/>
        <v>500</v>
      </c>
      <c r="T74" s="50">
        <f t="shared" si="22"/>
        <v>0</v>
      </c>
      <c r="U74" s="50">
        <f t="shared" si="22"/>
        <v>0</v>
      </c>
      <c r="V74" s="50">
        <f t="shared" si="22"/>
        <v>0</v>
      </c>
      <c r="W74" s="50">
        <f t="shared" si="22"/>
        <v>0</v>
      </c>
      <c r="X74" s="50">
        <f t="shared" si="22"/>
        <v>0</v>
      </c>
      <c r="Y74" s="50">
        <f t="shared" si="22"/>
        <v>0</v>
      </c>
      <c r="Z74" s="50">
        <f t="shared" si="22"/>
        <v>0</v>
      </c>
      <c r="AA74" s="50">
        <f t="shared" si="22"/>
        <v>0</v>
      </c>
      <c r="AB74" s="50">
        <f t="shared" si="22"/>
        <v>0</v>
      </c>
      <c r="AC74" s="50">
        <f t="shared" si="22"/>
        <v>0</v>
      </c>
      <c r="AD74" s="50">
        <f t="shared" si="22"/>
        <v>0</v>
      </c>
      <c r="AE74" s="50">
        <f t="shared" si="22"/>
        <v>0</v>
      </c>
      <c r="AF74" s="50">
        <f t="shared" si="22"/>
        <v>0</v>
      </c>
      <c r="AG74" s="50">
        <f t="shared" si="22"/>
        <v>0</v>
      </c>
      <c r="AH74" s="50">
        <f t="shared" si="20"/>
        <v>0</v>
      </c>
      <c r="AI74" s="50">
        <f t="shared" si="20"/>
        <v>0</v>
      </c>
      <c r="AJ74" s="50">
        <f t="shared" si="20"/>
        <v>0</v>
      </c>
      <c r="AK74" s="50">
        <f t="shared" si="20"/>
        <v>0</v>
      </c>
      <c r="AL74" s="50">
        <f t="shared" si="20"/>
        <v>0</v>
      </c>
      <c r="AM74" s="41"/>
      <c r="AN74" s="61">
        <f t="shared" ref="AN74" si="23">SUBTOTAL(9,AN64:AN73)</f>
        <v>13168</v>
      </c>
      <c r="AO74" s="41"/>
      <c r="AP74" s="259">
        <f>AN74-'FY21'!S74</f>
        <v>0</v>
      </c>
    </row>
    <row r="75" spans="3:42" s="37" customFormat="1" ht="12" x14ac:dyDescent="0.2">
      <c r="C75" s="49" t="s">
        <v>100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41"/>
      <c r="AN75" s="59"/>
      <c r="AO75" s="41"/>
      <c r="AP75" s="259">
        <f>AN75-'FY21'!S75</f>
        <v>0</v>
      </c>
    </row>
    <row r="76" spans="3:42" s="37" customFormat="1" ht="12" x14ac:dyDescent="0.2">
      <c r="C76" s="199">
        <v>6410</v>
      </c>
      <c r="D76" s="37" t="s">
        <v>19</v>
      </c>
      <c r="E76" s="39">
        <f>SUMIF('Exp Details'!$D$78:$D$81,'Function-Grant'!E$4,'Exp Details'!$H$78:$H$81)</f>
        <v>0</v>
      </c>
      <c r="F76" s="39">
        <f>SUMIF('Exp Details'!$D$78:$D$81,'Function-Grant'!F$4,'Exp Details'!$H$78:$H$81)</f>
        <v>0</v>
      </c>
      <c r="G76" s="39">
        <f>SUMIF('Exp Details'!$D$78:$D$81,'Function-Grant'!G$4,'Exp Details'!$H$78:$H$81)</f>
        <v>0</v>
      </c>
      <c r="H76" s="39">
        <f>SUMIF('Exp Details'!$D$78:$D$81,'Function-Grant'!H$4,'Exp Details'!$H$78:$H$81)</f>
        <v>0</v>
      </c>
      <c r="I76" s="39">
        <f>SUMIF('Exp Details'!$D$78:$D$81,'Function-Grant'!I$4,'Exp Details'!$H$78:$H$81)</f>
        <v>0</v>
      </c>
      <c r="J76" s="39">
        <f>SUMIF('Exp Details'!$D$78:$D$81,'Function-Grant'!J$4,'Exp Details'!$H$78:$H$81)</f>
        <v>0</v>
      </c>
      <c r="K76" s="39">
        <f>SUMIF('Exp Details'!$D$78:$D$81,'Function-Grant'!K$4,'Exp Details'!$H$78:$H$81)</f>
        <v>0</v>
      </c>
      <c r="L76" s="39">
        <f>SUMIF('Exp Details'!$D$78:$D$81,'Function-Grant'!L$4,'Exp Details'!$H$78:$H$81)</f>
        <v>0</v>
      </c>
      <c r="M76" s="39">
        <f>SUMIF('Exp Details'!$D$78:$D$81,'Function-Grant'!M$4,'Exp Details'!$H$78:$H$81)</f>
        <v>0</v>
      </c>
      <c r="N76" s="39">
        <f>SUMIF('Exp Details'!$D$78:$D$81,'Function-Grant'!N$4,'Exp Details'!$H$78:$H$81)</f>
        <v>0</v>
      </c>
      <c r="O76" s="39">
        <f>SUMIF('Exp Details'!$D$78:$D$81,'Function-Grant'!O$4,'Exp Details'!$H$78:$H$81)</f>
        <v>0</v>
      </c>
      <c r="P76" s="39">
        <f>SUMIF('Exp Details'!$D$78:$D$81,'Function-Grant'!P$4,'Exp Details'!$H$78:$H$81)</f>
        <v>0</v>
      </c>
      <c r="Q76" s="39">
        <f>SUMIF('Exp Details'!$D$78:$D$81,'Function-Grant'!Q$4,'Exp Details'!$H$78:$H$81)</f>
        <v>0</v>
      </c>
      <c r="R76" s="39">
        <f>SUMIF('Exp Details'!$D$78:$D$81,'Function-Grant'!R$4,'Exp Details'!$H$78:$H$81)</f>
        <v>0</v>
      </c>
      <c r="S76" s="39">
        <f>SUMIF('Exp Details'!$D$78:$D$81,'Function-Grant'!S$4,'Exp Details'!$H$78:$H$81)</f>
        <v>0</v>
      </c>
      <c r="T76" s="39">
        <f>SUMIF('Exp Details'!$D$78:$D$81,'Function-Grant'!T$4,'Exp Details'!$H$78:$H$81)</f>
        <v>0</v>
      </c>
      <c r="U76" s="370">
        <f>SUMIF('Exp Details'!$D$78:$D$81,'Function-Grant'!U$4,'Exp Details'!$H$78:$H$81)</f>
        <v>600</v>
      </c>
      <c r="V76" s="39">
        <f>SUMIF('Exp Details'!$D$78:$D$81,'Function-Grant'!V$4,'Exp Details'!$H$78:$H$81)</f>
        <v>0</v>
      </c>
      <c r="W76" s="39">
        <f>SUMIF('Exp Details'!$D$78:$D$81,'Function-Grant'!W$4,'Exp Details'!$H$78:$H$81)</f>
        <v>0</v>
      </c>
      <c r="X76" s="39">
        <f>SUMIF('Exp Details'!$D$78:$D$81,'Function-Grant'!X$4,'Exp Details'!$H$78:$H$81)</f>
        <v>0</v>
      </c>
      <c r="Y76" s="39">
        <f>SUMIF('Exp Details'!$D$78:$D$81,'Function-Grant'!Y$4,'Exp Details'!$H$78:$H$81)</f>
        <v>0</v>
      </c>
      <c r="Z76" s="39">
        <f>SUMIF('Exp Details'!$D$78:$D$81,'Function-Grant'!Z$4,'Exp Details'!$H$78:$H$81)</f>
        <v>0</v>
      </c>
      <c r="AA76" s="39">
        <f>SUMIF('Exp Details'!$D$78:$D$81,'Function-Grant'!AA$4,'Exp Details'!$H$78:$H$81)</f>
        <v>0</v>
      </c>
      <c r="AB76" s="39">
        <f>SUMIF('Exp Details'!$D$78:$D$81,'Function-Grant'!AB$4,'Exp Details'!$H$78:$H$81)</f>
        <v>0</v>
      </c>
      <c r="AC76" s="39">
        <f>SUMIF('Exp Details'!$D$78:$D$81,'Function-Grant'!AC$4,'Exp Details'!$H$78:$H$81)</f>
        <v>0</v>
      </c>
      <c r="AD76" s="39">
        <f>SUMIF('Exp Details'!$D$78:$D$81,'Function-Grant'!AD$4,'Exp Details'!$H$78:$H$81)</f>
        <v>0</v>
      </c>
      <c r="AE76" s="39">
        <f>SUMIF('Exp Details'!$D$78:$D$81,'Function-Grant'!AE$4,'Exp Details'!$H$78:$H$81)</f>
        <v>0</v>
      </c>
      <c r="AF76" s="39">
        <f>SUMIF('Exp Details'!$D$78:$D$81,'Function-Grant'!AF$4,'Exp Details'!$H$78:$H$81)</f>
        <v>0</v>
      </c>
      <c r="AG76" s="39">
        <f>SUMIF('Exp Details'!$D$78:$D$81,'Function-Grant'!AG$4,'Exp Details'!$H$78:$H$81)</f>
        <v>0</v>
      </c>
      <c r="AH76" s="39">
        <f>SUMIF('Exp Details'!$D$78:$D$81,'Function-Grant'!AH$4,'Exp Details'!$H$78:$H$81)</f>
        <v>0</v>
      </c>
      <c r="AI76" s="39">
        <f>SUMIF('Exp Details'!$D$78:$D$81,'Function-Grant'!AI$4,'Exp Details'!$H$78:$H$81)</f>
        <v>0</v>
      </c>
      <c r="AJ76" s="39">
        <f>SUMIF('Exp Details'!$D$78:$D$81,'Function-Grant'!AJ$4,'Exp Details'!$H$78:$H$81)</f>
        <v>0</v>
      </c>
      <c r="AK76" s="39">
        <f>SUMIF('Exp Details'!$D$78:$D$81,'Function-Grant'!AK$4,'Exp Details'!$H$78:$H$81)</f>
        <v>0</v>
      </c>
      <c r="AL76" s="39">
        <f>SUMIF('Exp Details'!$D$78:$D$81,'Function-Grant'!AL$4,'Exp Details'!$H$78:$H$81)</f>
        <v>0</v>
      </c>
      <c r="AM76" s="41"/>
      <c r="AN76" s="59">
        <f>SUM(E76:AM76)</f>
        <v>600</v>
      </c>
      <c r="AO76" s="41"/>
      <c r="AP76" s="259">
        <f>AN76-'FY21'!S76</f>
        <v>0</v>
      </c>
    </row>
    <row r="77" spans="3:42" s="37" customFormat="1" ht="12" x14ac:dyDescent="0.2">
      <c r="C77" s="199">
        <v>6420</v>
      </c>
      <c r="D77" s="37" t="s">
        <v>20</v>
      </c>
      <c r="E77" s="39">
        <f>SUMIF('Exp Details'!$D$85:$D$89,'Function-Grant'!E$4,'Exp Details'!$H$85:$H$89)</f>
        <v>0</v>
      </c>
      <c r="F77" s="39">
        <f>SUMIF('Exp Details'!$D$85:$D$89,'Function-Grant'!F$4,'Exp Details'!$H$85:$H$89)</f>
        <v>0</v>
      </c>
      <c r="G77" s="39">
        <f>SUMIF('Exp Details'!$D$85:$D$89,'Function-Grant'!G$4,'Exp Details'!$H$85:$H$89)</f>
        <v>0</v>
      </c>
      <c r="H77" s="39">
        <f>SUMIF('Exp Details'!$D$85:$D$89,'Function-Grant'!H$4,'Exp Details'!$H$85:$H$89)</f>
        <v>0</v>
      </c>
      <c r="I77" s="39">
        <f>SUMIF('Exp Details'!$D$85:$D$89,'Function-Grant'!I$4,'Exp Details'!$H$85:$H$89)</f>
        <v>0</v>
      </c>
      <c r="J77" s="39">
        <f>SUMIF('Exp Details'!$D$85:$D$89,'Function-Grant'!J$4,'Exp Details'!$H$85:$H$89)</f>
        <v>0</v>
      </c>
      <c r="K77" s="39">
        <f>SUMIF('Exp Details'!$D$85:$D$89,'Function-Grant'!K$4,'Exp Details'!$H$85:$H$89)</f>
        <v>0</v>
      </c>
      <c r="L77" s="39">
        <f>SUMIF('Exp Details'!$D$85:$D$89,'Function-Grant'!L$4,'Exp Details'!$H$85:$H$89)</f>
        <v>0</v>
      </c>
      <c r="M77" s="39">
        <f>SUMIF('Exp Details'!$D$85:$D$89,'Function-Grant'!M$4,'Exp Details'!$H$85:$H$89)</f>
        <v>0</v>
      </c>
      <c r="N77" s="39">
        <f>SUMIF('Exp Details'!$D$85:$D$89,'Function-Grant'!N$4,'Exp Details'!$H$85:$H$89)</f>
        <v>0</v>
      </c>
      <c r="O77" s="39">
        <f>SUMIF('Exp Details'!$D$85:$D$89,'Function-Grant'!O$4,'Exp Details'!$H$85:$H$89)</f>
        <v>0</v>
      </c>
      <c r="P77" s="39">
        <f>SUMIF('Exp Details'!$D$85:$D$89,'Function-Grant'!P$4,'Exp Details'!$H$85:$H$89)</f>
        <v>0</v>
      </c>
      <c r="Q77" s="39">
        <f>SUMIF('Exp Details'!$D$85:$D$89,'Function-Grant'!Q$4,'Exp Details'!$H$85:$H$89)</f>
        <v>0</v>
      </c>
      <c r="R77" s="39">
        <f>SUMIF('Exp Details'!$D$85:$D$89,'Function-Grant'!R$4,'Exp Details'!$H$85:$H$89)</f>
        <v>0</v>
      </c>
      <c r="S77" s="39">
        <f>SUMIF('Exp Details'!$D$85:$D$89,'Function-Grant'!S$4,'Exp Details'!$H$85:$H$89)</f>
        <v>0</v>
      </c>
      <c r="T77" s="39">
        <f>SUMIF('Exp Details'!$D$85:$D$89,'Function-Grant'!T$4,'Exp Details'!$H$85:$H$89)</f>
        <v>0</v>
      </c>
      <c r="U77" s="39">
        <f>SUMIF('Exp Details'!$D$85:$D$89,'Function-Grant'!U$4,'Exp Details'!$H$85:$H$89)</f>
        <v>0</v>
      </c>
      <c r="V77" s="370">
        <f>SUMIF('Exp Details'!$D$85:$D$89,'Function-Grant'!V$4,'Exp Details'!$H$85:$H$89)</f>
        <v>1600</v>
      </c>
      <c r="W77" s="39">
        <f>SUMIF('Exp Details'!$D$85:$D$89,'Function-Grant'!W$4,'Exp Details'!$H$85:$H$89)</f>
        <v>0</v>
      </c>
      <c r="X77" s="39">
        <f>SUMIF('Exp Details'!$D$85:$D$89,'Function-Grant'!X$4,'Exp Details'!$H$85:$H$89)</f>
        <v>0</v>
      </c>
      <c r="Y77" s="39">
        <f>SUMIF('Exp Details'!$D$85:$D$89,'Function-Grant'!Y$4,'Exp Details'!$H$85:$H$89)</f>
        <v>0</v>
      </c>
      <c r="Z77" s="39">
        <f>SUMIF('Exp Details'!$D$85:$D$89,'Function-Grant'!Z$4,'Exp Details'!$H$85:$H$89)</f>
        <v>0</v>
      </c>
      <c r="AA77" s="39">
        <f>SUMIF('Exp Details'!$D$85:$D$89,'Function-Grant'!AA$4,'Exp Details'!$H$85:$H$89)</f>
        <v>0</v>
      </c>
      <c r="AB77" s="39">
        <f>SUMIF('Exp Details'!$D$85:$D$89,'Function-Grant'!AB$4,'Exp Details'!$H$85:$H$89)</f>
        <v>0</v>
      </c>
      <c r="AC77" s="39">
        <f>SUMIF('Exp Details'!$D$85:$D$89,'Function-Grant'!AC$4,'Exp Details'!$H$85:$H$89)</f>
        <v>0</v>
      </c>
      <c r="AD77" s="39">
        <f>SUMIF('Exp Details'!$D$85:$D$89,'Function-Grant'!AD$4,'Exp Details'!$H$85:$H$89)</f>
        <v>0</v>
      </c>
      <c r="AE77" s="39">
        <f>SUMIF('Exp Details'!$D$85:$D$89,'Function-Grant'!AE$4,'Exp Details'!$H$85:$H$89)</f>
        <v>0</v>
      </c>
      <c r="AF77" s="39">
        <f>SUMIF('Exp Details'!$D$85:$D$89,'Function-Grant'!AF$4,'Exp Details'!$H$85:$H$89)</f>
        <v>0</v>
      </c>
      <c r="AG77" s="39">
        <f>SUMIF('Exp Details'!$D$85:$D$89,'Function-Grant'!AG$4,'Exp Details'!$H$85:$H$89)</f>
        <v>0</v>
      </c>
      <c r="AH77" s="39">
        <f>SUMIF('Exp Details'!$D$85:$D$89,'Function-Grant'!AH$4,'Exp Details'!$H$85:$H$89)</f>
        <v>0</v>
      </c>
      <c r="AI77" s="39">
        <f>SUMIF('Exp Details'!$D$85:$D$89,'Function-Grant'!AI$4,'Exp Details'!$H$85:$H$89)</f>
        <v>0</v>
      </c>
      <c r="AJ77" s="39">
        <f>SUMIF('Exp Details'!$D$85:$D$89,'Function-Grant'!AJ$4,'Exp Details'!$H$85:$H$89)</f>
        <v>0</v>
      </c>
      <c r="AK77" s="39">
        <f>SUMIF('Exp Details'!$D$85:$D$89,'Function-Grant'!AK$4,'Exp Details'!$H$85:$H$89)</f>
        <v>0</v>
      </c>
      <c r="AL77" s="39">
        <f>SUMIF('Exp Details'!$D$85:$D$89,'Function-Grant'!AL$4,'Exp Details'!$H$85:$H$89)</f>
        <v>0</v>
      </c>
      <c r="AM77" s="41"/>
      <c r="AN77" s="59">
        <f>SUM(E77:AM77)</f>
        <v>1600</v>
      </c>
      <c r="AO77" s="41"/>
      <c r="AP77" s="259">
        <f>AN77-'FY21'!S77</f>
        <v>0</v>
      </c>
    </row>
    <row r="78" spans="3:42" s="37" customFormat="1" ht="12" x14ac:dyDescent="0.2">
      <c r="C78" s="199">
        <v>6430</v>
      </c>
      <c r="D78" s="37" t="s">
        <v>21</v>
      </c>
      <c r="E78" s="39">
        <f>SUMIF('Exp Details'!$D$93:$D$96,'Function-Grant'!E$4,'Exp Details'!$H$93:$H$96)</f>
        <v>0</v>
      </c>
      <c r="F78" s="39">
        <f>SUMIF('Exp Details'!$D$93:$D$96,'Function-Grant'!F$4,'Exp Details'!$H$93:$H$96)</f>
        <v>0</v>
      </c>
      <c r="G78" s="39">
        <f>SUMIF('Exp Details'!$D$93:$D$96,'Function-Grant'!G$4,'Exp Details'!$H$93:$H$96)</f>
        <v>0</v>
      </c>
      <c r="H78" s="39">
        <f>SUMIF('Exp Details'!$D$93:$D$96,'Function-Grant'!H$4,'Exp Details'!$H$93:$H$96)</f>
        <v>0</v>
      </c>
      <c r="I78" s="39">
        <f>SUMIF('Exp Details'!$D$93:$D$96,'Function-Grant'!I$4,'Exp Details'!$H$93:$H$96)</f>
        <v>0</v>
      </c>
      <c r="J78" s="39">
        <f>SUMIF('Exp Details'!$D$93:$D$96,'Function-Grant'!J$4,'Exp Details'!$H$93:$H$96)</f>
        <v>0</v>
      </c>
      <c r="K78" s="39">
        <f>SUMIF('Exp Details'!$D$93:$D$96,'Function-Grant'!K$4,'Exp Details'!$H$93:$H$96)</f>
        <v>0</v>
      </c>
      <c r="L78" s="39">
        <f>SUMIF('Exp Details'!$D$93:$D$96,'Function-Grant'!L$4,'Exp Details'!$H$93:$H$96)</f>
        <v>0</v>
      </c>
      <c r="M78" s="39">
        <f>SUMIF('Exp Details'!$D$93:$D$96,'Function-Grant'!M$4,'Exp Details'!$H$93:$H$96)</f>
        <v>0</v>
      </c>
      <c r="N78" s="39">
        <f>SUMIF('Exp Details'!$D$93:$D$96,'Function-Grant'!N$4,'Exp Details'!$H$93:$H$96)</f>
        <v>0</v>
      </c>
      <c r="O78" s="39">
        <f>SUMIF('Exp Details'!$D$93:$D$96,'Function-Grant'!O$4,'Exp Details'!$H$93:$H$96)</f>
        <v>0</v>
      </c>
      <c r="P78" s="39">
        <f>SUMIF('Exp Details'!$D$93:$D$96,'Function-Grant'!P$4,'Exp Details'!$H$93:$H$96)</f>
        <v>0</v>
      </c>
      <c r="Q78" s="39">
        <f>SUMIF('Exp Details'!$D$93:$D$96,'Function-Grant'!Q$4,'Exp Details'!$H$93:$H$96)</f>
        <v>0</v>
      </c>
      <c r="R78" s="39">
        <f>SUMIF('Exp Details'!$D$93:$D$96,'Function-Grant'!R$4,'Exp Details'!$H$93:$H$96)</f>
        <v>0</v>
      </c>
      <c r="S78" s="39">
        <f>SUMIF('Exp Details'!$D$93:$D$96,'Function-Grant'!S$4,'Exp Details'!$H$93:$H$96)</f>
        <v>0</v>
      </c>
      <c r="T78" s="39">
        <f>SUMIF('Exp Details'!$D$93:$D$96,'Function-Grant'!T$4,'Exp Details'!$H$93:$H$96)</f>
        <v>0</v>
      </c>
      <c r="U78" s="39">
        <f>SUMIF('Exp Details'!$D$93:$D$96,'Function-Grant'!U$4,'Exp Details'!$H$93:$H$96)</f>
        <v>0</v>
      </c>
      <c r="V78" s="370">
        <f>SUMIF('Exp Details'!$D$93:$D$96,'Function-Grant'!V$4,'Exp Details'!$H$93:$H$96)</f>
        <v>125</v>
      </c>
      <c r="W78" s="39">
        <f>SUMIF('Exp Details'!$D$93:$D$96,'Function-Grant'!W$4,'Exp Details'!$H$93:$H$96)</f>
        <v>0</v>
      </c>
      <c r="X78" s="39">
        <f>SUMIF('Exp Details'!$D$93:$D$96,'Function-Grant'!X$4,'Exp Details'!$H$93:$H$96)</f>
        <v>0</v>
      </c>
      <c r="Y78" s="39">
        <f>SUMIF('Exp Details'!$D$93:$D$96,'Function-Grant'!Y$4,'Exp Details'!$H$93:$H$96)</f>
        <v>0</v>
      </c>
      <c r="Z78" s="39">
        <f>SUMIF('Exp Details'!$D$93:$D$96,'Function-Grant'!Z$4,'Exp Details'!$H$93:$H$96)</f>
        <v>0</v>
      </c>
      <c r="AA78" s="39">
        <f>SUMIF('Exp Details'!$D$93:$D$96,'Function-Grant'!AA$4,'Exp Details'!$H$93:$H$96)</f>
        <v>0</v>
      </c>
      <c r="AB78" s="39">
        <f>SUMIF('Exp Details'!$D$93:$D$96,'Function-Grant'!AB$4,'Exp Details'!$H$93:$H$96)</f>
        <v>0</v>
      </c>
      <c r="AC78" s="39">
        <f>SUMIF('Exp Details'!$D$93:$D$96,'Function-Grant'!AC$4,'Exp Details'!$H$93:$H$96)</f>
        <v>0</v>
      </c>
      <c r="AD78" s="39">
        <f>SUMIF('Exp Details'!$D$93:$D$96,'Function-Grant'!AD$4,'Exp Details'!$H$93:$H$96)</f>
        <v>0</v>
      </c>
      <c r="AE78" s="39">
        <f>SUMIF('Exp Details'!$D$93:$D$96,'Function-Grant'!AE$4,'Exp Details'!$H$93:$H$96)</f>
        <v>0</v>
      </c>
      <c r="AF78" s="39">
        <f>SUMIF('Exp Details'!$D$93:$D$96,'Function-Grant'!AF$4,'Exp Details'!$H$93:$H$96)</f>
        <v>0</v>
      </c>
      <c r="AG78" s="39">
        <f>SUMIF('Exp Details'!$D$93:$D$96,'Function-Grant'!AG$4,'Exp Details'!$H$93:$H$96)</f>
        <v>0</v>
      </c>
      <c r="AH78" s="39">
        <f>SUMIF('Exp Details'!$D$93:$D$96,'Function-Grant'!AH$4,'Exp Details'!$H$93:$H$96)</f>
        <v>0</v>
      </c>
      <c r="AI78" s="39">
        <f>SUMIF('Exp Details'!$D$93:$D$96,'Function-Grant'!AI$4,'Exp Details'!$H$93:$H$96)</f>
        <v>0</v>
      </c>
      <c r="AJ78" s="39">
        <f>SUMIF('Exp Details'!$D$93:$D$96,'Function-Grant'!AJ$4,'Exp Details'!$H$93:$H$96)</f>
        <v>0</v>
      </c>
      <c r="AK78" s="39">
        <f>SUMIF('Exp Details'!$D$93:$D$96,'Function-Grant'!AK$4,'Exp Details'!$H$93:$H$96)</f>
        <v>0</v>
      </c>
      <c r="AL78" s="39">
        <f>SUMIF('Exp Details'!$D$93:$D$96,'Function-Grant'!AL$4,'Exp Details'!$H$93:$H$96)</f>
        <v>0</v>
      </c>
      <c r="AM78" s="41"/>
      <c r="AN78" s="59">
        <f>SUM(E78:AM78)</f>
        <v>125</v>
      </c>
      <c r="AO78" s="41"/>
      <c r="AP78" s="259">
        <f>AN78-'FY21'!S78</f>
        <v>0</v>
      </c>
    </row>
    <row r="79" spans="3:42" s="37" customFormat="1" ht="12" x14ac:dyDescent="0.2">
      <c r="C79" s="199">
        <v>6441</v>
      </c>
      <c r="D79" s="37" t="s">
        <v>22</v>
      </c>
      <c r="E79" s="39">
        <f>SUMIF('Exp Details'!$D$100:$D$104,'Function-Grant'!E$4,'Exp Details'!$H$100:$H$104)</f>
        <v>0</v>
      </c>
      <c r="F79" s="370">
        <f>SUMIF('Exp Details'!$D$100:$D$104,'Function-Grant'!F$4,'Exp Details'!$H$100:$H$104)</f>
        <v>1000</v>
      </c>
      <c r="G79" s="39">
        <f>SUMIF('Exp Details'!$D$100:$D$104,'Function-Grant'!G$4,'Exp Details'!$H$100:$H$104)</f>
        <v>0</v>
      </c>
      <c r="H79" s="39">
        <f>SUMIF('Exp Details'!$D$100:$D$104,'Function-Grant'!H$4,'Exp Details'!$H$100:$H$104)</f>
        <v>0</v>
      </c>
      <c r="I79" s="39">
        <f>SUMIF('Exp Details'!$D$100:$D$104,'Function-Grant'!I$4,'Exp Details'!$H$100:$H$104)</f>
        <v>0</v>
      </c>
      <c r="J79" s="39">
        <f>SUMIF('Exp Details'!$D$100:$D$104,'Function-Grant'!J$4,'Exp Details'!$H$100:$H$104)</f>
        <v>0</v>
      </c>
      <c r="K79" s="39">
        <f>SUMIF('Exp Details'!$D$100:$D$104,'Function-Grant'!K$4,'Exp Details'!$H$100:$H$104)</f>
        <v>0</v>
      </c>
      <c r="L79" s="39">
        <f>SUMIF('Exp Details'!$D$100:$D$104,'Function-Grant'!L$4,'Exp Details'!$H$100:$H$104)</f>
        <v>0</v>
      </c>
      <c r="M79" s="39">
        <f>SUMIF('Exp Details'!$D$100:$D$104,'Function-Grant'!M$4,'Exp Details'!$H$100:$H$104)</f>
        <v>0</v>
      </c>
      <c r="N79" s="39">
        <f>SUMIF('Exp Details'!$D$100:$D$104,'Function-Grant'!N$4,'Exp Details'!$H$100:$H$104)</f>
        <v>0</v>
      </c>
      <c r="O79" s="39">
        <f>SUMIF('Exp Details'!$D$100:$D$104,'Function-Grant'!O$4,'Exp Details'!$H$100:$H$104)</f>
        <v>0</v>
      </c>
      <c r="P79" s="39">
        <f>SUMIF('Exp Details'!$D$100:$D$104,'Function-Grant'!P$4,'Exp Details'!$H$100:$H$104)</f>
        <v>0</v>
      </c>
      <c r="Q79" s="39">
        <f>SUMIF('Exp Details'!$D$100:$D$104,'Function-Grant'!Q$4,'Exp Details'!$H$100:$H$104)</f>
        <v>0</v>
      </c>
      <c r="R79" s="39">
        <f>SUMIF('Exp Details'!$D$100:$D$104,'Function-Grant'!R$4,'Exp Details'!$H$100:$H$104)</f>
        <v>0</v>
      </c>
      <c r="S79" s="39">
        <f>SUMIF('Exp Details'!$D$100:$D$104,'Function-Grant'!S$4,'Exp Details'!$H$100:$H$104)</f>
        <v>0</v>
      </c>
      <c r="T79" s="370">
        <f>SUMIF('Exp Details'!$D$100:$D$104,'Function-Grant'!T$4,'Exp Details'!$H$100:$H$104)</f>
        <v>32760</v>
      </c>
      <c r="U79" s="39">
        <f>SUMIF('Exp Details'!$D$100:$D$104,'Function-Grant'!U$4,'Exp Details'!$H$100:$H$104)</f>
        <v>0</v>
      </c>
      <c r="V79" s="39">
        <f>SUMIF('Exp Details'!$D$100:$D$104,'Function-Grant'!V$4,'Exp Details'!$H$100:$H$104)</f>
        <v>0</v>
      </c>
      <c r="W79" s="39">
        <f>SUMIF('Exp Details'!$D$100:$D$104,'Function-Grant'!W$4,'Exp Details'!$H$100:$H$104)</f>
        <v>0</v>
      </c>
      <c r="X79" s="39">
        <f>SUMIF('Exp Details'!$D$100:$D$104,'Function-Grant'!X$4,'Exp Details'!$H$100:$H$104)</f>
        <v>0</v>
      </c>
      <c r="Y79" s="39">
        <f>SUMIF('Exp Details'!$D$100:$D$104,'Function-Grant'!Y$4,'Exp Details'!$H$100:$H$104)</f>
        <v>0</v>
      </c>
      <c r="Z79" s="39">
        <f>SUMIF('Exp Details'!$D$100:$D$104,'Function-Grant'!Z$4,'Exp Details'!$H$100:$H$104)</f>
        <v>0</v>
      </c>
      <c r="AA79" s="39">
        <f>SUMIF('Exp Details'!$D$100:$D$104,'Function-Grant'!AA$4,'Exp Details'!$H$100:$H$104)</f>
        <v>0</v>
      </c>
      <c r="AB79" s="39">
        <f>SUMIF('Exp Details'!$D$100:$D$104,'Function-Grant'!AB$4,'Exp Details'!$H$100:$H$104)</f>
        <v>0</v>
      </c>
      <c r="AC79" s="39">
        <f>SUMIF('Exp Details'!$D$100:$D$104,'Function-Grant'!AC$4,'Exp Details'!$H$100:$H$104)</f>
        <v>0</v>
      </c>
      <c r="AD79" s="39">
        <f>SUMIF('Exp Details'!$D$100:$D$104,'Function-Grant'!AD$4,'Exp Details'!$H$100:$H$104)</f>
        <v>0</v>
      </c>
      <c r="AE79" s="39">
        <f>SUMIF('Exp Details'!$D$100:$D$104,'Function-Grant'!AE$4,'Exp Details'!$H$100:$H$104)</f>
        <v>0</v>
      </c>
      <c r="AF79" s="39">
        <f>SUMIF('Exp Details'!$D$100:$D$104,'Function-Grant'!AF$4,'Exp Details'!$H$100:$H$104)</f>
        <v>0</v>
      </c>
      <c r="AG79" s="39">
        <f>SUMIF('Exp Details'!$D$100:$D$104,'Function-Grant'!AG$4,'Exp Details'!$H$100:$H$104)</f>
        <v>0</v>
      </c>
      <c r="AH79" s="39">
        <f>SUMIF('Exp Details'!$D$100:$D$104,'Function-Grant'!AH$4,'Exp Details'!$H$100:$H$104)</f>
        <v>0</v>
      </c>
      <c r="AI79" s="39">
        <f>SUMIF('Exp Details'!$D$100:$D$104,'Function-Grant'!AI$4,'Exp Details'!$H$100:$H$104)</f>
        <v>0</v>
      </c>
      <c r="AJ79" s="39">
        <f>SUMIF('Exp Details'!$D$100:$D$104,'Function-Grant'!AJ$4,'Exp Details'!$H$100:$H$104)</f>
        <v>0</v>
      </c>
      <c r="AK79" s="39">
        <f>SUMIF('Exp Details'!$D$100:$D$104,'Function-Grant'!AK$4,'Exp Details'!$H$100:$H$104)</f>
        <v>0</v>
      </c>
      <c r="AL79" s="39">
        <f>SUMIF('Exp Details'!$D$100:$D$104,'Function-Grant'!AL$4,'Exp Details'!$H$100:$H$104)</f>
        <v>0</v>
      </c>
      <c r="AM79" s="41"/>
      <c r="AN79" s="59">
        <f>SUM(E79:AM79)</f>
        <v>33760</v>
      </c>
      <c r="AO79" s="41"/>
      <c r="AP79" s="259">
        <f>AN79-'FY21'!S79</f>
        <v>0</v>
      </c>
    </row>
    <row r="80" spans="3:42" s="37" customFormat="1" ht="12" x14ac:dyDescent="0.2">
      <c r="C80" s="38"/>
      <c r="E80" s="50">
        <f t="shared" ref="E80:AL80" si="24">SUBTOTAL(9,E76:E79)</f>
        <v>0</v>
      </c>
      <c r="F80" s="50">
        <f>SUBTOTAL(9,F76:F79)</f>
        <v>1000</v>
      </c>
      <c r="G80" s="50">
        <f>SUBTOTAL(9,G76:G79)</f>
        <v>0</v>
      </c>
      <c r="H80" s="50">
        <f t="shared" si="24"/>
        <v>0</v>
      </c>
      <c r="I80" s="50">
        <f t="shared" si="24"/>
        <v>0</v>
      </c>
      <c r="J80" s="50">
        <f t="shared" si="24"/>
        <v>0</v>
      </c>
      <c r="K80" s="50">
        <f t="shared" si="24"/>
        <v>0</v>
      </c>
      <c r="L80" s="50">
        <f t="shared" si="24"/>
        <v>0</v>
      </c>
      <c r="M80" s="50">
        <f t="shared" si="24"/>
        <v>0</v>
      </c>
      <c r="N80" s="50">
        <f t="shared" si="24"/>
        <v>0</v>
      </c>
      <c r="O80" s="50">
        <f t="shared" si="24"/>
        <v>0</v>
      </c>
      <c r="P80" s="50">
        <f t="shared" ref="P80" si="25">SUBTOTAL(9,P76:P79)</f>
        <v>0</v>
      </c>
      <c r="Q80" s="50">
        <f t="shared" si="24"/>
        <v>0</v>
      </c>
      <c r="R80" s="50">
        <f t="shared" ref="R80:AG80" si="26">SUBTOTAL(9,R76:R79)</f>
        <v>0</v>
      </c>
      <c r="S80" s="50">
        <f t="shared" si="26"/>
        <v>0</v>
      </c>
      <c r="T80" s="50">
        <f t="shared" si="26"/>
        <v>32760</v>
      </c>
      <c r="U80" s="50">
        <f t="shared" si="26"/>
        <v>600</v>
      </c>
      <c r="V80" s="50">
        <f t="shared" si="26"/>
        <v>1725</v>
      </c>
      <c r="W80" s="50">
        <f t="shared" si="26"/>
        <v>0</v>
      </c>
      <c r="X80" s="50">
        <f t="shared" si="26"/>
        <v>0</v>
      </c>
      <c r="Y80" s="50">
        <f t="shared" si="26"/>
        <v>0</v>
      </c>
      <c r="Z80" s="50">
        <f t="shared" si="26"/>
        <v>0</v>
      </c>
      <c r="AA80" s="50">
        <f t="shared" si="26"/>
        <v>0</v>
      </c>
      <c r="AB80" s="50">
        <f t="shared" si="26"/>
        <v>0</v>
      </c>
      <c r="AC80" s="50">
        <f t="shared" si="26"/>
        <v>0</v>
      </c>
      <c r="AD80" s="50">
        <f t="shared" si="26"/>
        <v>0</v>
      </c>
      <c r="AE80" s="50">
        <f t="shared" si="26"/>
        <v>0</v>
      </c>
      <c r="AF80" s="50">
        <f t="shared" si="26"/>
        <v>0</v>
      </c>
      <c r="AG80" s="50">
        <f t="shared" si="26"/>
        <v>0</v>
      </c>
      <c r="AH80" s="50">
        <f t="shared" si="24"/>
        <v>0</v>
      </c>
      <c r="AI80" s="50">
        <f t="shared" si="24"/>
        <v>0</v>
      </c>
      <c r="AJ80" s="50">
        <f t="shared" si="24"/>
        <v>0</v>
      </c>
      <c r="AK80" s="50">
        <f t="shared" si="24"/>
        <v>0</v>
      </c>
      <c r="AL80" s="50">
        <f t="shared" si="24"/>
        <v>0</v>
      </c>
      <c r="AM80" s="41"/>
      <c r="AN80" s="61">
        <f t="shared" ref="AN80" si="27">SUBTOTAL(9,AN76:AN79)</f>
        <v>36085</v>
      </c>
      <c r="AO80" s="41"/>
      <c r="AP80" s="259">
        <f>AN80-'FY21'!S80</f>
        <v>0</v>
      </c>
    </row>
    <row r="81" spans="3:42" s="37" customFormat="1" ht="12" x14ac:dyDescent="0.2">
      <c r="C81" s="49" t="s">
        <v>101</v>
      </c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41"/>
      <c r="AN81" s="59"/>
      <c r="AO81" s="41"/>
      <c r="AP81" s="259">
        <f>AN81-'FY21'!S81</f>
        <v>0</v>
      </c>
    </row>
    <row r="82" spans="3:42" s="37" customFormat="1" ht="12" x14ac:dyDescent="0.2">
      <c r="C82" s="199">
        <v>6519</v>
      </c>
      <c r="D82" s="37" t="s">
        <v>235</v>
      </c>
      <c r="E82" s="39">
        <f>SUMIF('Exp Details'!$D$109:$D$112,'Function-Grant'!E$4,'Exp Details'!$H$109:$H$112)</f>
        <v>0</v>
      </c>
      <c r="F82" s="39">
        <f>SUMIF('Exp Details'!$D$109:$D$112,'Function-Grant'!F$4,'Exp Details'!$H$109:$H$112)</f>
        <v>0</v>
      </c>
      <c r="G82" s="39">
        <f>SUMIF('Exp Details'!$D$109:$D$112,'Function-Grant'!G$4,'Exp Details'!$H$109:$H$112)</f>
        <v>0</v>
      </c>
      <c r="H82" s="39">
        <f>SUMIF('Exp Details'!$D$109:$D$112,'Function-Grant'!H$4,'Exp Details'!$H$109:$H$112)</f>
        <v>0</v>
      </c>
      <c r="I82" s="39">
        <f>SUMIF('Exp Details'!$D$109:$D$112,'Function-Grant'!I$4,'Exp Details'!$H$109:$H$112)</f>
        <v>0</v>
      </c>
      <c r="J82" s="39">
        <f>SUMIF('Exp Details'!$D$109:$D$112,'Function-Grant'!J$4,'Exp Details'!$H$109:$H$112)</f>
        <v>0</v>
      </c>
      <c r="K82" s="39">
        <f>SUMIF('Exp Details'!$D$109:$D$112,'Function-Grant'!K$4,'Exp Details'!$H$109:$H$112)</f>
        <v>0</v>
      </c>
      <c r="L82" s="39">
        <f>SUMIF('Exp Details'!$D$109:$D$112,'Function-Grant'!L$4,'Exp Details'!$H$109:$H$112)</f>
        <v>0</v>
      </c>
      <c r="M82" s="39">
        <f>SUMIF('Exp Details'!$D$109:$D$112,'Function-Grant'!M$4,'Exp Details'!$H$109:$H$112)</f>
        <v>0</v>
      </c>
      <c r="N82" s="39">
        <f>SUMIF('Exp Details'!$D$109:$D$112,'Function-Grant'!N$4,'Exp Details'!$H$109:$H$112)</f>
        <v>0</v>
      </c>
      <c r="O82" s="39">
        <f>SUMIF('Exp Details'!$D$109:$D$112,'Function-Grant'!O$4,'Exp Details'!$H$109:$H$112)</f>
        <v>0</v>
      </c>
      <c r="P82" s="39">
        <f>SUMIF('Exp Details'!$D$109:$D$112,'Function-Grant'!P$4,'Exp Details'!$H$109:$H$112)</f>
        <v>0</v>
      </c>
      <c r="Q82" s="39">
        <f>SUMIF('Exp Details'!$D$109:$D$112,'Function-Grant'!Q$4,'Exp Details'!$H$109:$H$112)</f>
        <v>0</v>
      </c>
      <c r="R82" s="39">
        <f>SUMIF('Exp Details'!$D$109:$D$112,'Function-Grant'!R$4,'Exp Details'!$H$109:$H$112)</f>
        <v>0</v>
      </c>
      <c r="S82" s="39">
        <f>SUMIF('Exp Details'!$D$109:$D$112,'Function-Grant'!S$4,'Exp Details'!$H$109:$H$112)</f>
        <v>0</v>
      </c>
      <c r="T82" s="39">
        <f>SUMIF('Exp Details'!$D$109:$D$112,'Function-Grant'!T$4,'Exp Details'!$H$109:$H$112)</f>
        <v>0</v>
      </c>
      <c r="U82" s="39">
        <f>SUMIF('Exp Details'!$D$109:$D$112,'Function-Grant'!U$4,'Exp Details'!$H$109:$H$112)</f>
        <v>0</v>
      </c>
      <c r="V82" s="39">
        <f>SUMIF('Exp Details'!$D$109:$D$112,'Function-Grant'!V$4,'Exp Details'!$H$109:$H$112)</f>
        <v>0</v>
      </c>
      <c r="W82" s="370">
        <f>SUMIF('Exp Details'!$D$109:$D$112,'Function-Grant'!W$4,'Exp Details'!$H$109:$H$112)</f>
        <v>0</v>
      </c>
      <c r="X82" s="39">
        <f>SUMIF('Exp Details'!$D$109:$D$112,'Function-Grant'!X$4,'Exp Details'!$H$109:$H$112)</f>
        <v>0</v>
      </c>
      <c r="Y82" s="39">
        <f>SUMIF('Exp Details'!$D$109:$D$112,'Function-Grant'!Y$4,'Exp Details'!$H$109:$H$112)</f>
        <v>0</v>
      </c>
      <c r="Z82" s="39">
        <f>SUMIF('Exp Details'!$D$109:$D$112,'Function-Grant'!Z$4,'Exp Details'!$H$109:$H$112)</f>
        <v>0</v>
      </c>
      <c r="AA82" s="39">
        <f>SUMIF('Exp Details'!$D$109:$D$112,'Function-Grant'!AA$4,'Exp Details'!$H$109:$H$112)</f>
        <v>0</v>
      </c>
      <c r="AB82" s="39">
        <f>SUMIF('Exp Details'!$D$109:$D$112,'Function-Grant'!AB$4,'Exp Details'!$H$109:$H$112)</f>
        <v>0</v>
      </c>
      <c r="AC82" s="39">
        <f>SUMIF('Exp Details'!$D$109:$D$112,'Function-Grant'!AC$4,'Exp Details'!$H$109:$H$112)</f>
        <v>0</v>
      </c>
      <c r="AD82" s="39">
        <f>SUMIF('Exp Details'!$D$109:$D$112,'Function-Grant'!AD$4,'Exp Details'!$H$109:$H$112)</f>
        <v>0</v>
      </c>
      <c r="AE82" s="39">
        <f>SUMIF('Exp Details'!$D$109:$D$112,'Function-Grant'!AE$4,'Exp Details'!$H$109:$H$112)</f>
        <v>0</v>
      </c>
      <c r="AF82" s="39">
        <f>SUMIF('Exp Details'!$D$109:$D$112,'Function-Grant'!AF$4,'Exp Details'!$H$109:$H$112)</f>
        <v>0</v>
      </c>
      <c r="AG82" s="39">
        <f>SUMIF('Exp Details'!$D$109:$D$112,'Function-Grant'!AG$4,'Exp Details'!$H$109:$H$112)</f>
        <v>0</v>
      </c>
      <c r="AH82" s="39">
        <f>SUMIF('Exp Details'!$D$109:$D$112,'Function-Grant'!AH$4,'Exp Details'!$H$109:$H$112)</f>
        <v>0</v>
      </c>
      <c r="AI82" s="39">
        <f>SUMIF('Exp Details'!$D$109:$D$112,'Function-Grant'!AI$4,'Exp Details'!$H$109:$H$112)</f>
        <v>0</v>
      </c>
      <c r="AJ82" s="39">
        <f>SUMIF('Exp Details'!$D$109:$D$112,'Function-Grant'!AJ$4,'Exp Details'!$H$109:$H$112)</f>
        <v>0</v>
      </c>
      <c r="AK82" s="39">
        <f>SUMIF('Exp Details'!$D$109:$D$112,'Function-Grant'!AK$4,'Exp Details'!$H$109:$H$112)</f>
        <v>0</v>
      </c>
      <c r="AL82" s="39">
        <f>SUMIF('Exp Details'!$D$109:$D$112,'Function-Grant'!AL$4,'Exp Details'!$H$109:$H$112)</f>
        <v>0</v>
      </c>
      <c r="AM82" s="41"/>
      <c r="AN82" s="59">
        <f t="shared" ref="AN82:AN93" si="28">SUM(E82:AM82)</f>
        <v>0</v>
      </c>
      <c r="AO82" s="41"/>
      <c r="AP82" s="259">
        <f>AN82-'FY21'!S82</f>
        <v>0</v>
      </c>
    </row>
    <row r="83" spans="3:42" s="37" customFormat="1" ht="12" x14ac:dyDescent="0.2">
      <c r="C83" s="199">
        <v>6521</v>
      </c>
      <c r="D83" s="37" t="s">
        <v>24</v>
      </c>
      <c r="E83" s="39">
        <f>SUMIF('Exp Details'!$D$116:$D$121,'Function-Grant'!E$4,'Exp Details'!$H$116:$H$121)</f>
        <v>0</v>
      </c>
      <c r="F83" s="39">
        <f>SUMIF('Exp Details'!$D$116:$D$121,'Function-Grant'!F$4,'Exp Details'!$H$116:$H$121)</f>
        <v>0</v>
      </c>
      <c r="G83" s="39">
        <f>SUMIF('Exp Details'!$D$116:$D$121,'Function-Grant'!G$4,'Exp Details'!$H$116:$H$121)</f>
        <v>0</v>
      </c>
      <c r="H83" s="39">
        <f>SUMIF('Exp Details'!$D$116:$D$121,'Function-Grant'!H$4,'Exp Details'!$H$116:$H$121)</f>
        <v>0</v>
      </c>
      <c r="I83" s="39">
        <f>SUMIF('Exp Details'!$D$116:$D$121,'Function-Grant'!I$4,'Exp Details'!$H$116:$H$121)</f>
        <v>0</v>
      </c>
      <c r="J83" s="39">
        <f>SUMIF('Exp Details'!$D$116:$D$121,'Function-Grant'!J$4,'Exp Details'!$H$116:$H$121)</f>
        <v>0</v>
      </c>
      <c r="K83" s="39">
        <f>SUMIF('Exp Details'!$D$116:$D$121,'Function-Grant'!K$4,'Exp Details'!$H$116:$H$121)</f>
        <v>0</v>
      </c>
      <c r="L83" s="39">
        <f>SUMIF('Exp Details'!$D$116:$D$121,'Function-Grant'!L$4,'Exp Details'!$H$116:$H$121)</f>
        <v>0</v>
      </c>
      <c r="M83" s="39">
        <f>SUMIF('Exp Details'!$D$116:$D$121,'Function-Grant'!M$4,'Exp Details'!$H$116:$H$121)</f>
        <v>0</v>
      </c>
      <c r="N83" s="39">
        <f>SUMIF('Exp Details'!$D$116:$D$121,'Function-Grant'!N$4,'Exp Details'!$H$116:$H$121)</f>
        <v>0</v>
      </c>
      <c r="O83" s="39">
        <f>SUMIF('Exp Details'!$D$116:$D$121,'Function-Grant'!O$4,'Exp Details'!$H$116:$H$121)</f>
        <v>0</v>
      </c>
      <c r="P83" s="39">
        <f>SUMIF('Exp Details'!$D$116:$D$121,'Function-Grant'!P$4,'Exp Details'!$H$116:$H$121)</f>
        <v>0</v>
      </c>
      <c r="Q83" s="39">
        <f>SUMIF('Exp Details'!$D$116:$D$121,'Function-Grant'!Q$4,'Exp Details'!$H$116:$H$121)</f>
        <v>0</v>
      </c>
      <c r="R83" s="39">
        <f>SUMIF('Exp Details'!$D$116:$D$121,'Function-Grant'!R$4,'Exp Details'!$H$116:$H$121)</f>
        <v>0</v>
      </c>
      <c r="S83" s="39">
        <f>SUMIF('Exp Details'!$D$116:$D$121,'Function-Grant'!S$4,'Exp Details'!$H$116:$H$121)</f>
        <v>0</v>
      </c>
      <c r="T83" s="39">
        <f>SUMIF('Exp Details'!$D$116:$D$121,'Function-Grant'!T$4,'Exp Details'!$H$116:$H$121)</f>
        <v>0</v>
      </c>
      <c r="U83" s="39">
        <f>SUMIF('Exp Details'!$D$116:$D$121,'Function-Grant'!U$4,'Exp Details'!$H$116:$H$121)</f>
        <v>0</v>
      </c>
      <c r="V83" s="39">
        <f>SUMIF('Exp Details'!$D$116:$D$121,'Function-Grant'!V$4,'Exp Details'!$H$116:$H$121)</f>
        <v>0</v>
      </c>
      <c r="W83" s="39">
        <f>SUMIF('Exp Details'!$D$116:$D$121,'Function-Grant'!W$4,'Exp Details'!$H$116:$H$121)</f>
        <v>0</v>
      </c>
      <c r="X83" s="39">
        <f>SUMIF('Exp Details'!$D$116:$D$121,'Function-Grant'!X$4,'Exp Details'!$H$116:$H$121)</f>
        <v>0</v>
      </c>
      <c r="Y83" s="39">
        <f>SUMIF('Exp Details'!$D$116:$D$121,'Function-Grant'!Y$4,'Exp Details'!$H$116:$H$121)</f>
        <v>0</v>
      </c>
      <c r="Z83" s="39">
        <f>SUMIF('Exp Details'!$D$116:$D$121,'Function-Grant'!Z$4,'Exp Details'!$H$116:$H$121)</f>
        <v>0</v>
      </c>
      <c r="AA83" s="39">
        <f>SUMIF('Exp Details'!$D$116:$D$121,'Function-Grant'!AA$4,'Exp Details'!$H$116:$H$121)</f>
        <v>0</v>
      </c>
      <c r="AB83" s="39">
        <f>SUMIF('Exp Details'!$D$116:$D$121,'Function-Grant'!AB$4,'Exp Details'!$H$116:$H$121)</f>
        <v>0</v>
      </c>
      <c r="AC83" s="39">
        <f>SUMIF('Exp Details'!$D$116:$D$121,'Function-Grant'!AC$4,'Exp Details'!$H$116:$H$121)</f>
        <v>0</v>
      </c>
      <c r="AD83" s="39">
        <f>SUMIF('Exp Details'!$D$116:$D$121,'Function-Grant'!AD$4,'Exp Details'!$H$116:$H$121)</f>
        <v>0</v>
      </c>
      <c r="AE83" s="39">
        <f>SUMIF('Exp Details'!$D$116:$D$121,'Function-Grant'!AE$4,'Exp Details'!$H$116:$H$121)</f>
        <v>0</v>
      </c>
      <c r="AF83" s="39">
        <f>SUMIF('Exp Details'!$D$116:$D$121,'Function-Grant'!AF$4,'Exp Details'!$H$116:$H$121)</f>
        <v>0</v>
      </c>
      <c r="AG83" s="39">
        <f>SUMIF('Exp Details'!$D$116:$D$121,'Function-Grant'!AG$4,'Exp Details'!$H$116:$H$121)</f>
        <v>0</v>
      </c>
      <c r="AH83" s="39">
        <f>SUMIF('Exp Details'!$D$116:$D$121,'Function-Grant'!AH$4,'Exp Details'!$H$116:$H$121)</f>
        <v>0</v>
      </c>
      <c r="AI83" s="39">
        <f>SUMIF('Exp Details'!$D$116:$D$121,'Function-Grant'!AI$4,'Exp Details'!$H$116:$H$121)</f>
        <v>0</v>
      </c>
      <c r="AJ83" s="39">
        <f>SUMIF('Exp Details'!$D$116:$D$121,'Function-Grant'!AJ$4,'Exp Details'!$H$116:$H$121)</f>
        <v>0</v>
      </c>
      <c r="AK83" s="39">
        <f>SUMIF('Exp Details'!$D$116:$D$121,'Function-Grant'!AK$4,'Exp Details'!$H$116:$H$121)</f>
        <v>0</v>
      </c>
      <c r="AL83" s="39">
        <f>SUMIF('Exp Details'!$D$116:$D$121,'Function-Grant'!AL$4,'Exp Details'!$H$116:$H$121)</f>
        <v>0</v>
      </c>
      <c r="AM83" s="41"/>
      <c r="AN83" s="59">
        <f t="shared" si="28"/>
        <v>0</v>
      </c>
      <c r="AO83" s="41"/>
      <c r="AP83" s="259">
        <f>AN83-'FY21'!S83</f>
        <v>0</v>
      </c>
    </row>
    <row r="84" spans="3:42" s="37" customFormat="1" ht="12" x14ac:dyDescent="0.2">
      <c r="C84" s="199">
        <v>6522</v>
      </c>
      <c r="D84" s="37" t="s">
        <v>25</v>
      </c>
      <c r="E84" s="39">
        <f>SUMIF('Exp Details'!$D$125:$D$130,'Function-Grant'!E$4,'Exp Details'!$H$125:$H$130)</f>
        <v>0</v>
      </c>
      <c r="F84" s="370">
        <f>SUMIF('Exp Details'!$D$125:$D$130,'Function-Grant'!F$4,'Exp Details'!$H$125:$H$130)</f>
        <v>0</v>
      </c>
      <c r="G84" s="39">
        <f>SUMIF('Exp Details'!$D$125:$D$130,'Function-Grant'!G$4,'Exp Details'!$H$125:$H$130)</f>
        <v>0</v>
      </c>
      <c r="H84" s="39">
        <f>SUMIF('Exp Details'!$D$125:$D$130,'Function-Grant'!H$4,'Exp Details'!$H$125:$H$130)</f>
        <v>0</v>
      </c>
      <c r="I84" s="39">
        <f>SUMIF('Exp Details'!$D$125:$D$130,'Function-Grant'!I$4,'Exp Details'!$H$125:$H$130)</f>
        <v>0</v>
      </c>
      <c r="J84" s="39">
        <f>SUMIF('Exp Details'!$D$125:$D$130,'Function-Grant'!J$4,'Exp Details'!$H$125:$H$130)</f>
        <v>0</v>
      </c>
      <c r="K84" s="39">
        <f>SUMIF('Exp Details'!$D$125:$D$130,'Function-Grant'!K$4,'Exp Details'!$H$125:$H$130)</f>
        <v>0</v>
      </c>
      <c r="L84" s="39">
        <f>SUMIF('Exp Details'!$D$125:$D$130,'Function-Grant'!L$4,'Exp Details'!$H$125:$H$130)</f>
        <v>0</v>
      </c>
      <c r="M84" s="39">
        <f>SUMIF('Exp Details'!$D$125:$D$130,'Function-Grant'!M$4,'Exp Details'!$H$125:$H$130)</f>
        <v>0</v>
      </c>
      <c r="N84" s="39">
        <f>SUMIF('Exp Details'!$D$125:$D$130,'Function-Grant'!N$4,'Exp Details'!$H$125:$H$130)</f>
        <v>0</v>
      </c>
      <c r="O84" s="39">
        <f>SUMIF('Exp Details'!$D$125:$D$130,'Function-Grant'!O$4,'Exp Details'!$H$125:$H$130)</f>
        <v>0</v>
      </c>
      <c r="P84" s="39">
        <f>SUMIF('Exp Details'!$D$125:$D$130,'Function-Grant'!P$4,'Exp Details'!$H$125:$H$130)</f>
        <v>0</v>
      </c>
      <c r="Q84" s="39">
        <f>SUMIF('Exp Details'!$D$125:$D$130,'Function-Grant'!Q$4,'Exp Details'!$H$125:$H$130)</f>
        <v>0</v>
      </c>
      <c r="R84" s="39">
        <f>SUMIF('Exp Details'!$D$125:$D$130,'Function-Grant'!R$4,'Exp Details'!$H$125:$H$130)</f>
        <v>0</v>
      </c>
      <c r="S84" s="39">
        <f>SUMIF('Exp Details'!$D$125:$D$130,'Function-Grant'!S$4,'Exp Details'!$H$125:$H$130)</f>
        <v>0</v>
      </c>
      <c r="T84" s="39">
        <f>SUMIF('Exp Details'!$D$125:$D$130,'Function-Grant'!T$4,'Exp Details'!$H$125:$H$130)</f>
        <v>0</v>
      </c>
      <c r="U84" s="39">
        <f>SUMIF('Exp Details'!$D$125:$D$130,'Function-Grant'!U$4,'Exp Details'!$H$125:$H$130)</f>
        <v>0</v>
      </c>
      <c r="V84" s="39">
        <f>SUMIF('Exp Details'!$D$125:$D$130,'Function-Grant'!V$4,'Exp Details'!$H$125:$H$130)</f>
        <v>0</v>
      </c>
      <c r="W84" s="39">
        <f>SUMIF('Exp Details'!$D$125:$D$130,'Function-Grant'!W$4,'Exp Details'!$H$125:$H$130)</f>
        <v>0</v>
      </c>
      <c r="X84" s="39">
        <f>SUMIF('Exp Details'!$D$125:$D$130,'Function-Grant'!X$4,'Exp Details'!$H$125:$H$130)</f>
        <v>0</v>
      </c>
      <c r="Y84" s="39">
        <f>SUMIF('Exp Details'!$D$125:$D$130,'Function-Grant'!Y$4,'Exp Details'!$H$125:$H$130)</f>
        <v>0</v>
      </c>
      <c r="Z84" s="39">
        <f>SUMIF('Exp Details'!$D$125:$D$130,'Function-Grant'!Z$4,'Exp Details'!$H$125:$H$130)</f>
        <v>0</v>
      </c>
      <c r="AA84" s="39">
        <f>SUMIF('Exp Details'!$D$125:$D$130,'Function-Grant'!AA$4,'Exp Details'!$H$125:$H$130)</f>
        <v>0</v>
      </c>
      <c r="AB84" s="39">
        <f>SUMIF('Exp Details'!$D$125:$D$130,'Function-Grant'!AB$4,'Exp Details'!$H$125:$H$130)</f>
        <v>0</v>
      </c>
      <c r="AC84" s="39">
        <f>SUMIF('Exp Details'!$D$125:$D$130,'Function-Grant'!AC$4,'Exp Details'!$H$125:$H$130)</f>
        <v>0</v>
      </c>
      <c r="AD84" s="39">
        <f>SUMIF('Exp Details'!$D$125:$D$130,'Function-Grant'!AD$4,'Exp Details'!$H$125:$H$130)</f>
        <v>0</v>
      </c>
      <c r="AE84" s="39">
        <f>SUMIF('Exp Details'!$D$125:$D$130,'Function-Grant'!AE$4,'Exp Details'!$H$125:$H$130)</f>
        <v>0</v>
      </c>
      <c r="AF84" s="39">
        <f>SUMIF('Exp Details'!$D$125:$D$130,'Function-Grant'!AF$4,'Exp Details'!$H$125:$H$130)</f>
        <v>0</v>
      </c>
      <c r="AG84" s="39">
        <f>SUMIF('Exp Details'!$D$125:$D$130,'Function-Grant'!AG$4,'Exp Details'!$H$125:$H$130)</f>
        <v>0</v>
      </c>
      <c r="AH84" s="39">
        <f>SUMIF('Exp Details'!$D$125:$D$130,'Function-Grant'!AH$4,'Exp Details'!$H$125:$H$130)</f>
        <v>0</v>
      </c>
      <c r="AI84" s="39">
        <f>SUMIF('Exp Details'!$D$125:$D$130,'Function-Grant'!AI$4,'Exp Details'!$H$125:$H$130)</f>
        <v>0</v>
      </c>
      <c r="AJ84" s="39">
        <f>SUMIF('Exp Details'!$D$125:$D$130,'Function-Grant'!AJ$4,'Exp Details'!$H$125:$H$130)</f>
        <v>0</v>
      </c>
      <c r="AK84" s="39">
        <f>SUMIF('Exp Details'!$D$125:$D$130,'Function-Grant'!AK$4,'Exp Details'!$H$125:$H$130)</f>
        <v>0</v>
      </c>
      <c r="AL84" s="39">
        <f>SUMIF('Exp Details'!$D$125:$D$130,'Function-Grant'!AL$4,'Exp Details'!$H$125:$H$130)</f>
        <v>0</v>
      </c>
      <c r="AM84" s="41"/>
      <c r="AN84" s="59">
        <f t="shared" si="28"/>
        <v>0</v>
      </c>
      <c r="AO84" s="41"/>
      <c r="AP84" s="259">
        <f>AN84-'FY21'!S84</f>
        <v>0</v>
      </c>
    </row>
    <row r="85" spans="3:42" s="37" customFormat="1" ht="12" x14ac:dyDescent="0.2">
      <c r="C85" s="199">
        <v>6523</v>
      </c>
      <c r="D85" s="37" t="s">
        <v>26</v>
      </c>
      <c r="E85" s="39">
        <f>SUMIF('Exp Details'!$D$134:$D$139,'Function-Grant'!E$4,'Exp Details'!$H$134:$H$139)</f>
        <v>0</v>
      </c>
      <c r="F85" s="39">
        <f>SUMIF('Exp Details'!$D$134:$D$139,'Function-Grant'!F$4,'Exp Details'!$H$134:$H$139)</f>
        <v>0</v>
      </c>
      <c r="G85" s="39">
        <f>SUMIF('Exp Details'!$D$134:$D$139,'Function-Grant'!G$4,'Exp Details'!$H$134:$H$139)</f>
        <v>0</v>
      </c>
      <c r="H85" s="39">
        <f>SUMIF('Exp Details'!$D$134:$D$139,'Function-Grant'!H$4,'Exp Details'!$H$134:$H$139)</f>
        <v>0</v>
      </c>
      <c r="I85" s="39">
        <f>SUMIF('Exp Details'!$D$134:$D$139,'Function-Grant'!I$4,'Exp Details'!$H$134:$H$139)</f>
        <v>0</v>
      </c>
      <c r="J85" s="39">
        <f>SUMIF('Exp Details'!$D$134:$D$139,'Function-Grant'!J$4,'Exp Details'!$H$134:$H$139)</f>
        <v>0</v>
      </c>
      <c r="K85" s="39">
        <f>SUMIF('Exp Details'!$D$134:$D$139,'Function-Grant'!K$4,'Exp Details'!$H$134:$H$139)</f>
        <v>0</v>
      </c>
      <c r="L85" s="39">
        <f>SUMIF('Exp Details'!$D$134:$D$139,'Function-Grant'!L$4,'Exp Details'!$H$134:$H$139)</f>
        <v>0</v>
      </c>
      <c r="M85" s="39">
        <f>SUMIF('Exp Details'!$D$134:$D$139,'Function-Grant'!M$4,'Exp Details'!$H$134:$H$139)</f>
        <v>0</v>
      </c>
      <c r="N85" s="39">
        <f>SUMIF('Exp Details'!$D$134:$D$139,'Function-Grant'!N$4,'Exp Details'!$H$134:$H$139)</f>
        <v>0</v>
      </c>
      <c r="O85" s="39">
        <f>SUMIF('Exp Details'!$D$134:$D$139,'Function-Grant'!O$4,'Exp Details'!$H$134:$H$139)</f>
        <v>0</v>
      </c>
      <c r="P85" s="39">
        <f>SUMIF('Exp Details'!$D$134:$D$139,'Function-Grant'!P$4,'Exp Details'!$H$134:$H$139)</f>
        <v>0</v>
      </c>
      <c r="Q85" s="39">
        <f>SUMIF('Exp Details'!$D$134:$D$139,'Function-Grant'!Q$4,'Exp Details'!$H$134:$H$139)</f>
        <v>0</v>
      </c>
      <c r="R85" s="39">
        <f>SUMIF('Exp Details'!$D$134:$D$139,'Function-Grant'!R$4,'Exp Details'!$H$134:$H$139)</f>
        <v>0</v>
      </c>
      <c r="S85" s="39">
        <f>SUMIF('Exp Details'!$D$134:$D$139,'Function-Grant'!S$4,'Exp Details'!$H$134:$H$139)</f>
        <v>0</v>
      </c>
      <c r="T85" s="39">
        <f>SUMIF('Exp Details'!$D$134:$D$139,'Function-Grant'!T$4,'Exp Details'!$H$134:$H$139)</f>
        <v>0</v>
      </c>
      <c r="U85" s="39">
        <f>SUMIF('Exp Details'!$D$134:$D$139,'Function-Grant'!U$4,'Exp Details'!$H$134:$H$139)</f>
        <v>0</v>
      </c>
      <c r="V85" s="39">
        <f>SUMIF('Exp Details'!$D$134:$D$139,'Function-Grant'!V$4,'Exp Details'!$H$134:$H$139)</f>
        <v>0</v>
      </c>
      <c r="W85" s="39">
        <f>SUMIF('Exp Details'!$D$134:$D$139,'Function-Grant'!W$4,'Exp Details'!$H$134:$H$139)</f>
        <v>0</v>
      </c>
      <c r="X85" s="39">
        <f>SUMIF('Exp Details'!$D$134:$D$139,'Function-Grant'!X$4,'Exp Details'!$H$134:$H$139)</f>
        <v>0</v>
      </c>
      <c r="Y85" s="39">
        <f>SUMIF('Exp Details'!$D$134:$D$139,'Function-Grant'!Y$4,'Exp Details'!$H$134:$H$139)</f>
        <v>0</v>
      </c>
      <c r="Z85" s="39">
        <f>SUMIF('Exp Details'!$D$134:$D$139,'Function-Grant'!Z$4,'Exp Details'!$H$134:$H$139)</f>
        <v>0</v>
      </c>
      <c r="AA85" s="39">
        <f>SUMIF('Exp Details'!$D$134:$D$139,'Function-Grant'!AA$4,'Exp Details'!$H$134:$H$139)</f>
        <v>0</v>
      </c>
      <c r="AB85" s="39">
        <f>SUMIF('Exp Details'!$D$134:$D$139,'Function-Grant'!AB$4,'Exp Details'!$H$134:$H$139)</f>
        <v>0</v>
      </c>
      <c r="AC85" s="39">
        <f>SUMIF('Exp Details'!$D$134:$D$139,'Function-Grant'!AC$4,'Exp Details'!$H$134:$H$139)</f>
        <v>0</v>
      </c>
      <c r="AD85" s="39">
        <f>SUMIF('Exp Details'!$D$134:$D$139,'Function-Grant'!AD$4,'Exp Details'!$H$134:$H$139)</f>
        <v>0</v>
      </c>
      <c r="AE85" s="39">
        <f>SUMIF('Exp Details'!$D$134:$D$139,'Function-Grant'!AE$4,'Exp Details'!$H$134:$H$139)</f>
        <v>0</v>
      </c>
      <c r="AF85" s="39">
        <f>SUMIF('Exp Details'!$D$134:$D$139,'Function-Grant'!AF$4,'Exp Details'!$H$134:$H$139)</f>
        <v>0</v>
      </c>
      <c r="AG85" s="39">
        <f>SUMIF('Exp Details'!$D$134:$D$139,'Function-Grant'!AG$4,'Exp Details'!$H$134:$H$139)</f>
        <v>0</v>
      </c>
      <c r="AH85" s="39">
        <f>SUMIF('Exp Details'!$D$134:$D$139,'Function-Grant'!AH$4,'Exp Details'!$H$134:$H$139)</f>
        <v>0</v>
      </c>
      <c r="AI85" s="39">
        <f>SUMIF('Exp Details'!$D$134:$D$139,'Function-Grant'!AI$4,'Exp Details'!$H$134:$H$139)</f>
        <v>0</v>
      </c>
      <c r="AJ85" s="39">
        <f>SUMIF('Exp Details'!$D$134:$D$139,'Function-Grant'!AJ$4,'Exp Details'!$H$134:$H$139)</f>
        <v>0</v>
      </c>
      <c r="AK85" s="39">
        <f>SUMIF('Exp Details'!$D$134:$D$139,'Function-Grant'!AK$4,'Exp Details'!$H$134:$H$139)</f>
        <v>0</v>
      </c>
      <c r="AL85" s="39">
        <f>SUMIF('Exp Details'!$D$134:$D$139,'Function-Grant'!AL$4,'Exp Details'!$H$134:$H$139)</f>
        <v>0</v>
      </c>
      <c r="AM85" s="41"/>
      <c r="AN85" s="59">
        <f t="shared" si="28"/>
        <v>0</v>
      </c>
      <c r="AO85" s="41"/>
      <c r="AP85" s="259">
        <f>AN85-'FY21'!S85</f>
        <v>0</v>
      </c>
    </row>
    <row r="86" spans="3:42" s="37" customFormat="1" ht="12" x14ac:dyDescent="0.2">
      <c r="C86" s="199">
        <v>6531</v>
      </c>
      <c r="D86" s="37" t="s">
        <v>27</v>
      </c>
      <c r="E86" s="39">
        <f>SUMIF('Exp Details'!$D$143:$D$146,'Function-Grant'!E$4,'Exp Details'!$H$143:$H$146)</f>
        <v>0</v>
      </c>
      <c r="F86" s="39">
        <f>SUMIF('Exp Details'!$D$143:$D$146,'Function-Grant'!F$4,'Exp Details'!$H$143:$H$146)</f>
        <v>0</v>
      </c>
      <c r="G86" s="39">
        <f>SUMIF('Exp Details'!$D$143:$D$146,'Function-Grant'!G$4,'Exp Details'!$H$143:$H$146)</f>
        <v>0</v>
      </c>
      <c r="H86" s="39">
        <f>SUMIF('Exp Details'!$D$143:$D$146,'Function-Grant'!H$4,'Exp Details'!$H$143:$H$146)</f>
        <v>0</v>
      </c>
      <c r="I86" s="39">
        <f>SUMIF('Exp Details'!$D$143:$D$146,'Function-Grant'!I$4,'Exp Details'!$H$143:$H$146)</f>
        <v>0</v>
      </c>
      <c r="J86" s="39">
        <f>SUMIF('Exp Details'!$D$143:$D$146,'Function-Grant'!J$4,'Exp Details'!$H$143:$H$146)</f>
        <v>0</v>
      </c>
      <c r="K86" s="39">
        <f>SUMIF('Exp Details'!$D$143:$D$146,'Function-Grant'!K$4,'Exp Details'!$H$143:$H$146)</f>
        <v>0</v>
      </c>
      <c r="L86" s="39">
        <f>SUMIF('Exp Details'!$D$143:$D$146,'Function-Grant'!L$4,'Exp Details'!$H$143:$H$146)</f>
        <v>0</v>
      </c>
      <c r="M86" s="39">
        <f>SUMIF('Exp Details'!$D$143:$D$146,'Function-Grant'!M$4,'Exp Details'!$H$143:$H$146)</f>
        <v>0</v>
      </c>
      <c r="N86" s="39">
        <f>SUMIF('Exp Details'!$D$143:$D$146,'Function-Grant'!N$4,'Exp Details'!$H$143:$H$146)</f>
        <v>0</v>
      </c>
      <c r="O86" s="370">
        <f>SUMIF('Exp Details'!$D$143:$D$146,'Function-Grant'!O$4,'Exp Details'!$H$143:$H$146)</f>
        <v>0</v>
      </c>
      <c r="P86" s="39">
        <f>SUMIF('Exp Details'!$D$143:$D$146,'Function-Grant'!P$4,'Exp Details'!$H$143:$H$146)</f>
        <v>0</v>
      </c>
      <c r="Q86" s="39">
        <f>SUMIF('Exp Details'!$D$143:$D$146,'Function-Grant'!Q$4,'Exp Details'!$H$143:$H$146)</f>
        <v>0</v>
      </c>
      <c r="R86" s="39">
        <f>SUMIF('Exp Details'!$D$143:$D$146,'Function-Grant'!R$4,'Exp Details'!$H$143:$H$146)</f>
        <v>0</v>
      </c>
      <c r="S86" s="39">
        <f>SUMIF('Exp Details'!$D$143:$D$146,'Function-Grant'!S$4,'Exp Details'!$H$143:$H$146)</f>
        <v>0</v>
      </c>
      <c r="T86" s="39">
        <f>SUMIF('Exp Details'!$D$143:$D$146,'Function-Grant'!T$4,'Exp Details'!$H$143:$H$146)</f>
        <v>0</v>
      </c>
      <c r="U86" s="39">
        <f>SUMIF('Exp Details'!$D$143:$D$146,'Function-Grant'!U$4,'Exp Details'!$H$143:$H$146)</f>
        <v>0</v>
      </c>
      <c r="V86" s="39">
        <f>SUMIF('Exp Details'!$D$143:$D$146,'Function-Grant'!V$4,'Exp Details'!$H$143:$H$146)</f>
        <v>0</v>
      </c>
      <c r="W86" s="39">
        <f>SUMIF('Exp Details'!$D$143:$D$146,'Function-Grant'!W$4,'Exp Details'!$H$143:$H$146)</f>
        <v>0</v>
      </c>
      <c r="X86" s="39">
        <f>SUMIF('Exp Details'!$D$143:$D$146,'Function-Grant'!X$4,'Exp Details'!$H$143:$H$146)</f>
        <v>0</v>
      </c>
      <c r="Y86" s="39">
        <f>SUMIF('Exp Details'!$D$143:$D$146,'Function-Grant'!Y$4,'Exp Details'!$H$143:$H$146)</f>
        <v>0</v>
      </c>
      <c r="Z86" s="39">
        <f>SUMIF('Exp Details'!$D$143:$D$146,'Function-Grant'!Z$4,'Exp Details'!$H$143:$H$146)</f>
        <v>0</v>
      </c>
      <c r="AA86" s="39">
        <f>SUMIF('Exp Details'!$D$143:$D$146,'Function-Grant'!AA$4,'Exp Details'!$H$143:$H$146)</f>
        <v>0</v>
      </c>
      <c r="AB86" s="39">
        <f>SUMIF('Exp Details'!$D$143:$D$146,'Function-Grant'!AB$4,'Exp Details'!$H$143:$H$146)</f>
        <v>0</v>
      </c>
      <c r="AC86" s="39">
        <f>SUMIF('Exp Details'!$D$143:$D$146,'Function-Grant'!AC$4,'Exp Details'!$H$143:$H$146)</f>
        <v>0</v>
      </c>
      <c r="AD86" s="39">
        <f>SUMIF('Exp Details'!$D$143:$D$146,'Function-Grant'!AD$4,'Exp Details'!$H$143:$H$146)</f>
        <v>0</v>
      </c>
      <c r="AE86" s="39">
        <f>SUMIF('Exp Details'!$D$143:$D$146,'Function-Grant'!AE$4,'Exp Details'!$H$143:$H$146)</f>
        <v>0</v>
      </c>
      <c r="AF86" s="39">
        <f>SUMIF('Exp Details'!$D$143:$D$146,'Function-Grant'!AF$4,'Exp Details'!$H$143:$H$146)</f>
        <v>0</v>
      </c>
      <c r="AG86" s="39">
        <f>SUMIF('Exp Details'!$D$143:$D$146,'Function-Grant'!AG$4,'Exp Details'!$H$143:$H$146)</f>
        <v>0</v>
      </c>
      <c r="AH86" s="39">
        <f>SUMIF('Exp Details'!$D$143:$D$146,'Function-Grant'!AH$4,'Exp Details'!$H$143:$H$146)</f>
        <v>0</v>
      </c>
      <c r="AI86" s="39">
        <f>SUMIF('Exp Details'!$D$143:$D$146,'Function-Grant'!AI$4,'Exp Details'!$H$143:$H$146)</f>
        <v>0</v>
      </c>
      <c r="AJ86" s="39">
        <f>SUMIF('Exp Details'!$D$143:$D$146,'Function-Grant'!AJ$4,'Exp Details'!$H$143:$H$146)</f>
        <v>0</v>
      </c>
      <c r="AK86" s="39">
        <f>SUMIF('Exp Details'!$D$143:$D$146,'Function-Grant'!AK$4,'Exp Details'!$H$143:$H$146)</f>
        <v>0</v>
      </c>
      <c r="AL86" s="39">
        <f>SUMIF('Exp Details'!$D$143:$D$146,'Function-Grant'!AL$4,'Exp Details'!$H$143:$H$146)</f>
        <v>0</v>
      </c>
      <c r="AM86" s="41"/>
      <c r="AN86" s="59">
        <f t="shared" si="28"/>
        <v>0</v>
      </c>
      <c r="AO86" s="41"/>
      <c r="AP86" s="259">
        <f>AN86-'FY21'!S86</f>
        <v>0</v>
      </c>
    </row>
    <row r="87" spans="3:42" s="37" customFormat="1" ht="12" x14ac:dyDescent="0.2">
      <c r="C87" s="199">
        <v>6534</v>
      </c>
      <c r="D87" s="37" t="s">
        <v>28</v>
      </c>
      <c r="E87" s="39">
        <f>SUMIF('Exp Details'!$D$150:$D$152,'Function-Grant'!E$4,'Exp Details'!$H$150:$H$152)</f>
        <v>0</v>
      </c>
      <c r="F87" s="39">
        <f>SUMIF('Exp Details'!$D$150:$D$152,'Function-Grant'!F$4,'Exp Details'!$H$150:$H$152)</f>
        <v>0</v>
      </c>
      <c r="G87" s="39">
        <f>SUMIF('Exp Details'!$D$150:$D$152,'Function-Grant'!G$4,'Exp Details'!$H$150:$H$152)</f>
        <v>0</v>
      </c>
      <c r="H87" s="39">
        <f>SUMIF('Exp Details'!$D$150:$D$152,'Function-Grant'!H$4,'Exp Details'!$H$150:$H$152)</f>
        <v>0</v>
      </c>
      <c r="I87" s="39">
        <f>SUMIF('Exp Details'!$D$150:$D$152,'Function-Grant'!I$4,'Exp Details'!$H$150:$H$152)</f>
        <v>0</v>
      </c>
      <c r="J87" s="39">
        <f>SUMIF('Exp Details'!$D$150:$D$152,'Function-Grant'!J$4,'Exp Details'!$H$150:$H$152)</f>
        <v>0</v>
      </c>
      <c r="K87" s="39">
        <f>SUMIF('Exp Details'!$D$150:$D$152,'Function-Grant'!K$4,'Exp Details'!$H$150:$H$152)</f>
        <v>0</v>
      </c>
      <c r="L87" s="39">
        <f>SUMIF('Exp Details'!$D$150:$D$152,'Function-Grant'!L$4,'Exp Details'!$H$150:$H$152)</f>
        <v>0</v>
      </c>
      <c r="M87" s="39">
        <f>SUMIF('Exp Details'!$D$150:$D$152,'Function-Grant'!M$4,'Exp Details'!$H$150:$H$152)</f>
        <v>0</v>
      </c>
      <c r="N87" s="39">
        <f>SUMIF('Exp Details'!$D$150:$D$152,'Function-Grant'!N$4,'Exp Details'!$H$150:$H$152)</f>
        <v>0</v>
      </c>
      <c r="O87" s="39">
        <f>SUMIF('Exp Details'!$D$150:$D$152,'Function-Grant'!O$4,'Exp Details'!$H$150:$H$152)</f>
        <v>0</v>
      </c>
      <c r="P87" s="39">
        <f>SUMIF('Exp Details'!$D$150:$D$152,'Function-Grant'!P$4,'Exp Details'!$H$150:$H$152)</f>
        <v>0</v>
      </c>
      <c r="Q87" s="39">
        <f>SUMIF('Exp Details'!$D$150:$D$152,'Function-Grant'!Q$4,'Exp Details'!$H$150:$H$152)</f>
        <v>0</v>
      </c>
      <c r="R87" s="39">
        <f>SUMIF('Exp Details'!$D$150:$D$152,'Function-Grant'!R$4,'Exp Details'!$H$150:$H$152)</f>
        <v>0</v>
      </c>
      <c r="S87" s="39">
        <f>SUMIF('Exp Details'!$D$150:$D$152,'Function-Grant'!S$4,'Exp Details'!$H$150:$H$152)</f>
        <v>0</v>
      </c>
      <c r="T87" s="39">
        <f>SUMIF('Exp Details'!$D$150:$D$152,'Function-Grant'!T$4,'Exp Details'!$H$150:$H$152)</f>
        <v>0</v>
      </c>
      <c r="U87" s="39">
        <f>SUMIF('Exp Details'!$D$150:$D$152,'Function-Grant'!U$4,'Exp Details'!$H$150:$H$152)</f>
        <v>0</v>
      </c>
      <c r="V87" s="39">
        <f>SUMIF('Exp Details'!$D$150:$D$152,'Function-Grant'!V$4,'Exp Details'!$H$150:$H$152)</f>
        <v>0</v>
      </c>
      <c r="W87" s="39">
        <f>SUMIF('Exp Details'!$D$150:$D$152,'Function-Grant'!W$4,'Exp Details'!$H$150:$H$152)</f>
        <v>0</v>
      </c>
      <c r="X87" s="39">
        <f>SUMIF('Exp Details'!$D$150:$D$152,'Function-Grant'!X$4,'Exp Details'!$H$150:$H$152)</f>
        <v>0</v>
      </c>
      <c r="Y87" s="39">
        <f>SUMIF('Exp Details'!$D$150:$D$152,'Function-Grant'!Y$4,'Exp Details'!$H$150:$H$152)</f>
        <v>0</v>
      </c>
      <c r="Z87" s="39">
        <f>SUMIF('Exp Details'!$D$150:$D$152,'Function-Grant'!Z$4,'Exp Details'!$H$150:$H$152)</f>
        <v>0</v>
      </c>
      <c r="AA87" s="39">
        <f>SUMIF('Exp Details'!$D$150:$D$152,'Function-Grant'!AA$4,'Exp Details'!$H$150:$H$152)</f>
        <v>0</v>
      </c>
      <c r="AB87" s="39">
        <f>SUMIF('Exp Details'!$D$150:$D$152,'Function-Grant'!AB$4,'Exp Details'!$H$150:$H$152)</f>
        <v>0</v>
      </c>
      <c r="AC87" s="39">
        <f>SUMIF('Exp Details'!$D$150:$D$152,'Function-Grant'!AC$4,'Exp Details'!$H$150:$H$152)</f>
        <v>0</v>
      </c>
      <c r="AD87" s="39">
        <f>SUMIF('Exp Details'!$D$150:$D$152,'Function-Grant'!AD$4,'Exp Details'!$H$150:$H$152)</f>
        <v>0</v>
      </c>
      <c r="AE87" s="39">
        <f>SUMIF('Exp Details'!$D$150:$D$152,'Function-Grant'!AE$4,'Exp Details'!$H$150:$H$152)</f>
        <v>0</v>
      </c>
      <c r="AF87" s="39">
        <f>SUMIF('Exp Details'!$D$150:$D$152,'Function-Grant'!AF$4,'Exp Details'!$H$150:$H$152)</f>
        <v>0</v>
      </c>
      <c r="AG87" s="39">
        <f>SUMIF('Exp Details'!$D$150:$D$152,'Function-Grant'!AG$4,'Exp Details'!$H$150:$H$152)</f>
        <v>0</v>
      </c>
      <c r="AH87" s="39">
        <f>SUMIF('Exp Details'!$D$150:$D$152,'Function-Grant'!AH$4,'Exp Details'!$H$150:$H$152)</f>
        <v>0</v>
      </c>
      <c r="AI87" s="39">
        <f>SUMIF('Exp Details'!$D$150:$D$152,'Function-Grant'!AI$4,'Exp Details'!$H$150:$H$152)</f>
        <v>0</v>
      </c>
      <c r="AJ87" s="39">
        <f>SUMIF('Exp Details'!$D$150:$D$152,'Function-Grant'!AJ$4,'Exp Details'!$H$150:$H$152)</f>
        <v>0</v>
      </c>
      <c r="AK87" s="39">
        <f>SUMIF('Exp Details'!$D$150:$D$152,'Function-Grant'!AK$4,'Exp Details'!$H$150:$H$152)</f>
        <v>0</v>
      </c>
      <c r="AL87" s="39">
        <f>SUMIF('Exp Details'!$D$150:$D$152,'Function-Grant'!AL$4,'Exp Details'!$H$150:$H$152)</f>
        <v>0</v>
      </c>
      <c r="AM87" s="41"/>
      <c r="AN87" s="59">
        <f t="shared" si="28"/>
        <v>0</v>
      </c>
      <c r="AO87" s="41"/>
      <c r="AP87" s="259">
        <f>AN87-'FY21'!S87</f>
        <v>0</v>
      </c>
    </row>
    <row r="88" spans="3:42" s="37" customFormat="1" ht="12" x14ac:dyDescent="0.2">
      <c r="C88" s="199">
        <v>6535</v>
      </c>
      <c r="D88" s="37" t="s">
        <v>236</v>
      </c>
      <c r="E88" s="39">
        <f>SUMIF('Exp Details'!$D$156:$D$158,'Function-Grant'!E$4,'Exp Details'!$H$156:$H$158)</f>
        <v>0</v>
      </c>
      <c r="F88" s="39">
        <f>SUMIF('Exp Details'!$D$156:$D$158,'Function-Grant'!F$4,'Exp Details'!$H$156:$H$158)</f>
        <v>0</v>
      </c>
      <c r="G88" s="39">
        <f>SUMIF('Exp Details'!$D$156:$D$158,'Function-Grant'!G$4,'Exp Details'!$H$156:$H$158)</f>
        <v>0</v>
      </c>
      <c r="H88" s="39">
        <f>SUMIF('Exp Details'!$D$156:$D$158,'Function-Grant'!H$4,'Exp Details'!$H$156:$H$158)</f>
        <v>0</v>
      </c>
      <c r="I88" s="39">
        <f>SUMIF('Exp Details'!$D$156:$D$158,'Function-Grant'!I$4,'Exp Details'!$H$156:$H$158)</f>
        <v>0</v>
      </c>
      <c r="J88" s="39">
        <f>SUMIF('Exp Details'!$D$156:$D$158,'Function-Grant'!J$4,'Exp Details'!$H$156:$H$158)</f>
        <v>0</v>
      </c>
      <c r="K88" s="39">
        <f>SUMIF('Exp Details'!$D$156:$D$158,'Function-Grant'!K$4,'Exp Details'!$H$156:$H$158)</f>
        <v>0</v>
      </c>
      <c r="L88" s="39">
        <f>SUMIF('Exp Details'!$D$156:$D$158,'Function-Grant'!L$4,'Exp Details'!$H$156:$H$158)</f>
        <v>0</v>
      </c>
      <c r="M88" s="39">
        <f>SUMIF('Exp Details'!$D$156:$D$158,'Function-Grant'!M$4,'Exp Details'!$H$156:$H$158)</f>
        <v>0</v>
      </c>
      <c r="N88" s="39">
        <f>SUMIF('Exp Details'!$D$156:$D$158,'Function-Grant'!N$4,'Exp Details'!$H$156:$H$158)</f>
        <v>0</v>
      </c>
      <c r="O88" s="370">
        <f>SUMIF('Exp Details'!$D$156:$D$158,'Function-Grant'!O$4,'Exp Details'!$H$156:$H$158)</f>
        <v>3624</v>
      </c>
      <c r="P88" s="39">
        <f>SUMIF('Exp Details'!$D$156:$D$158,'Function-Grant'!P$4,'Exp Details'!$H$156:$H$158)</f>
        <v>0</v>
      </c>
      <c r="Q88" s="39">
        <f>SUMIF('Exp Details'!$D$156:$D$158,'Function-Grant'!Q$4,'Exp Details'!$H$156:$H$158)</f>
        <v>0</v>
      </c>
      <c r="R88" s="39">
        <f>SUMIF('Exp Details'!$D$156:$D$158,'Function-Grant'!R$4,'Exp Details'!$H$156:$H$158)</f>
        <v>0</v>
      </c>
      <c r="S88" s="39">
        <f>SUMIF('Exp Details'!$D$156:$D$158,'Function-Grant'!S$4,'Exp Details'!$H$156:$H$158)</f>
        <v>0</v>
      </c>
      <c r="T88" s="39">
        <f>SUMIF('Exp Details'!$D$156:$D$158,'Function-Grant'!T$4,'Exp Details'!$H$156:$H$158)</f>
        <v>0</v>
      </c>
      <c r="U88" s="39">
        <f>SUMIF('Exp Details'!$D$156:$D$158,'Function-Grant'!U$4,'Exp Details'!$H$156:$H$158)</f>
        <v>0</v>
      </c>
      <c r="V88" s="39">
        <f>SUMIF('Exp Details'!$D$156:$D$158,'Function-Grant'!V$4,'Exp Details'!$H$156:$H$158)</f>
        <v>0</v>
      </c>
      <c r="W88" s="39">
        <f>SUMIF('Exp Details'!$D$156:$D$158,'Function-Grant'!W$4,'Exp Details'!$H$156:$H$158)</f>
        <v>0</v>
      </c>
      <c r="X88" s="39">
        <f>SUMIF('Exp Details'!$D$156:$D$158,'Function-Grant'!X$4,'Exp Details'!$H$156:$H$158)</f>
        <v>0</v>
      </c>
      <c r="Y88" s="39">
        <f>SUMIF('Exp Details'!$D$156:$D$158,'Function-Grant'!Y$4,'Exp Details'!$H$156:$H$158)</f>
        <v>0</v>
      </c>
      <c r="Z88" s="39">
        <f>SUMIF('Exp Details'!$D$156:$D$158,'Function-Grant'!Z$4,'Exp Details'!$H$156:$H$158)</f>
        <v>0</v>
      </c>
      <c r="AA88" s="39">
        <f>SUMIF('Exp Details'!$D$156:$D$158,'Function-Grant'!AA$4,'Exp Details'!$H$156:$H$158)</f>
        <v>0</v>
      </c>
      <c r="AB88" s="39">
        <f>SUMIF('Exp Details'!$D$156:$D$158,'Function-Grant'!AB$4,'Exp Details'!$H$156:$H$158)</f>
        <v>0</v>
      </c>
      <c r="AC88" s="39">
        <f>SUMIF('Exp Details'!$D$156:$D$158,'Function-Grant'!AC$4,'Exp Details'!$H$156:$H$158)</f>
        <v>0</v>
      </c>
      <c r="AD88" s="39">
        <f>SUMIF('Exp Details'!$D$156:$D$158,'Function-Grant'!AD$4,'Exp Details'!$H$156:$H$158)</f>
        <v>0</v>
      </c>
      <c r="AE88" s="39">
        <f>SUMIF('Exp Details'!$D$156:$D$158,'Function-Grant'!AE$4,'Exp Details'!$H$156:$H$158)</f>
        <v>0</v>
      </c>
      <c r="AF88" s="39">
        <f>SUMIF('Exp Details'!$D$156:$D$158,'Function-Grant'!AF$4,'Exp Details'!$H$156:$H$158)</f>
        <v>0</v>
      </c>
      <c r="AG88" s="39">
        <f>SUMIF('Exp Details'!$D$156:$D$158,'Function-Grant'!AG$4,'Exp Details'!$H$156:$H$158)</f>
        <v>0</v>
      </c>
      <c r="AH88" s="39">
        <f>SUMIF('Exp Details'!$D$156:$D$158,'Function-Grant'!AH$4,'Exp Details'!$H$156:$H$158)</f>
        <v>0</v>
      </c>
      <c r="AI88" s="39">
        <f>SUMIF('Exp Details'!$D$156:$D$158,'Function-Grant'!AI$4,'Exp Details'!$H$156:$H$158)</f>
        <v>0</v>
      </c>
      <c r="AJ88" s="39">
        <f>SUMIF('Exp Details'!$D$156:$D$158,'Function-Grant'!AJ$4,'Exp Details'!$H$156:$H$158)</f>
        <v>0</v>
      </c>
      <c r="AK88" s="39">
        <f>SUMIF('Exp Details'!$D$156:$D$158,'Function-Grant'!AK$4,'Exp Details'!$H$156:$H$158)</f>
        <v>0</v>
      </c>
      <c r="AL88" s="39">
        <f>SUMIF('Exp Details'!$D$156:$D$158,'Function-Grant'!AL$4,'Exp Details'!$H$156:$H$158)</f>
        <v>0</v>
      </c>
      <c r="AM88" s="41"/>
      <c r="AN88" s="59">
        <f t="shared" si="28"/>
        <v>3624</v>
      </c>
      <c r="AO88" s="41"/>
      <c r="AP88" s="259">
        <f>AN88-'FY21'!S88</f>
        <v>0</v>
      </c>
    </row>
    <row r="89" spans="3:42" s="37" customFormat="1" ht="12" x14ac:dyDescent="0.2">
      <c r="C89" s="199">
        <v>6540</v>
      </c>
      <c r="D89" s="37" t="s">
        <v>30</v>
      </c>
      <c r="E89" s="39">
        <f>SUMIF('Exp Details'!$D$162:$D$164,'Function-Grant'!E$4,'Exp Details'!$H$162:$H$164)</f>
        <v>0</v>
      </c>
      <c r="F89" s="39">
        <f>SUMIF('Exp Details'!$D$162:$D$164,'Function-Grant'!F$4,'Exp Details'!$H$162:$H$164)</f>
        <v>0</v>
      </c>
      <c r="G89" s="39">
        <f>SUMIF('Exp Details'!$D$162:$D$164,'Function-Grant'!G$4,'Exp Details'!$H$162:$H$164)</f>
        <v>0</v>
      </c>
      <c r="H89" s="39">
        <f>SUMIF('Exp Details'!$D$162:$D$164,'Function-Grant'!H$4,'Exp Details'!$H$162:$H$164)</f>
        <v>0</v>
      </c>
      <c r="I89" s="39">
        <f>SUMIF('Exp Details'!$D$162:$D$164,'Function-Grant'!I$4,'Exp Details'!$H$162:$H$164)</f>
        <v>0</v>
      </c>
      <c r="J89" s="39">
        <f>SUMIF('Exp Details'!$D$162:$D$164,'Function-Grant'!J$4,'Exp Details'!$H$162:$H$164)</f>
        <v>0</v>
      </c>
      <c r="K89" s="39">
        <f>SUMIF('Exp Details'!$D$162:$D$164,'Function-Grant'!K$4,'Exp Details'!$H$162:$H$164)</f>
        <v>0</v>
      </c>
      <c r="L89" s="39">
        <f>SUMIF('Exp Details'!$D$162:$D$164,'Function-Grant'!L$4,'Exp Details'!$H$162:$H$164)</f>
        <v>0</v>
      </c>
      <c r="M89" s="39">
        <f>SUMIF('Exp Details'!$D$162:$D$164,'Function-Grant'!M$4,'Exp Details'!$H$162:$H$164)</f>
        <v>0</v>
      </c>
      <c r="N89" s="39">
        <f>SUMIF('Exp Details'!$D$162:$D$164,'Function-Grant'!N$4,'Exp Details'!$H$162:$H$164)</f>
        <v>0</v>
      </c>
      <c r="O89" s="39">
        <f>SUMIF('Exp Details'!$D$162:$D$164,'Function-Grant'!O$4,'Exp Details'!$H$162:$H$164)</f>
        <v>0</v>
      </c>
      <c r="P89" s="39">
        <f>SUMIF('Exp Details'!$D$162:$D$164,'Function-Grant'!P$4,'Exp Details'!$H$162:$H$164)</f>
        <v>0</v>
      </c>
      <c r="Q89" s="39">
        <f>SUMIF('Exp Details'!$D$162:$D$164,'Function-Grant'!Q$4,'Exp Details'!$H$162:$H$164)</f>
        <v>0</v>
      </c>
      <c r="R89" s="39">
        <f>SUMIF('Exp Details'!$D$162:$D$164,'Function-Grant'!R$4,'Exp Details'!$H$162:$H$164)</f>
        <v>0</v>
      </c>
      <c r="S89" s="39">
        <f>SUMIF('Exp Details'!$D$162:$D$164,'Function-Grant'!S$4,'Exp Details'!$H$162:$H$164)</f>
        <v>0</v>
      </c>
      <c r="T89" s="39">
        <f>SUMIF('Exp Details'!$D$162:$D$164,'Function-Grant'!T$4,'Exp Details'!$H$162:$H$164)</f>
        <v>0</v>
      </c>
      <c r="U89" s="39">
        <f>SUMIF('Exp Details'!$D$162:$D$164,'Function-Grant'!U$4,'Exp Details'!$H$162:$H$164)</f>
        <v>0</v>
      </c>
      <c r="V89" s="39">
        <f>SUMIF('Exp Details'!$D$162:$D$164,'Function-Grant'!V$4,'Exp Details'!$H$162:$H$164)</f>
        <v>0</v>
      </c>
      <c r="W89" s="39">
        <f>SUMIF('Exp Details'!$D$162:$D$164,'Function-Grant'!W$4,'Exp Details'!$H$162:$H$164)</f>
        <v>0</v>
      </c>
      <c r="X89" s="39">
        <f>SUMIF('Exp Details'!$D$162:$D$164,'Function-Grant'!X$4,'Exp Details'!$H$162:$H$164)</f>
        <v>0</v>
      </c>
      <c r="Y89" s="39">
        <f>SUMIF('Exp Details'!$D$162:$D$164,'Function-Grant'!Y$4,'Exp Details'!$H$162:$H$164)</f>
        <v>0</v>
      </c>
      <c r="Z89" s="39">
        <f>SUMIF('Exp Details'!$D$162:$D$164,'Function-Grant'!Z$4,'Exp Details'!$H$162:$H$164)</f>
        <v>0</v>
      </c>
      <c r="AA89" s="39">
        <f>SUMIF('Exp Details'!$D$162:$D$164,'Function-Grant'!AA$4,'Exp Details'!$H$162:$H$164)</f>
        <v>0</v>
      </c>
      <c r="AB89" s="39">
        <f>SUMIF('Exp Details'!$D$162:$D$164,'Function-Grant'!AB$4,'Exp Details'!$H$162:$H$164)</f>
        <v>0</v>
      </c>
      <c r="AC89" s="39">
        <f>SUMIF('Exp Details'!$D$162:$D$164,'Function-Grant'!AC$4,'Exp Details'!$H$162:$H$164)</f>
        <v>0</v>
      </c>
      <c r="AD89" s="39">
        <f>SUMIF('Exp Details'!$D$162:$D$164,'Function-Grant'!AD$4,'Exp Details'!$H$162:$H$164)</f>
        <v>0</v>
      </c>
      <c r="AE89" s="39">
        <f>SUMIF('Exp Details'!$D$162:$D$164,'Function-Grant'!AE$4,'Exp Details'!$H$162:$H$164)</f>
        <v>0</v>
      </c>
      <c r="AF89" s="39">
        <f>SUMIF('Exp Details'!$D$162:$D$164,'Function-Grant'!AF$4,'Exp Details'!$H$162:$H$164)</f>
        <v>0</v>
      </c>
      <c r="AG89" s="39">
        <f>SUMIF('Exp Details'!$D$162:$D$164,'Function-Grant'!AG$4,'Exp Details'!$H$162:$H$164)</f>
        <v>0</v>
      </c>
      <c r="AH89" s="39">
        <f>SUMIF('Exp Details'!$D$162:$D$164,'Function-Grant'!AH$4,'Exp Details'!$H$162:$H$164)</f>
        <v>0</v>
      </c>
      <c r="AI89" s="39">
        <f>SUMIF('Exp Details'!$D$162:$D$164,'Function-Grant'!AI$4,'Exp Details'!$H$162:$H$164)</f>
        <v>0</v>
      </c>
      <c r="AJ89" s="39">
        <f>SUMIF('Exp Details'!$D$162:$D$164,'Function-Grant'!AJ$4,'Exp Details'!$H$162:$H$164)</f>
        <v>0</v>
      </c>
      <c r="AK89" s="39">
        <f>SUMIF('Exp Details'!$D$162:$D$164,'Function-Grant'!AK$4,'Exp Details'!$H$162:$H$164)</f>
        <v>0</v>
      </c>
      <c r="AL89" s="39">
        <f>SUMIF('Exp Details'!$D$162:$D$164,'Function-Grant'!AL$4,'Exp Details'!$H$162:$H$164)</f>
        <v>0</v>
      </c>
      <c r="AM89" s="41"/>
      <c r="AN89" s="59">
        <f t="shared" si="28"/>
        <v>0</v>
      </c>
      <c r="AO89" s="41"/>
      <c r="AP89" s="259">
        <f>AN89-'FY21'!S89</f>
        <v>0</v>
      </c>
    </row>
    <row r="90" spans="3:42" s="37" customFormat="1" ht="12" x14ac:dyDescent="0.2">
      <c r="C90" s="199">
        <v>6550</v>
      </c>
      <c r="D90" s="37" t="s">
        <v>31</v>
      </c>
      <c r="E90" s="39">
        <f>SUMIF('Exp Details'!$D$168:$D$170,'Function-Grant'!E$4,'Exp Details'!$H$168:$H$170)</f>
        <v>0</v>
      </c>
      <c r="F90" s="39">
        <f>SUMIF('Exp Details'!$D$168:$D$170,'Function-Grant'!F$4,'Exp Details'!$H$168:$H$170)</f>
        <v>0</v>
      </c>
      <c r="G90" s="39">
        <f>SUMIF('Exp Details'!$D$168:$D$170,'Function-Grant'!G$4,'Exp Details'!$H$168:$H$170)</f>
        <v>0</v>
      </c>
      <c r="H90" s="39">
        <f>SUMIF('Exp Details'!$D$168:$D$170,'Function-Grant'!H$4,'Exp Details'!$H$168:$H$170)</f>
        <v>0</v>
      </c>
      <c r="I90" s="39">
        <f>SUMIF('Exp Details'!$D$168:$D$170,'Function-Grant'!I$4,'Exp Details'!$H$168:$H$170)</f>
        <v>0</v>
      </c>
      <c r="J90" s="39">
        <f>SUMIF('Exp Details'!$D$168:$D$170,'Function-Grant'!J$4,'Exp Details'!$H$168:$H$170)</f>
        <v>0</v>
      </c>
      <c r="K90" s="39">
        <f>SUMIF('Exp Details'!$D$168:$D$170,'Function-Grant'!K$4,'Exp Details'!$H$168:$H$170)</f>
        <v>0</v>
      </c>
      <c r="L90" s="39">
        <f>SUMIF('Exp Details'!$D$168:$D$170,'Function-Grant'!L$4,'Exp Details'!$H$168:$H$170)</f>
        <v>0</v>
      </c>
      <c r="M90" s="39">
        <f>SUMIF('Exp Details'!$D$168:$D$170,'Function-Grant'!M$4,'Exp Details'!$H$168:$H$170)</f>
        <v>0</v>
      </c>
      <c r="N90" s="39">
        <f>SUMIF('Exp Details'!$D$168:$D$170,'Function-Grant'!N$4,'Exp Details'!$H$168:$H$170)</f>
        <v>0</v>
      </c>
      <c r="O90" s="39">
        <f>SUMIF('Exp Details'!$D$168:$D$170,'Function-Grant'!O$4,'Exp Details'!$H$168:$H$170)</f>
        <v>0</v>
      </c>
      <c r="P90" s="39">
        <f>SUMIF('Exp Details'!$D$168:$D$170,'Function-Grant'!P$4,'Exp Details'!$H$168:$H$170)</f>
        <v>0</v>
      </c>
      <c r="Q90" s="39">
        <f>SUMIF('Exp Details'!$D$168:$D$170,'Function-Grant'!Q$4,'Exp Details'!$H$168:$H$170)</f>
        <v>0</v>
      </c>
      <c r="R90" s="39">
        <f>SUMIF('Exp Details'!$D$168:$D$170,'Function-Grant'!R$4,'Exp Details'!$H$168:$H$170)</f>
        <v>0</v>
      </c>
      <c r="S90" s="39">
        <f>SUMIF('Exp Details'!$D$168:$D$170,'Function-Grant'!S$4,'Exp Details'!$H$168:$H$170)</f>
        <v>0</v>
      </c>
      <c r="T90" s="39">
        <f>SUMIF('Exp Details'!$D$168:$D$170,'Function-Grant'!T$4,'Exp Details'!$H$168:$H$170)</f>
        <v>0</v>
      </c>
      <c r="U90" s="39">
        <f>SUMIF('Exp Details'!$D$168:$D$170,'Function-Grant'!U$4,'Exp Details'!$H$168:$H$170)</f>
        <v>0</v>
      </c>
      <c r="V90" s="39">
        <f>SUMIF('Exp Details'!$D$168:$D$170,'Function-Grant'!V$4,'Exp Details'!$H$168:$H$170)</f>
        <v>0</v>
      </c>
      <c r="W90" s="39">
        <f>SUMIF('Exp Details'!$D$168:$D$170,'Function-Grant'!W$4,'Exp Details'!$H$168:$H$170)</f>
        <v>0</v>
      </c>
      <c r="X90" s="39">
        <f>SUMIF('Exp Details'!$D$168:$D$170,'Function-Grant'!X$4,'Exp Details'!$H$168:$H$170)</f>
        <v>0</v>
      </c>
      <c r="Y90" s="39">
        <f>SUMIF('Exp Details'!$D$168:$D$170,'Function-Grant'!Y$4,'Exp Details'!$H$168:$H$170)</f>
        <v>0</v>
      </c>
      <c r="Z90" s="39">
        <f>SUMIF('Exp Details'!$D$168:$D$170,'Function-Grant'!Z$4,'Exp Details'!$H$168:$H$170)</f>
        <v>0</v>
      </c>
      <c r="AA90" s="39">
        <f>SUMIF('Exp Details'!$D$168:$D$170,'Function-Grant'!AA$4,'Exp Details'!$H$168:$H$170)</f>
        <v>0</v>
      </c>
      <c r="AB90" s="39">
        <f>SUMIF('Exp Details'!$D$168:$D$170,'Function-Grant'!AB$4,'Exp Details'!$H$168:$H$170)</f>
        <v>0</v>
      </c>
      <c r="AC90" s="39">
        <f>SUMIF('Exp Details'!$D$168:$D$170,'Function-Grant'!AC$4,'Exp Details'!$H$168:$H$170)</f>
        <v>0</v>
      </c>
      <c r="AD90" s="39">
        <f>SUMIF('Exp Details'!$D$168:$D$170,'Function-Grant'!AD$4,'Exp Details'!$H$168:$H$170)</f>
        <v>0</v>
      </c>
      <c r="AE90" s="39">
        <f>SUMIF('Exp Details'!$D$168:$D$170,'Function-Grant'!AE$4,'Exp Details'!$H$168:$H$170)</f>
        <v>0</v>
      </c>
      <c r="AF90" s="39">
        <f>SUMIF('Exp Details'!$D$168:$D$170,'Function-Grant'!AF$4,'Exp Details'!$H$168:$H$170)</f>
        <v>0</v>
      </c>
      <c r="AG90" s="39">
        <f>SUMIF('Exp Details'!$D$168:$D$170,'Function-Grant'!AG$4,'Exp Details'!$H$168:$H$170)</f>
        <v>0</v>
      </c>
      <c r="AH90" s="39">
        <f>SUMIF('Exp Details'!$D$168:$D$170,'Function-Grant'!AH$4,'Exp Details'!$H$168:$H$170)</f>
        <v>0</v>
      </c>
      <c r="AI90" s="39">
        <f>SUMIF('Exp Details'!$D$168:$D$170,'Function-Grant'!AI$4,'Exp Details'!$H$168:$H$170)</f>
        <v>0</v>
      </c>
      <c r="AJ90" s="39">
        <f>SUMIF('Exp Details'!$D$168:$D$170,'Function-Grant'!AJ$4,'Exp Details'!$H$168:$H$170)</f>
        <v>0</v>
      </c>
      <c r="AK90" s="39">
        <f>SUMIF('Exp Details'!$D$168:$D$170,'Function-Grant'!AK$4,'Exp Details'!$H$168:$H$170)</f>
        <v>0</v>
      </c>
      <c r="AL90" s="39">
        <f>SUMIF('Exp Details'!$D$168:$D$170,'Function-Grant'!AL$4,'Exp Details'!$H$168:$H$170)</f>
        <v>0</v>
      </c>
      <c r="AM90" s="41"/>
      <c r="AN90" s="59">
        <f t="shared" si="28"/>
        <v>0</v>
      </c>
      <c r="AO90" s="41"/>
      <c r="AP90" s="259">
        <f>AN90-'FY21'!S90</f>
        <v>0</v>
      </c>
    </row>
    <row r="91" spans="3:42" s="37" customFormat="1" ht="12" x14ac:dyDescent="0.2">
      <c r="C91" s="206">
        <v>6568</v>
      </c>
      <c r="D91" s="37" t="s">
        <v>187</v>
      </c>
      <c r="E91" s="39">
        <f>SUMIF('Exp Details'!$D$174:$D$178,'Function-Grant'!E$4,'Exp Details'!$H$174:$H$178)</f>
        <v>0</v>
      </c>
      <c r="F91" s="39">
        <f>SUMIF('Exp Details'!$D$174:$D$178,'Function-Grant'!F$4,'Exp Details'!$H$174:$H$178)</f>
        <v>0</v>
      </c>
      <c r="G91" s="39">
        <f>SUMIF('Exp Details'!$D$174:$D$178,'Function-Grant'!G$4,'Exp Details'!$H$174:$H$178)</f>
        <v>0</v>
      </c>
      <c r="H91" s="39">
        <f>SUMIF('Exp Details'!$D$174:$D$178,'Function-Grant'!H$4,'Exp Details'!$H$174:$H$178)</f>
        <v>0</v>
      </c>
      <c r="I91" s="39">
        <f>SUMIF('Exp Details'!$D$174:$D$178,'Function-Grant'!I$4,'Exp Details'!$H$174:$H$178)</f>
        <v>0</v>
      </c>
      <c r="J91" s="39">
        <f>SUMIF('Exp Details'!$D$174:$D$178,'Function-Grant'!J$4,'Exp Details'!$H$174:$H$178)</f>
        <v>0</v>
      </c>
      <c r="K91" s="39">
        <f>SUMIF('Exp Details'!$D$174:$D$178,'Function-Grant'!K$4,'Exp Details'!$H$174:$H$178)</f>
        <v>0</v>
      </c>
      <c r="L91" s="39">
        <f>SUMIF('Exp Details'!$D$174:$D$178,'Function-Grant'!L$4,'Exp Details'!$H$174:$H$178)</f>
        <v>0</v>
      </c>
      <c r="M91" s="39">
        <f>SUMIF('Exp Details'!$D$174:$D$178,'Function-Grant'!M$4,'Exp Details'!$H$174:$H$178)</f>
        <v>0</v>
      </c>
      <c r="N91" s="39">
        <f>SUMIF('Exp Details'!$D$174:$D$178,'Function-Grant'!N$4,'Exp Details'!$H$174:$H$178)</f>
        <v>0</v>
      </c>
      <c r="O91" s="39">
        <f>SUMIF('Exp Details'!$D$174:$D$178,'Function-Grant'!O$4,'Exp Details'!$H$174:$H$178)</f>
        <v>0</v>
      </c>
      <c r="P91" s="39">
        <f>SUMIF('Exp Details'!$D$174:$D$178,'Function-Grant'!P$4,'Exp Details'!$H$174:$H$178)</f>
        <v>0</v>
      </c>
      <c r="Q91" s="39">
        <f>SUMIF('Exp Details'!$D$174:$D$178,'Function-Grant'!Q$4,'Exp Details'!$H$174:$H$178)</f>
        <v>0</v>
      </c>
      <c r="R91" s="39">
        <f>SUMIF('Exp Details'!$D$174:$D$178,'Function-Grant'!R$4,'Exp Details'!$H$174:$H$178)</f>
        <v>0</v>
      </c>
      <c r="S91" s="39">
        <f>SUMIF('Exp Details'!$D$174:$D$178,'Function-Grant'!S$4,'Exp Details'!$H$174:$H$178)</f>
        <v>0</v>
      </c>
      <c r="T91" s="39">
        <f>SUMIF('Exp Details'!$D$174:$D$178,'Function-Grant'!T$4,'Exp Details'!$H$174:$H$178)</f>
        <v>0</v>
      </c>
      <c r="U91" s="39">
        <f>SUMIF('Exp Details'!$D$174:$D$178,'Function-Grant'!U$4,'Exp Details'!$H$174:$H$178)</f>
        <v>0</v>
      </c>
      <c r="V91" s="39">
        <f>SUMIF('Exp Details'!$D$174:$D$178,'Function-Grant'!V$4,'Exp Details'!$H$174:$H$178)</f>
        <v>0</v>
      </c>
      <c r="W91" s="39">
        <f>SUMIF('Exp Details'!$D$174:$D$178,'Function-Grant'!W$4,'Exp Details'!$H$174:$H$178)</f>
        <v>0</v>
      </c>
      <c r="X91" s="39">
        <f>SUMIF('Exp Details'!$D$174:$D$178,'Function-Grant'!X$4,'Exp Details'!$H$174:$H$178)</f>
        <v>0</v>
      </c>
      <c r="Y91" s="39">
        <f>SUMIF('Exp Details'!$D$174:$D$178,'Function-Grant'!Y$4,'Exp Details'!$H$174:$H$178)</f>
        <v>0</v>
      </c>
      <c r="Z91" s="39">
        <f>SUMIF('Exp Details'!$D$174:$D$178,'Function-Grant'!Z$4,'Exp Details'!$H$174:$H$178)</f>
        <v>0</v>
      </c>
      <c r="AA91" s="39">
        <f>SUMIF('Exp Details'!$D$174:$D$178,'Function-Grant'!AA$4,'Exp Details'!$H$174:$H$178)</f>
        <v>0</v>
      </c>
      <c r="AB91" s="39">
        <f>SUMIF('Exp Details'!$D$174:$D$178,'Function-Grant'!AB$4,'Exp Details'!$H$174:$H$178)</f>
        <v>0</v>
      </c>
      <c r="AC91" s="39">
        <f>SUMIF('Exp Details'!$D$174:$D$178,'Function-Grant'!AC$4,'Exp Details'!$H$174:$H$178)</f>
        <v>0</v>
      </c>
      <c r="AD91" s="39">
        <f>SUMIF('Exp Details'!$D$174:$D$178,'Function-Grant'!AD$4,'Exp Details'!$H$174:$H$178)</f>
        <v>0</v>
      </c>
      <c r="AE91" s="39">
        <f>SUMIF('Exp Details'!$D$174:$D$178,'Function-Grant'!AE$4,'Exp Details'!$H$174:$H$178)</f>
        <v>0</v>
      </c>
      <c r="AF91" s="39">
        <f>SUMIF('Exp Details'!$D$174:$D$178,'Function-Grant'!AF$4,'Exp Details'!$H$174:$H$178)</f>
        <v>0</v>
      </c>
      <c r="AG91" s="39">
        <f>SUMIF('Exp Details'!$D$174:$D$178,'Function-Grant'!AG$4,'Exp Details'!$H$174:$H$178)</f>
        <v>0</v>
      </c>
      <c r="AH91" s="39">
        <f>SUMIF('Exp Details'!$D$174:$D$178,'Function-Grant'!AH$4,'Exp Details'!$H$174:$H$178)</f>
        <v>0</v>
      </c>
      <c r="AI91" s="39">
        <f>SUMIF('Exp Details'!$D$174:$D$178,'Function-Grant'!AI$4,'Exp Details'!$H$174:$H$178)</f>
        <v>0</v>
      </c>
      <c r="AJ91" s="39">
        <f>SUMIF('Exp Details'!$D$174:$D$178,'Function-Grant'!AJ$4,'Exp Details'!$H$174:$H$178)</f>
        <v>0</v>
      </c>
      <c r="AK91" s="39">
        <f>SUMIF('Exp Details'!$D$174:$D$178,'Function-Grant'!AK$4,'Exp Details'!$H$174:$H$178)</f>
        <v>0</v>
      </c>
      <c r="AL91" s="39">
        <f>SUMIF('Exp Details'!$D$174:$D$178,'Function-Grant'!AL$4,'Exp Details'!$H$174:$H$178)</f>
        <v>0</v>
      </c>
      <c r="AM91" s="41"/>
      <c r="AN91" s="59">
        <f t="shared" si="28"/>
        <v>0</v>
      </c>
      <c r="AO91" s="41"/>
      <c r="AP91" s="259">
        <f>AN91-'FY21'!S91</f>
        <v>0</v>
      </c>
    </row>
    <row r="92" spans="3:42" s="37" customFormat="1" ht="12" x14ac:dyDescent="0.2">
      <c r="C92" s="199">
        <v>6569</v>
      </c>
      <c r="D92" s="37" t="s">
        <v>32</v>
      </c>
      <c r="E92" s="39">
        <f>SUMIF('Exp Details'!$D$189:$D$189,'Function-Grant'!E$4,'Exp Details'!$H$189:$H$189)</f>
        <v>0</v>
      </c>
      <c r="F92" s="370">
        <f>SUMIF('Exp Details'!$D$182:$D$189,'Function-Grant'!F$4,'Exp Details'!$H$182:$H$189)</f>
        <v>147550</v>
      </c>
      <c r="G92" s="39">
        <f>SUMIF('Exp Details'!$D$189:$D$189,'Function-Grant'!G$4,'Exp Details'!$H$189:$H$189)</f>
        <v>0</v>
      </c>
      <c r="H92" s="39">
        <f>SUMIF('Exp Details'!$D$189:$D$189,'Function-Grant'!H$4,'Exp Details'!$H$189:$H$189)</f>
        <v>0</v>
      </c>
      <c r="I92" s="39">
        <f>SUMIF('Exp Details'!$D$189:$D$189,'Function-Grant'!I$4,'Exp Details'!$H$189:$H$189)</f>
        <v>0</v>
      </c>
      <c r="J92" s="39">
        <f>SUMIF('Exp Details'!$D$189:$D$189,'Function-Grant'!J$4,'Exp Details'!$H$189:$H$189)</f>
        <v>0</v>
      </c>
      <c r="K92" s="39">
        <f>SUMIF('Exp Details'!$D$189:$D$189,'Function-Grant'!K$4,'Exp Details'!$H$189:$H$189)</f>
        <v>0</v>
      </c>
      <c r="L92" s="39">
        <f>SUMIF('Exp Details'!$D$189:$D$189,'Function-Grant'!L$4,'Exp Details'!$H$189:$H$189)</f>
        <v>0</v>
      </c>
      <c r="M92" s="39">
        <f>SUMIF('Exp Details'!$D$189:$D$189,'Function-Grant'!M$4,'Exp Details'!$H$189:$H$189)</f>
        <v>0</v>
      </c>
      <c r="N92" s="39">
        <f>SUMIF('Exp Details'!$D$189:$D$189,'Function-Grant'!N$4,'Exp Details'!$H$189:$H$189)</f>
        <v>0</v>
      </c>
      <c r="O92" s="39">
        <f>SUMIF('Exp Details'!$D$189:$D$189,'Function-Grant'!O$4,'Exp Details'!$H$189:$H$189)</f>
        <v>0</v>
      </c>
      <c r="P92" s="39">
        <f>SUMIF('Exp Details'!$D$189:$D$189,'Function-Grant'!P$4,'Exp Details'!$H$189:$H$189)</f>
        <v>0</v>
      </c>
      <c r="Q92" s="39">
        <f>SUMIF('Exp Details'!$D$189:$D$189,'Function-Grant'!Q$4,'Exp Details'!$H$189:$H$189)</f>
        <v>0</v>
      </c>
      <c r="R92" s="39">
        <f>SUMIF('Exp Details'!$D$189:$D$189,'Function-Grant'!R$4,'Exp Details'!$H$189:$H$189)</f>
        <v>0</v>
      </c>
      <c r="S92" s="39">
        <f>SUMIF('Exp Details'!$D$189:$D$189,'Function-Grant'!S$4,'Exp Details'!$H$189:$H$189)</f>
        <v>0</v>
      </c>
      <c r="T92" s="39">
        <f>SUMIF('Exp Details'!$D$189:$D$189,'Function-Grant'!T$4,'Exp Details'!$H$189:$H$189)</f>
        <v>0</v>
      </c>
      <c r="U92" s="39">
        <f>SUMIF('Exp Details'!$D$189:$D$189,'Function-Grant'!U$4,'Exp Details'!$H$189:$H$189)</f>
        <v>0</v>
      </c>
      <c r="V92" s="39">
        <f>SUMIF('Exp Details'!$D$189:$D$189,'Function-Grant'!V$4,'Exp Details'!$H$189:$H$189)</f>
        <v>0</v>
      </c>
      <c r="W92" s="39">
        <f>SUMIF('Exp Details'!$D$189:$D$189,'Function-Grant'!W$4,'Exp Details'!$H$189:$H$189)</f>
        <v>0</v>
      </c>
      <c r="X92" s="39">
        <f>SUMIF('Exp Details'!$D$189:$D$189,'Function-Grant'!X$4,'Exp Details'!$H$189:$H$189)</f>
        <v>0</v>
      </c>
      <c r="Y92" s="39">
        <f>SUMIF('Exp Details'!$D$189:$D$189,'Function-Grant'!Y$4,'Exp Details'!$H$189:$H$189)</f>
        <v>0</v>
      </c>
      <c r="Z92" s="39">
        <f>SUMIF('Exp Details'!$D$189:$D$189,'Function-Grant'!Z$4,'Exp Details'!$H$189:$H$189)</f>
        <v>0</v>
      </c>
      <c r="AA92" s="39">
        <f>SUMIF('Exp Details'!$D$189:$D$189,'Function-Grant'!AA$4,'Exp Details'!$H$189:$H$189)</f>
        <v>0</v>
      </c>
      <c r="AB92" s="370">
        <f>SUMIF('Exp Details'!$D$182:$D$189,'Function-Grant'!AB$4,'Exp Details'!$H$182:$H$189)</f>
        <v>43350</v>
      </c>
      <c r="AC92" s="39">
        <f>SUMIF('Exp Details'!$D$189:$D$189,'Function-Grant'!AC$4,'Exp Details'!$H$189:$H$189)</f>
        <v>0</v>
      </c>
      <c r="AD92" s="39">
        <f>SUMIF('Exp Details'!$D$189:$D$189,'Function-Grant'!AD$4,'Exp Details'!$H$189:$H$189)</f>
        <v>0</v>
      </c>
      <c r="AE92" s="39">
        <f>SUMIF('Exp Details'!$D$189:$D$189,'Function-Grant'!AE$4,'Exp Details'!$H$189:$H$189)</f>
        <v>0</v>
      </c>
      <c r="AF92" s="39">
        <f>SUMIF('Exp Details'!$D$189:$D$189,'Function-Grant'!AF$4,'Exp Details'!$H$189:$H$189)</f>
        <v>0</v>
      </c>
      <c r="AG92" s="39">
        <f>SUMIF('Exp Details'!$D$189:$D$189,'Function-Grant'!AG$4,'Exp Details'!$H$189:$H$189)</f>
        <v>0</v>
      </c>
      <c r="AH92" s="39">
        <f>SUMIF('Exp Details'!$D$189:$D$189,'Function-Grant'!AH$4,'Exp Details'!$H$189:$H$189)</f>
        <v>0</v>
      </c>
      <c r="AI92" s="39">
        <f>SUMIF('Exp Details'!$D$189:$D$189,'Function-Grant'!AI$4,'Exp Details'!$H$189:$H$189)</f>
        <v>0</v>
      </c>
      <c r="AJ92" s="39">
        <f>SUMIF('Exp Details'!$D$189:$D$189,'Function-Grant'!AJ$4,'Exp Details'!$H$189:$H$189)</f>
        <v>0</v>
      </c>
      <c r="AK92" s="39">
        <f>SUMIF('Exp Details'!$D$189:$D$189,'Function-Grant'!AK$4,'Exp Details'!$H$189:$H$189)</f>
        <v>0</v>
      </c>
      <c r="AL92" s="39">
        <f>SUMIF('Exp Details'!$D$189:$D$189,'Function-Grant'!AL$4,'Exp Details'!$H$189:$H$189)</f>
        <v>0</v>
      </c>
      <c r="AM92" s="41"/>
      <c r="AN92" s="59">
        <f t="shared" si="28"/>
        <v>190900</v>
      </c>
      <c r="AO92" s="41"/>
      <c r="AP92" s="259">
        <f>AN92-'FY21'!S92</f>
        <v>0</v>
      </c>
    </row>
    <row r="93" spans="3:42" s="37" customFormat="1" ht="12" x14ac:dyDescent="0.2">
      <c r="C93" s="199">
        <v>6580</v>
      </c>
      <c r="D93" s="37" t="s">
        <v>33</v>
      </c>
      <c r="E93" s="39">
        <f>SUMIF('Exp Details'!$D$193:$D$197,'Function-Grant'!E$4,'Exp Details'!$H$193:$H$197)</f>
        <v>0</v>
      </c>
      <c r="F93" s="39">
        <f>SUMIF('Exp Details'!$D$193:$D$197,'Function-Grant'!F$4,'Exp Details'!$H$193:$H$197)</f>
        <v>0</v>
      </c>
      <c r="G93" s="39">
        <f>SUMIF('Exp Details'!$D$193:$D$197,'Function-Grant'!G$4,'Exp Details'!$H$193:$H$197)</f>
        <v>0</v>
      </c>
      <c r="H93" s="39">
        <f>SUMIF('Exp Details'!$D$193:$D$197,'Function-Grant'!H$4,'Exp Details'!$H$193:$H$197)</f>
        <v>0</v>
      </c>
      <c r="I93" s="39">
        <f>SUMIF('Exp Details'!$D$193:$D$197,'Function-Grant'!I$4,'Exp Details'!$H$193:$H$197)</f>
        <v>0</v>
      </c>
      <c r="J93" s="39">
        <f>SUMIF('Exp Details'!$D$193:$D$197,'Function-Grant'!J$4,'Exp Details'!$H$193:$H$197)</f>
        <v>0</v>
      </c>
      <c r="K93" s="39">
        <f>SUMIF('Exp Details'!$D$193:$D$197,'Function-Grant'!K$4,'Exp Details'!$H$193:$H$197)</f>
        <v>0</v>
      </c>
      <c r="L93" s="39">
        <f>SUMIF('Exp Details'!$D$193:$D$197,'Function-Grant'!L$4,'Exp Details'!$H$193:$H$197)</f>
        <v>0</v>
      </c>
      <c r="M93" s="39">
        <f>SUMIF('Exp Details'!$D$193:$D$197,'Function-Grant'!M$4,'Exp Details'!$H$193:$H$197)</f>
        <v>0</v>
      </c>
      <c r="N93" s="39">
        <f>SUMIF('Exp Details'!$D$193:$D$197,'Function-Grant'!N$4,'Exp Details'!$H$193:$H$197)</f>
        <v>0</v>
      </c>
      <c r="O93" s="39">
        <f>SUMIF('Exp Details'!$D$193:$D$197,'Function-Grant'!O$4,'Exp Details'!$H$193:$H$197)</f>
        <v>0</v>
      </c>
      <c r="P93" s="39">
        <f>SUMIF('Exp Details'!$D$193:$D$197,'Function-Grant'!P$4,'Exp Details'!$H$193:$H$197)</f>
        <v>0</v>
      </c>
      <c r="Q93" s="39">
        <f>SUMIF('Exp Details'!$D$193:$D$197,'Function-Grant'!Q$4,'Exp Details'!$H$193:$H$197)</f>
        <v>0</v>
      </c>
      <c r="R93" s="39">
        <f>SUMIF('Exp Details'!$D$193:$D$197,'Function-Grant'!R$4,'Exp Details'!$H$193:$H$197)</f>
        <v>0</v>
      </c>
      <c r="S93" s="39">
        <f>SUMIF('Exp Details'!$D$193:$D$197,'Function-Grant'!S$4,'Exp Details'!$H$193:$H$197)</f>
        <v>0</v>
      </c>
      <c r="T93" s="39">
        <f>SUMIF('Exp Details'!$D$193:$D$197,'Function-Grant'!T$4,'Exp Details'!$H$193:$H$197)</f>
        <v>0</v>
      </c>
      <c r="U93" s="39">
        <f>SUMIF('Exp Details'!$D$193:$D$197,'Function-Grant'!U$4,'Exp Details'!$H$193:$H$197)</f>
        <v>0</v>
      </c>
      <c r="V93" s="39">
        <f>SUMIF('Exp Details'!$D$193:$D$197,'Function-Grant'!V$4,'Exp Details'!$H$193:$H$197)</f>
        <v>0</v>
      </c>
      <c r="W93" s="39">
        <f>SUMIF('Exp Details'!$D$193:$D$197,'Function-Grant'!W$4,'Exp Details'!$H$193:$H$197)</f>
        <v>0</v>
      </c>
      <c r="X93" s="39">
        <f>SUMIF('Exp Details'!$D$193:$D$197,'Function-Grant'!X$4,'Exp Details'!$H$193:$H$197)</f>
        <v>0</v>
      </c>
      <c r="Y93" s="39">
        <f>SUMIF('Exp Details'!$D$193:$D$197,'Function-Grant'!Y$4,'Exp Details'!$H$193:$H$197)</f>
        <v>0</v>
      </c>
      <c r="Z93" s="39">
        <f>SUMIF('Exp Details'!$D$193:$D$197,'Function-Grant'!Z$4,'Exp Details'!$H$193:$H$197)</f>
        <v>0</v>
      </c>
      <c r="AA93" s="39">
        <f>SUMIF('Exp Details'!$D$193:$D$197,'Function-Grant'!AA$4,'Exp Details'!$H$193:$H$197)</f>
        <v>0</v>
      </c>
      <c r="AB93" s="39">
        <f>SUMIF('Exp Details'!$D$193:$D$197,'Function-Grant'!AB$4,'Exp Details'!$H$193:$H$197)</f>
        <v>0</v>
      </c>
      <c r="AC93" s="39">
        <f>SUMIF('Exp Details'!$D$193:$D$197,'Function-Grant'!AC$4,'Exp Details'!$H$193:$H$197)</f>
        <v>0</v>
      </c>
      <c r="AD93" s="39">
        <f>SUMIF('Exp Details'!$D$193:$D$197,'Function-Grant'!AD$4,'Exp Details'!$H$193:$H$197)</f>
        <v>0</v>
      </c>
      <c r="AE93" s="39">
        <f>SUMIF('Exp Details'!$D$193:$D$197,'Function-Grant'!AE$4,'Exp Details'!$H$193:$H$197)</f>
        <v>0</v>
      </c>
      <c r="AF93" s="39">
        <f>SUMIF('Exp Details'!$D$193:$D$197,'Function-Grant'!AF$4,'Exp Details'!$H$193:$H$197)</f>
        <v>0</v>
      </c>
      <c r="AG93" s="39">
        <f>SUMIF('Exp Details'!$D$193:$D$197,'Function-Grant'!AG$4,'Exp Details'!$H$193:$H$197)</f>
        <v>0</v>
      </c>
      <c r="AH93" s="39">
        <f>SUMIF('Exp Details'!$D$193:$D$197,'Function-Grant'!AH$4,'Exp Details'!$H$193:$H$197)</f>
        <v>0</v>
      </c>
      <c r="AI93" s="39">
        <f>SUMIF('Exp Details'!$D$193:$D$197,'Function-Grant'!AI$4,'Exp Details'!$H$193:$H$197)</f>
        <v>0</v>
      </c>
      <c r="AJ93" s="39">
        <f>SUMIF('Exp Details'!$D$193:$D$197,'Function-Grant'!AJ$4,'Exp Details'!$H$193:$H$197)</f>
        <v>0</v>
      </c>
      <c r="AK93" s="39">
        <f>SUMIF('Exp Details'!$D$193:$D$197,'Function-Grant'!AK$4,'Exp Details'!$H$193:$H$197)</f>
        <v>0</v>
      </c>
      <c r="AL93" s="39">
        <f>SUMIF('Exp Details'!$D$193:$D$197,'Function-Grant'!AL$4,'Exp Details'!$H$193:$H$197)</f>
        <v>0</v>
      </c>
      <c r="AM93" s="41"/>
      <c r="AN93" s="59">
        <f t="shared" si="28"/>
        <v>0</v>
      </c>
      <c r="AO93" s="41"/>
      <c r="AP93" s="259">
        <f>AN93-'FY21'!S93</f>
        <v>0</v>
      </c>
    </row>
    <row r="94" spans="3:42" s="37" customFormat="1" ht="12" x14ac:dyDescent="0.2">
      <c r="C94" s="38"/>
      <c r="E94" s="50">
        <f t="shared" ref="E94:AL94" si="29">SUBTOTAL(9,E82:E93)</f>
        <v>0</v>
      </c>
      <c r="F94" s="50">
        <f>SUBTOTAL(9,F82:F93)</f>
        <v>147550</v>
      </c>
      <c r="G94" s="50">
        <f>SUBTOTAL(9,G82:G93)</f>
        <v>0</v>
      </c>
      <c r="H94" s="50">
        <f t="shared" si="29"/>
        <v>0</v>
      </c>
      <c r="I94" s="50">
        <f t="shared" si="29"/>
        <v>0</v>
      </c>
      <c r="J94" s="50">
        <f t="shared" si="29"/>
        <v>0</v>
      </c>
      <c r="K94" s="50">
        <f t="shared" si="29"/>
        <v>0</v>
      </c>
      <c r="L94" s="50">
        <f t="shared" si="29"/>
        <v>0</v>
      </c>
      <c r="M94" s="50">
        <f t="shared" si="29"/>
        <v>0</v>
      </c>
      <c r="N94" s="50">
        <f t="shared" si="29"/>
        <v>0</v>
      </c>
      <c r="O94" s="50">
        <f t="shared" si="29"/>
        <v>3624</v>
      </c>
      <c r="P94" s="50">
        <f t="shared" ref="P94" si="30">SUBTOTAL(9,P82:P93)</f>
        <v>0</v>
      </c>
      <c r="Q94" s="50">
        <f t="shared" si="29"/>
        <v>0</v>
      </c>
      <c r="R94" s="50">
        <f t="shared" ref="R94:AG94" si="31">SUBTOTAL(9,R82:R93)</f>
        <v>0</v>
      </c>
      <c r="S94" s="50">
        <f t="shared" si="31"/>
        <v>0</v>
      </c>
      <c r="T94" s="50">
        <f t="shared" si="31"/>
        <v>0</v>
      </c>
      <c r="U94" s="50">
        <f t="shared" si="31"/>
        <v>0</v>
      </c>
      <c r="V94" s="50">
        <f t="shared" si="31"/>
        <v>0</v>
      </c>
      <c r="W94" s="50">
        <f t="shared" si="31"/>
        <v>0</v>
      </c>
      <c r="X94" s="50">
        <f t="shared" si="31"/>
        <v>0</v>
      </c>
      <c r="Y94" s="50">
        <f t="shared" si="31"/>
        <v>0</v>
      </c>
      <c r="Z94" s="50">
        <f t="shared" si="31"/>
        <v>0</v>
      </c>
      <c r="AA94" s="50">
        <f t="shared" si="31"/>
        <v>0</v>
      </c>
      <c r="AB94" s="50">
        <f t="shared" si="31"/>
        <v>43350</v>
      </c>
      <c r="AC94" s="50">
        <f t="shared" si="31"/>
        <v>0</v>
      </c>
      <c r="AD94" s="50">
        <f t="shared" si="31"/>
        <v>0</v>
      </c>
      <c r="AE94" s="50">
        <f t="shared" si="31"/>
        <v>0</v>
      </c>
      <c r="AF94" s="50">
        <f t="shared" si="31"/>
        <v>0</v>
      </c>
      <c r="AG94" s="50">
        <f t="shared" si="31"/>
        <v>0</v>
      </c>
      <c r="AH94" s="50">
        <f t="shared" si="29"/>
        <v>0</v>
      </c>
      <c r="AI94" s="50">
        <f t="shared" si="29"/>
        <v>0</v>
      </c>
      <c r="AJ94" s="50">
        <f t="shared" si="29"/>
        <v>0</v>
      </c>
      <c r="AK94" s="50">
        <f t="shared" si="29"/>
        <v>0</v>
      </c>
      <c r="AL94" s="50">
        <f t="shared" si="29"/>
        <v>0</v>
      </c>
      <c r="AM94" s="41"/>
      <c r="AN94" s="61">
        <f t="shared" ref="AN94" si="32">SUBTOTAL(9,AN82:AN93)</f>
        <v>194524</v>
      </c>
      <c r="AO94" s="41"/>
      <c r="AP94" s="259">
        <f>AN94-'FY21'!S94</f>
        <v>0</v>
      </c>
    </row>
    <row r="95" spans="3:42" s="37" customFormat="1" ht="12" x14ac:dyDescent="0.2">
      <c r="C95" s="49" t="s">
        <v>102</v>
      </c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41"/>
      <c r="AN95" s="59"/>
      <c r="AO95" s="41"/>
      <c r="AP95" s="259">
        <f>AN95-'FY21'!S95</f>
        <v>0</v>
      </c>
    </row>
    <row r="96" spans="3:42" s="37" customFormat="1" ht="12" x14ac:dyDescent="0.2">
      <c r="C96" s="199">
        <v>6610</v>
      </c>
      <c r="D96" s="37" t="s">
        <v>34</v>
      </c>
      <c r="E96" s="39">
        <f>SUMIF('Exp Details'!$D$202:$D$208,'Function-Grant'!E$4,'Exp Details'!$H$202:$H$208)</f>
        <v>0</v>
      </c>
      <c r="F96" s="370">
        <f>SUMIF('Exp Details'!$D$202:$D$208,'Function-Grant'!F$4,'Exp Details'!$H$202:$H$208)</f>
        <v>300</v>
      </c>
      <c r="G96" s="39">
        <f>SUMIF('Exp Details'!$D$202:$D$208,'Function-Grant'!G$4,'Exp Details'!$H$202:$H$208)</f>
        <v>0</v>
      </c>
      <c r="H96" s="39">
        <f>SUMIF('Exp Details'!$D$202:$D$208,'Function-Grant'!H$4,'Exp Details'!$H$202:$H$208)</f>
        <v>0</v>
      </c>
      <c r="I96" s="39">
        <f>SUMIF('Exp Details'!$D$202:$D$208,'Function-Grant'!I$4,'Exp Details'!$H$202:$H$208)</f>
        <v>0</v>
      </c>
      <c r="J96" s="39">
        <f>SUMIF('Exp Details'!$D$202:$D$208,'Function-Grant'!J$4,'Exp Details'!$H$202:$H$208)</f>
        <v>0</v>
      </c>
      <c r="K96" s="39">
        <f>SUMIF('Exp Details'!$D$202:$D$208,'Function-Grant'!K$4,'Exp Details'!$H$202:$H$208)</f>
        <v>0</v>
      </c>
      <c r="L96" s="39">
        <f>SUMIF('Exp Details'!$D$202:$D$208,'Function-Grant'!L$4,'Exp Details'!$H$202:$H$208)</f>
        <v>0</v>
      </c>
      <c r="M96" s="39">
        <f>SUMIF('Exp Details'!$D$202:$D$208,'Function-Grant'!M$4,'Exp Details'!$H$202:$H$208)</f>
        <v>0</v>
      </c>
      <c r="N96" s="370">
        <f>SUMIF('Exp Details'!$D$202:$D$208,'Function-Grant'!N$4,'Exp Details'!$H$202:$H$208)</f>
        <v>300</v>
      </c>
      <c r="O96" s="370">
        <f>SUMIF('Exp Details'!$D$202:$D$208,'Function-Grant'!O$4,'Exp Details'!$H$202:$H$208)</f>
        <v>1500</v>
      </c>
      <c r="P96" s="39">
        <f>SUMIF('Exp Details'!$D$202:$D$208,'Function-Grant'!P$4,'Exp Details'!$H$202:$H$208)</f>
        <v>0</v>
      </c>
      <c r="Q96" s="39">
        <f>SUMIF('Exp Details'!$D$202:$D$208,'Function-Grant'!Q$4,'Exp Details'!$H$202:$H$208)</f>
        <v>0</v>
      </c>
      <c r="R96" s="39">
        <f>SUMIF('Exp Details'!$D$202:$D$208,'Function-Grant'!R$4,'Exp Details'!$H$202:$H$208)</f>
        <v>0</v>
      </c>
      <c r="S96" s="39">
        <f>SUMIF('Exp Details'!$D$202:$D$208,'Function-Grant'!S$4,'Exp Details'!$H$202:$H$208)</f>
        <v>0</v>
      </c>
      <c r="T96" s="39">
        <f>SUMIF('Exp Details'!$D$202:$D$208,'Function-Grant'!T$4,'Exp Details'!$H$202:$H$208)</f>
        <v>0</v>
      </c>
      <c r="U96" s="39">
        <f>SUMIF('Exp Details'!$D$202:$D$208,'Function-Grant'!U$4,'Exp Details'!$H$202:$H$208)</f>
        <v>0</v>
      </c>
      <c r="V96" s="39">
        <f>SUMIF('Exp Details'!$D$202:$D$208,'Function-Grant'!V$4,'Exp Details'!$H$202:$H$208)</f>
        <v>0</v>
      </c>
      <c r="W96" s="39">
        <f>SUMIF('Exp Details'!$D$202:$D$208,'Function-Grant'!W$4,'Exp Details'!$H$202:$H$208)</f>
        <v>0</v>
      </c>
      <c r="X96" s="39">
        <f>SUMIF('Exp Details'!$D$202:$D$208,'Function-Grant'!X$4,'Exp Details'!$H$202:$H$208)</f>
        <v>0</v>
      </c>
      <c r="Y96" s="39">
        <f>SUMIF('Exp Details'!$D$202:$D$208,'Function-Grant'!Y$4,'Exp Details'!$H$202:$H$208)</f>
        <v>0</v>
      </c>
      <c r="Z96" s="39">
        <f>SUMIF('Exp Details'!$D$202:$D$208,'Function-Grant'!Z$4,'Exp Details'!$H$202:$H$208)</f>
        <v>192</v>
      </c>
      <c r="AA96" s="39">
        <f>SUMIF('Exp Details'!$D$202:$D$208,'Function-Grant'!AA$4,'Exp Details'!$H$202:$H$208)</f>
        <v>0</v>
      </c>
      <c r="AB96" s="39">
        <f>SUMIF('Exp Details'!$D$202:$D$208,'Function-Grant'!AB$4,'Exp Details'!$H$202:$H$208)</f>
        <v>0</v>
      </c>
      <c r="AC96" s="39">
        <f>SUMIF('Exp Details'!$D$202:$D$208,'Function-Grant'!AC$4,'Exp Details'!$H$202:$H$208)</f>
        <v>0</v>
      </c>
      <c r="AD96" s="39">
        <f>SUMIF('Exp Details'!$D$202:$D$208,'Function-Grant'!AD$4,'Exp Details'!$H$202:$H$208)</f>
        <v>0</v>
      </c>
      <c r="AE96" s="39">
        <f>SUMIF('Exp Details'!$D$202:$D$208,'Function-Grant'!AE$4,'Exp Details'!$H$202:$H$208)</f>
        <v>0</v>
      </c>
      <c r="AF96" s="39">
        <f>SUMIF('Exp Details'!$D$202:$D$208,'Function-Grant'!AF$4,'Exp Details'!$H$202:$H$208)</f>
        <v>0</v>
      </c>
      <c r="AG96" s="39">
        <f>SUMIF('Exp Details'!$D$202:$D$208,'Function-Grant'!AG$4,'Exp Details'!$H$202:$H$208)</f>
        <v>0</v>
      </c>
      <c r="AH96" s="39">
        <f>SUMIF('Exp Details'!$D$202:$D$208,'Function-Grant'!AH$4,'Exp Details'!$H$202:$H$208)</f>
        <v>0</v>
      </c>
      <c r="AI96" s="39">
        <f>SUMIF('Exp Details'!$D$202:$D$208,'Function-Grant'!AI$4,'Exp Details'!$H$202:$H$208)</f>
        <v>0</v>
      </c>
      <c r="AJ96" s="39">
        <f>SUMIF('Exp Details'!$D$202:$D$208,'Function-Grant'!AJ$4,'Exp Details'!$H$202:$H$208)</f>
        <v>0</v>
      </c>
      <c r="AK96" s="39">
        <f>SUMIF('Exp Details'!$D$202:$D$208,'Function-Grant'!AK$4,'Exp Details'!$H$202:$H$208)</f>
        <v>0</v>
      </c>
      <c r="AL96" s="39">
        <f>SUMIF('Exp Details'!$D$202:$D$208,'Function-Grant'!AL$4,'Exp Details'!$H$202:$H$208)</f>
        <v>0</v>
      </c>
      <c r="AM96" s="41"/>
      <c r="AN96" s="59">
        <f t="shared" ref="AN96:AN102" si="33">SUM(E96:AM96)</f>
        <v>2292</v>
      </c>
      <c r="AO96" s="41"/>
      <c r="AP96" s="259">
        <f>AN96-'FY21'!S96</f>
        <v>0</v>
      </c>
    </row>
    <row r="97" spans="3:42" s="37" customFormat="1" ht="12" x14ac:dyDescent="0.2">
      <c r="C97" s="199">
        <v>6612</v>
      </c>
      <c r="D97" s="37" t="s">
        <v>35</v>
      </c>
      <c r="E97" s="39">
        <f>SUMIF('Exp Details'!$D$212:$D$217,'Function-Grant'!E$4,'Exp Details'!$H$212:$H$217)</f>
        <v>0</v>
      </c>
      <c r="F97" s="39">
        <f>SUMIF('Exp Details'!$D$212:$D$217,'Function-Grant'!F$4,'Exp Details'!$H$212:$H$217)</f>
        <v>0</v>
      </c>
      <c r="G97" s="39">
        <f>SUMIF('Exp Details'!$D$212:$D$217,'Function-Grant'!G$4,'Exp Details'!$H$212:$H$217)</f>
        <v>0</v>
      </c>
      <c r="H97" s="39">
        <f>SUMIF('Exp Details'!$D$212:$D$217,'Function-Grant'!H$4,'Exp Details'!$H$212:$H$217)</f>
        <v>0</v>
      </c>
      <c r="I97" s="39">
        <f>SUMIF('Exp Details'!$D$212:$D$217,'Function-Grant'!I$4,'Exp Details'!$H$212:$H$217)</f>
        <v>0</v>
      </c>
      <c r="J97" s="39">
        <f>SUMIF('Exp Details'!$D$212:$D$217,'Function-Grant'!J$4,'Exp Details'!$H$212:$H$217)</f>
        <v>0</v>
      </c>
      <c r="K97" s="39">
        <f>SUMIF('Exp Details'!$D$212:$D$217,'Function-Grant'!K$4,'Exp Details'!$H$212:$H$217)</f>
        <v>0</v>
      </c>
      <c r="L97" s="39">
        <f>SUMIF('Exp Details'!$D$212:$D$217,'Function-Grant'!L$4,'Exp Details'!$H$212:$H$217)</f>
        <v>0</v>
      </c>
      <c r="M97" s="39">
        <f>SUMIF('Exp Details'!$D$212:$D$217,'Function-Grant'!M$4,'Exp Details'!$H$212:$H$217)</f>
        <v>0</v>
      </c>
      <c r="N97" s="39">
        <f>SUMIF('Exp Details'!$D$212:$D$217,'Function-Grant'!N$4,'Exp Details'!$H$212:$H$217)</f>
        <v>0</v>
      </c>
      <c r="O97" s="39">
        <f>SUMIF('Exp Details'!$D$212:$D$217,'Function-Grant'!O$4,'Exp Details'!$H$212:$H$217)</f>
        <v>0</v>
      </c>
      <c r="P97" s="39">
        <f>SUMIF('Exp Details'!$D$212:$D$217,'Function-Grant'!P$4,'Exp Details'!$H$212:$H$217)</f>
        <v>0</v>
      </c>
      <c r="Q97" s="39">
        <f>SUMIF('Exp Details'!$D$212:$D$217,'Function-Grant'!Q$4,'Exp Details'!$H$212:$H$217)</f>
        <v>0</v>
      </c>
      <c r="R97" s="39">
        <f>SUMIF('Exp Details'!$D$212:$D$217,'Function-Grant'!R$4,'Exp Details'!$H$212:$H$217)</f>
        <v>0</v>
      </c>
      <c r="S97" s="39">
        <f>SUMIF('Exp Details'!$D$212:$D$217,'Function-Grant'!S$4,'Exp Details'!$H$212:$H$217)</f>
        <v>0</v>
      </c>
      <c r="T97" s="39">
        <f>SUMIF('Exp Details'!$D$212:$D$217,'Function-Grant'!T$4,'Exp Details'!$H$212:$H$217)</f>
        <v>0</v>
      </c>
      <c r="U97" s="39">
        <f>SUMIF('Exp Details'!$D$212:$D$217,'Function-Grant'!U$4,'Exp Details'!$H$212:$H$217)</f>
        <v>0</v>
      </c>
      <c r="V97" s="39">
        <f>SUMIF('Exp Details'!$D$212:$D$217,'Function-Grant'!V$4,'Exp Details'!$H$212:$H$217)</f>
        <v>0</v>
      </c>
      <c r="W97" s="39">
        <f>SUMIF('Exp Details'!$D$212:$D$217,'Function-Grant'!W$4,'Exp Details'!$H$212:$H$217)</f>
        <v>0</v>
      </c>
      <c r="X97" s="39">
        <f>SUMIF('Exp Details'!$D$212:$D$217,'Function-Grant'!X$4,'Exp Details'!$H$212:$H$217)</f>
        <v>0</v>
      </c>
      <c r="Y97" s="39">
        <f>SUMIF('Exp Details'!$D$212:$D$217,'Function-Grant'!Y$4,'Exp Details'!$H$212:$H$217)</f>
        <v>0</v>
      </c>
      <c r="Z97" s="39">
        <f>SUMIF('Exp Details'!$D$212:$D$217,'Function-Grant'!Z$4,'Exp Details'!$H$212:$H$217)</f>
        <v>0</v>
      </c>
      <c r="AA97" s="39">
        <f>SUMIF('Exp Details'!$D$212:$D$217,'Function-Grant'!AA$4,'Exp Details'!$H$212:$H$217)</f>
        <v>0</v>
      </c>
      <c r="AB97" s="39">
        <f>SUMIF('Exp Details'!$D$212:$D$217,'Function-Grant'!AB$4,'Exp Details'!$H$212:$H$217)</f>
        <v>0</v>
      </c>
      <c r="AC97" s="39">
        <f>SUMIF('Exp Details'!$D$212:$D$217,'Function-Grant'!AC$4,'Exp Details'!$H$212:$H$217)</f>
        <v>0</v>
      </c>
      <c r="AD97" s="39">
        <f>SUMIF('Exp Details'!$D$212:$D$217,'Function-Grant'!AD$4,'Exp Details'!$H$212:$H$217)</f>
        <v>0</v>
      </c>
      <c r="AE97" s="39">
        <f>SUMIF('Exp Details'!$D$212:$D$217,'Function-Grant'!AE$4,'Exp Details'!$H$212:$H$217)</f>
        <v>0</v>
      </c>
      <c r="AF97" s="39">
        <f>SUMIF('Exp Details'!$D$212:$D$217,'Function-Grant'!AF$4,'Exp Details'!$H$212:$H$217)</f>
        <v>0</v>
      </c>
      <c r="AG97" s="39">
        <f>SUMIF('Exp Details'!$D$212:$D$217,'Function-Grant'!AG$4,'Exp Details'!$H$212:$H$217)</f>
        <v>0</v>
      </c>
      <c r="AH97" s="39">
        <f>SUMIF('Exp Details'!$D$212:$D$217,'Function-Grant'!AH$4,'Exp Details'!$H$212:$H$217)</f>
        <v>0</v>
      </c>
      <c r="AI97" s="39">
        <f>SUMIF('Exp Details'!$D$212:$D$217,'Function-Grant'!AI$4,'Exp Details'!$H$212:$H$217)</f>
        <v>0</v>
      </c>
      <c r="AJ97" s="39">
        <f>SUMIF('Exp Details'!$D$212:$D$217,'Function-Grant'!AJ$4,'Exp Details'!$H$212:$H$217)</f>
        <v>0</v>
      </c>
      <c r="AK97" s="39">
        <f>SUMIF('Exp Details'!$D$212:$D$217,'Function-Grant'!AK$4,'Exp Details'!$H$212:$H$217)</f>
        <v>0</v>
      </c>
      <c r="AL97" s="39">
        <f>SUMIF('Exp Details'!$D$212:$D$217,'Function-Grant'!AL$4,'Exp Details'!$H$212:$H$217)</f>
        <v>0</v>
      </c>
      <c r="AM97" s="41"/>
      <c r="AN97" s="59">
        <f t="shared" si="33"/>
        <v>0</v>
      </c>
      <c r="AO97" s="41"/>
      <c r="AP97" s="259">
        <f>AN97-'FY21'!S97</f>
        <v>0</v>
      </c>
    </row>
    <row r="98" spans="3:42" s="37" customFormat="1" ht="12" x14ac:dyDescent="0.2">
      <c r="C98" s="199">
        <v>6622</v>
      </c>
      <c r="D98" s="37" t="s">
        <v>36</v>
      </c>
      <c r="E98" s="39">
        <f>SUMIF('Exp Details'!$D$221:$D$223,'Function-Grant'!E$4,'Exp Details'!$H$221:$H$223)</f>
        <v>0</v>
      </c>
      <c r="F98" s="39">
        <f>SUMIF('Exp Details'!$D$221:$D$223,'Function-Grant'!F$4,'Exp Details'!$H$221:$H$223)</f>
        <v>0</v>
      </c>
      <c r="G98" s="39">
        <f>SUMIF('Exp Details'!$D$221:$D$223,'Function-Grant'!G$4,'Exp Details'!$H$221:$H$223)</f>
        <v>0</v>
      </c>
      <c r="H98" s="39">
        <f>SUMIF('Exp Details'!$D$221:$D$223,'Function-Grant'!H$4,'Exp Details'!$H$221:$H$223)</f>
        <v>0</v>
      </c>
      <c r="I98" s="39">
        <f>SUMIF('Exp Details'!$D$221:$D$223,'Function-Grant'!I$4,'Exp Details'!$H$221:$H$223)</f>
        <v>0</v>
      </c>
      <c r="J98" s="39">
        <f>SUMIF('Exp Details'!$D$221:$D$223,'Function-Grant'!J$4,'Exp Details'!$H$221:$H$223)</f>
        <v>0</v>
      </c>
      <c r="K98" s="39">
        <f>SUMIF('Exp Details'!$D$221:$D$223,'Function-Grant'!K$4,'Exp Details'!$H$221:$H$223)</f>
        <v>0</v>
      </c>
      <c r="L98" s="39">
        <f>SUMIF('Exp Details'!$D$221:$D$223,'Function-Grant'!L$4,'Exp Details'!$H$221:$H$223)</f>
        <v>0</v>
      </c>
      <c r="M98" s="39">
        <f>SUMIF('Exp Details'!$D$221:$D$223,'Function-Grant'!M$4,'Exp Details'!$H$221:$H$223)</f>
        <v>0</v>
      </c>
      <c r="N98" s="39">
        <f>SUMIF('Exp Details'!$D$221:$D$223,'Function-Grant'!N$4,'Exp Details'!$H$221:$H$223)</f>
        <v>0</v>
      </c>
      <c r="O98" s="39">
        <f>SUMIF('Exp Details'!$D$221:$D$223,'Function-Grant'!O$4,'Exp Details'!$H$221:$H$223)</f>
        <v>0</v>
      </c>
      <c r="P98" s="39">
        <f>SUMIF('Exp Details'!$D$221:$D$223,'Function-Grant'!P$4,'Exp Details'!$H$221:$H$223)</f>
        <v>0</v>
      </c>
      <c r="Q98" s="39">
        <f>SUMIF('Exp Details'!$D$221:$D$223,'Function-Grant'!Q$4,'Exp Details'!$H$221:$H$223)</f>
        <v>0</v>
      </c>
      <c r="R98" s="39">
        <f>SUMIF('Exp Details'!$D$221:$D$223,'Function-Grant'!R$4,'Exp Details'!$H$221:$H$223)</f>
        <v>0</v>
      </c>
      <c r="S98" s="39">
        <f>SUMIF('Exp Details'!$D$221:$D$223,'Function-Grant'!S$4,'Exp Details'!$H$221:$H$223)</f>
        <v>0</v>
      </c>
      <c r="T98" s="39">
        <f>SUMIF('Exp Details'!$D$221:$D$223,'Function-Grant'!T$4,'Exp Details'!$H$221:$H$223)</f>
        <v>0</v>
      </c>
      <c r="U98" s="370">
        <f>SUMIF('Exp Details'!$D$221:$D$223,'Function-Grant'!U$4,'Exp Details'!$H$221:$H$223)</f>
        <v>1200</v>
      </c>
      <c r="V98" s="39">
        <f>SUMIF('Exp Details'!$D$221:$D$223,'Function-Grant'!V$4,'Exp Details'!$H$221:$H$223)</f>
        <v>0</v>
      </c>
      <c r="W98" s="39">
        <f>SUMIF('Exp Details'!$D$221:$D$223,'Function-Grant'!W$4,'Exp Details'!$H$221:$H$223)</f>
        <v>0</v>
      </c>
      <c r="X98" s="39">
        <f>SUMIF('Exp Details'!$D$221:$D$223,'Function-Grant'!X$4,'Exp Details'!$H$221:$H$223)</f>
        <v>0</v>
      </c>
      <c r="Y98" s="39">
        <f>SUMIF('Exp Details'!$D$221:$D$223,'Function-Grant'!Y$4,'Exp Details'!$H$221:$H$223)</f>
        <v>0</v>
      </c>
      <c r="Z98" s="39">
        <f>SUMIF('Exp Details'!$D$221:$D$223,'Function-Grant'!Z$4,'Exp Details'!$H$221:$H$223)</f>
        <v>0</v>
      </c>
      <c r="AA98" s="39">
        <f>SUMIF('Exp Details'!$D$221:$D$223,'Function-Grant'!AA$4,'Exp Details'!$H$221:$H$223)</f>
        <v>0</v>
      </c>
      <c r="AB98" s="39">
        <f>SUMIF('Exp Details'!$D$221:$D$223,'Function-Grant'!AB$4,'Exp Details'!$H$221:$H$223)</f>
        <v>0</v>
      </c>
      <c r="AC98" s="39">
        <f>SUMIF('Exp Details'!$D$221:$D$223,'Function-Grant'!AC$4,'Exp Details'!$H$221:$H$223)</f>
        <v>0</v>
      </c>
      <c r="AD98" s="39">
        <f>SUMIF('Exp Details'!$D$221:$D$223,'Function-Grant'!AD$4,'Exp Details'!$H$221:$H$223)</f>
        <v>0</v>
      </c>
      <c r="AE98" s="39">
        <f>SUMIF('Exp Details'!$D$221:$D$223,'Function-Grant'!AE$4,'Exp Details'!$H$221:$H$223)</f>
        <v>0</v>
      </c>
      <c r="AF98" s="39">
        <f>SUMIF('Exp Details'!$D$221:$D$223,'Function-Grant'!AF$4,'Exp Details'!$H$221:$H$223)</f>
        <v>0</v>
      </c>
      <c r="AG98" s="39">
        <f>SUMIF('Exp Details'!$D$221:$D$223,'Function-Grant'!AG$4,'Exp Details'!$H$221:$H$223)</f>
        <v>0</v>
      </c>
      <c r="AH98" s="39">
        <f>SUMIF('Exp Details'!$D$221:$D$223,'Function-Grant'!AH$4,'Exp Details'!$H$221:$H$223)</f>
        <v>0</v>
      </c>
      <c r="AI98" s="39">
        <f>SUMIF('Exp Details'!$D$221:$D$223,'Function-Grant'!AI$4,'Exp Details'!$H$221:$H$223)</f>
        <v>0</v>
      </c>
      <c r="AJ98" s="39">
        <f>SUMIF('Exp Details'!$D$221:$D$223,'Function-Grant'!AJ$4,'Exp Details'!$H$221:$H$223)</f>
        <v>0</v>
      </c>
      <c r="AK98" s="39">
        <f>SUMIF('Exp Details'!$D$221:$D$223,'Function-Grant'!AK$4,'Exp Details'!$H$221:$H$223)</f>
        <v>0</v>
      </c>
      <c r="AL98" s="39">
        <f>SUMIF('Exp Details'!$D$221:$D$223,'Function-Grant'!AL$4,'Exp Details'!$H$221:$H$223)</f>
        <v>0</v>
      </c>
      <c r="AM98" s="41"/>
      <c r="AN98" s="59">
        <f t="shared" si="33"/>
        <v>1200</v>
      </c>
      <c r="AO98" s="41"/>
      <c r="AP98" s="259">
        <f>AN98-'FY21'!S98</f>
        <v>0</v>
      </c>
    </row>
    <row r="99" spans="3:42" s="37" customFormat="1" ht="12" x14ac:dyDescent="0.2">
      <c r="C99" s="199">
        <v>6641</v>
      </c>
      <c r="D99" s="37" t="s">
        <v>37</v>
      </c>
      <c r="E99" s="39">
        <f>SUMIF('Exp Details'!$D$236:$D$236,'Function-Grant'!E$4,'Exp Details'!$H$236:$H$236)</f>
        <v>0</v>
      </c>
      <c r="F99" s="370">
        <f>SUMIF('Exp Details'!$D$227:$D$236,'Function-Grant'!F$4,'Exp Details'!$H$227:$H$236)</f>
        <v>13465</v>
      </c>
      <c r="G99" s="39">
        <f>SUMIF('Exp Details'!$D$236:$D$236,'Function-Grant'!G$4,'Exp Details'!$H$236:$H$236)</f>
        <v>0</v>
      </c>
      <c r="H99" s="39">
        <f>SUMIF('Exp Details'!$D$236:$D$236,'Function-Grant'!H$4,'Exp Details'!$H$236:$H$236)</f>
        <v>0</v>
      </c>
      <c r="I99" s="39">
        <f>SUMIF('Exp Details'!$D$236:$D$236,'Function-Grant'!I$4,'Exp Details'!$H$236:$H$236)</f>
        <v>0</v>
      </c>
      <c r="J99" s="39">
        <f>SUMIF('Exp Details'!$D$236:$D$236,'Function-Grant'!J$4,'Exp Details'!$H$236:$H$236)</f>
        <v>0</v>
      </c>
      <c r="K99" s="39">
        <f>SUMIF('Exp Details'!$D$236:$D$236,'Function-Grant'!K$4,'Exp Details'!$H$236:$H$236)</f>
        <v>0</v>
      </c>
      <c r="L99" s="39">
        <f>SUMIF('Exp Details'!$D$236:$D$236,'Function-Grant'!L$4,'Exp Details'!$H$236:$H$236)</f>
        <v>0</v>
      </c>
      <c r="M99" s="39">
        <f>SUMIF('Exp Details'!$D$236:$D$236,'Function-Grant'!M$4,'Exp Details'!$H$236:$H$236)</f>
        <v>0</v>
      </c>
      <c r="N99" s="39">
        <f>SUMIF('Exp Details'!$D$236:$D$236,'Function-Grant'!N$4,'Exp Details'!$H$236:$H$236)</f>
        <v>0</v>
      </c>
      <c r="O99" s="39">
        <f>SUMIF('Exp Details'!$D$236:$D$236,'Function-Grant'!O$4,'Exp Details'!$H$236:$H$236)</f>
        <v>0</v>
      </c>
      <c r="P99" s="39">
        <f>SUMIF('Exp Details'!$D$236:$D$236,'Function-Grant'!P$4,'Exp Details'!$H$236:$H$236)</f>
        <v>0</v>
      </c>
      <c r="Q99" s="39">
        <f>SUMIF('Exp Details'!$D$236:$D$236,'Function-Grant'!Q$4,'Exp Details'!$H$236:$H$236)</f>
        <v>0</v>
      </c>
      <c r="R99" s="39">
        <f>SUMIF('Exp Details'!$D$236:$D$236,'Function-Grant'!R$4,'Exp Details'!$H$236:$H$236)</f>
        <v>0</v>
      </c>
      <c r="S99" s="39">
        <f>SUMIF('Exp Details'!$D$236:$D$236,'Function-Grant'!S$4,'Exp Details'!$H$236:$H$236)</f>
        <v>0</v>
      </c>
      <c r="T99" s="39">
        <f>SUMIF('Exp Details'!$D$236:$D$236,'Function-Grant'!T$4,'Exp Details'!$H$236:$H$236)</f>
        <v>0</v>
      </c>
      <c r="U99" s="39">
        <f>SUMIF('Exp Details'!$D$236:$D$236,'Function-Grant'!U$4,'Exp Details'!$H$236:$H$236)</f>
        <v>0</v>
      </c>
      <c r="V99" s="39">
        <f>SUMIF('Exp Details'!$D$236:$D$236,'Function-Grant'!V$4,'Exp Details'!$H$236:$H$236)</f>
        <v>0</v>
      </c>
      <c r="W99" s="39">
        <f>SUMIF('Exp Details'!$D$236:$D$236,'Function-Grant'!W$4,'Exp Details'!$H$236:$H$236)</f>
        <v>0</v>
      </c>
      <c r="X99" s="39">
        <f>SUMIF('Exp Details'!$D$236:$D$236,'Function-Grant'!X$4,'Exp Details'!$H$236:$H$236)</f>
        <v>0</v>
      </c>
      <c r="Y99" s="39">
        <f>SUMIF('Exp Details'!$D$236:$D$236,'Function-Grant'!Y$4,'Exp Details'!$H$236:$H$236)</f>
        <v>0</v>
      </c>
      <c r="Z99" s="39">
        <f>SUMIF('Exp Details'!$D$236:$D$236,'Function-Grant'!Z$4,'Exp Details'!$H$236:$H$236)</f>
        <v>0</v>
      </c>
      <c r="AA99" s="39">
        <f>SUMIF('Exp Details'!$D$236:$D$236,'Function-Grant'!AA$4,'Exp Details'!$H$236:$H$236)</f>
        <v>0</v>
      </c>
      <c r="AB99" s="370">
        <f>SUMIF('Exp Details'!$D$227:$D$236,'Function-Grant'!AB$4,'Exp Details'!$H$227:$H$236)</f>
        <v>3655</v>
      </c>
      <c r="AC99" s="39">
        <f>SUMIF('Exp Details'!$D$236:$D$236,'Function-Grant'!AC$4,'Exp Details'!$H$236:$H$236)</f>
        <v>0</v>
      </c>
      <c r="AD99" s="39">
        <f>SUMIF('Exp Details'!$D$236:$D$236,'Function-Grant'!AD$4,'Exp Details'!$H$236:$H$236)</f>
        <v>0</v>
      </c>
      <c r="AE99" s="39">
        <f>SUMIF('Exp Details'!$D$236:$D$236,'Function-Grant'!AE$4,'Exp Details'!$H$236:$H$236)</f>
        <v>0</v>
      </c>
      <c r="AF99" s="39">
        <f>SUMIF('Exp Details'!$D$236:$D$236,'Function-Grant'!AF$4,'Exp Details'!$H$236:$H$236)</f>
        <v>0</v>
      </c>
      <c r="AG99" s="39">
        <f>SUMIF('Exp Details'!$D$236:$D$236,'Function-Grant'!AG$4,'Exp Details'!$H$236:$H$236)</f>
        <v>0</v>
      </c>
      <c r="AH99" s="39">
        <f>SUMIF('Exp Details'!$D$236:$D$236,'Function-Grant'!AH$4,'Exp Details'!$H$236:$H$236)</f>
        <v>0</v>
      </c>
      <c r="AI99" s="39">
        <f>SUMIF('Exp Details'!$D$236:$D$236,'Function-Grant'!AI$4,'Exp Details'!$H$236:$H$236)</f>
        <v>0</v>
      </c>
      <c r="AJ99" s="39">
        <f>SUMIF('Exp Details'!$D$236:$D$236,'Function-Grant'!AJ$4,'Exp Details'!$H$236:$H$236)</f>
        <v>0</v>
      </c>
      <c r="AK99" s="39">
        <f>SUMIF('Exp Details'!$D$236:$D$236,'Function-Grant'!AK$4,'Exp Details'!$H$236:$H$236)</f>
        <v>0</v>
      </c>
      <c r="AL99" s="39">
        <f>SUMIF('Exp Details'!$D$236:$D$236,'Function-Grant'!AL$4,'Exp Details'!$H$236:$H$236)</f>
        <v>0</v>
      </c>
      <c r="AM99" s="41"/>
      <c r="AN99" s="59">
        <f t="shared" si="33"/>
        <v>17120</v>
      </c>
      <c r="AO99" s="41"/>
      <c r="AP99" s="259">
        <f>AN99-'FY21'!S99</f>
        <v>0</v>
      </c>
    </row>
    <row r="100" spans="3:42" s="37" customFormat="1" ht="12" x14ac:dyDescent="0.2">
      <c r="C100" s="199">
        <v>6642</v>
      </c>
      <c r="D100" s="37" t="s">
        <v>38</v>
      </c>
      <c r="E100" s="39">
        <f>SUMIF('Exp Details'!$D$240:$D$245,'Function-Grant'!E$4,'Exp Details'!$H$240:$H$245)</f>
        <v>0</v>
      </c>
      <c r="F100" s="370">
        <f>SUMIF('Exp Details'!$D$240:$D$245,'Function-Grant'!F$4,'Exp Details'!$H$240:$H$245)</f>
        <v>16685</v>
      </c>
      <c r="G100" s="39">
        <f>SUMIF('Exp Details'!$D$240:$D$245,'Function-Grant'!G$4,'Exp Details'!$H$240:$H$245)</f>
        <v>0</v>
      </c>
      <c r="H100" s="39">
        <f>SUMIF('Exp Details'!$D$240:$D$245,'Function-Grant'!H$4,'Exp Details'!$H$240:$H$245)</f>
        <v>0</v>
      </c>
      <c r="I100" s="39">
        <f>SUMIF('Exp Details'!$D$240:$D$245,'Function-Grant'!I$4,'Exp Details'!$H$240:$H$245)</f>
        <v>0</v>
      </c>
      <c r="J100" s="39">
        <f>SUMIF('Exp Details'!$D$240:$D$245,'Function-Grant'!J$4,'Exp Details'!$H$240:$H$245)</f>
        <v>0</v>
      </c>
      <c r="K100" s="39">
        <f>SUMIF('Exp Details'!$D$240:$D$245,'Function-Grant'!K$4,'Exp Details'!$H$240:$H$245)</f>
        <v>0</v>
      </c>
      <c r="L100" s="39">
        <f>SUMIF('Exp Details'!$D$240:$D$245,'Function-Grant'!L$4,'Exp Details'!$H$240:$H$245)</f>
        <v>0</v>
      </c>
      <c r="M100" s="39">
        <f>SUMIF('Exp Details'!$D$240:$D$245,'Function-Grant'!M$4,'Exp Details'!$H$240:$H$245)</f>
        <v>0</v>
      </c>
      <c r="N100" s="39">
        <f>SUMIF('Exp Details'!$D$240:$D$245,'Function-Grant'!N$4,'Exp Details'!$H$240:$H$245)</f>
        <v>0</v>
      </c>
      <c r="O100" s="39">
        <f>SUMIF('Exp Details'!$D$240:$D$245,'Function-Grant'!O$4,'Exp Details'!$H$240:$H$245)</f>
        <v>0</v>
      </c>
      <c r="P100" s="39">
        <f>SUMIF('Exp Details'!$D$240:$D$245,'Function-Grant'!P$4,'Exp Details'!$H$240:$H$245)</f>
        <v>0</v>
      </c>
      <c r="Q100" s="39">
        <f>SUMIF('Exp Details'!$D$240:$D$245,'Function-Grant'!Q$4,'Exp Details'!$H$240:$H$245)</f>
        <v>0</v>
      </c>
      <c r="R100" s="39">
        <f>SUMIF('Exp Details'!$D$240:$D$245,'Function-Grant'!R$4,'Exp Details'!$H$240:$H$245)</f>
        <v>0</v>
      </c>
      <c r="S100" s="39">
        <f>SUMIF('Exp Details'!$D$240:$D$245,'Function-Grant'!S$4,'Exp Details'!$H$240:$H$245)</f>
        <v>0</v>
      </c>
      <c r="T100" s="39">
        <f>SUMIF('Exp Details'!$D$240:$D$245,'Function-Grant'!T$4,'Exp Details'!$H$240:$H$245)</f>
        <v>0</v>
      </c>
      <c r="U100" s="39">
        <f>SUMIF('Exp Details'!$D$240:$D$245,'Function-Grant'!U$4,'Exp Details'!$H$240:$H$245)</f>
        <v>0</v>
      </c>
      <c r="V100" s="39">
        <f>SUMIF('Exp Details'!$D$240:$D$245,'Function-Grant'!V$4,'Exp Details'!$H$240:$H$245)</f>
        <v>0</v>
      </c>
      <c r="W100" s="39">
        <f>SUMIF('Exp Details'!$D$240:$D$245,'Function-Grant'!W$4,'Exp Details'!$H$240:$H$245)</f>
        <v>0</v>
      </c>
      <c r="X100" s="39">
        <f>SUMIF('Exp Details'!$D$240:$D$245,'Function-Grant'!X$4,'Exp Details'!$H$240:$H$245)</f>
        <v>0</v>
      </c>
      <c r="Y100" s="39">
        <f>SUMIF('Exp Details'!$D$240:$D$245,'Function-Grant'!Y$4,'Exp Details'!$H$240:$H$245)</f>
        <v>0</v>
      </c>
      <c r="Z100" s="39">
        <f>SUMIF('Exp Details'!$D$240:$D$245,'Function-Grant'!Z$4,'Exp Details'!$H$240:$H$245)</f>
        <v>0</v>
      </c>
      <c r="AA100" s="39">
        <f>SUMIF('Exp Details'!$D$240:$D$245,'Function-Grant'!AA$4,'Exp Details'!$H$240:$H$245)</f>
        <v>0</v>
      </c>
      <c r="AB100" s="370">
        <f>SUMIF('Exp Details'!$D$240:$D$245,'Function-Grant'!AB$4,'Exp Details'!$H$240:$H$245)</f>
        <v>3995</v>
      </c>
      <c r="AC100" s="39">
        <f>SUMIF('Exp Details'!$D$240:$D$245,'Function-Grant'!AC$4,'Exp Details'!$H$240:$H$245)</f>
        <v>0</v>
      </c>
      <c r="AD100" s="39">
        <f>SUMIF('Exp Details'!$D$240:$D$245,'Function-Grant'!AD$4,'Exp Details'!$H$240:$H$245)</f>
        <v>0</v>
      </c>
      <c r="AE100" s="39">
        <f>SUMIF('Exp Details'!$D$240:$D$245,'Function-Grant'!AE$4,'Exp Details'!$H$240:$H$245)</f>
        <v>0</v>
      </c>
      <c r="AF100" s="39">
        <f>SUMIF('Exp Details'!$D$240:$D$245,'Function-Grant'!AF$4,'Exp Details'!$H$240:$H$245)</f>
        <v>0</v>
      </c>
      <c r="AG100" s="39">
        <f>SUMIF('Exp Details'!$D$240:$D$245,'Function-Grant'!AG$4,'Exp Details'!$H$240:$H$245)</f>
        <v>0</v>
      </c>
      <c r="AH100" s="39">
        <f>SUMIF('Exp Details'!$D$240:$D$245,'Function-Grant'!AH$4,'Exp Details'!$H$240:$H$245)</f>
        <v>0</v>
      </c>
      <c r="AI100" s="39">
        <f>SUMIF('Exp Details'!$D$240:$D$245,'Function-Grant'!AI$4,'Exp Details'!$H$240:$H$245)</f>
        <v>0</v>
      </c>
      <c r="AJ100" s="39">
        <f>SUMIF('Exp Details'!$D$240:$D$245,'Function-Grant'!AJ$4,'Exp Details'!$H$240:$H$245)</f>
        <v>0</v>
      </c>
      <c r="AK100" s="39">
        <f>SUMIF('Exp Details'!$D$240:$D$245,'Function-Grant'!AK$4,'Exp Details'!$H$240:$H$245)</f>
        <v>0</v>
      </c>
      <c r="AL100" s="39">
        <f>SUMIF('Exp Details'!$D$240:$D$245,'Function-Grant'!AL$4,'Exp Details'!$H$240:$H$245)</f>
        <v>0</v>
      </c>
      <c r="AM100" s="41"/>
      <c r="AN100" s="59">
        <f t="shared" si="33"/>
        <v>20680</v>
      </c>
      <c r="AO100" s="41"/>
      <c r="AP100" s="259">
        <f>AN100-'FY21'!S100</f>
        <v>0</v>
      </c>
    </row>
    <row r="101" spans="3:42" s="37" customFormat="1" ht="12" x14ac:dyDescent="0.2">
      <c r="C101" s="199">
        <v>6651</v>
      </c>
      <c r="D101" s="37" t="s">
        <v>39</v>
      </c>
      <c r="E101" s="39">
        <f>SUMIF('Exp Details'!$D$249:$D$254,'Function-Grant'!E$4,'Exp Details'!$H$249:$H$254)</f>
        <v>0</v>
      </c>
      <c r="F101" s="39">
        <f>SUMIF('Exp Details'!$D$249:$D$254,'Function-Grant'!F$4,'Exp Details'!$H$249:$H$254)</f>
        <v>0</v>
      </c>
      <c r="G101" s="39">
        <f>SUMIF('Exp Details'!$D$249:$D$254,'Function-Grant'!G$4,'Exp Details'!$H$249:$H$254)</f>
        <v>0</v>
      </c>
      <c r="H101" s="39">
        <f>SUMIF('Exp Details'!$D$249:$D$254,'Function-Grant'!H$4,'Exp Details'!$H$249:$H$254)</f>
        <v>0</v>
      </c>
      <c r="I101" s="39">
        <f>SUMIF('Exp Details'!$D$249:$D$254,'Function-Grant'!I$4,'Exp Details'!$H$249:$H$254)</f>
        <v>0</v>
      </c>
      <c r="J101" s="39">
        <f>SUMIF('Exp Details'!$D$249:$D$254,'Function-Grant'!J$4,'Exp Details'!$H$249:$H$254)</f>
        <v>0</v>
      </c>
      <c r="K101" s="39">
        <f>SUMIF('Exp Details'!$D$249:$D$254,'Function-Grant'!K$4,'Exp Details'!$H$249:$H$254)</f>
        <v>0</v>
      </c>
      <c r="L101" s="39">
        <f>SUMIF('Exp Details'!$D$249:$D$254,'Function-Grant'!L$4,'Exp Details'!$H$249:$H$254)</f>
        <v>0</v>
      </c>
      <c r="M101" s="39">
        <f>SUMIF('Exp Details'!$D$249:$D$254,'Function-Grant'!M$4,'Exp Details'!$H$249:$H$254)</f>
        <v>0</v>
      </c>
      <c r="N101" s="39">
        <f>SUMIF('Exp Details'!$D$249:$D$254,'Function-Grant'!N$4,'Exp Details'!$H$249:$H$254)</f>
        <v>0</v>
      </c>
      <c r="O101" s="39">
        <f>SUMIF('Exp Details'!$D$249:$D$254,'Function-Grant'!O$4,'Exp Details'!$H$249:$H$254)</f>
        <v>0</v>
      </c>
      <c r="P101" s="39">
        <f>SUMIF('Exp Details'!$D$249:$D$254,'Function-Grant'!P$4,'Exp Details'!$H$249:$H$254)</f>
        <v>0</v>
      </c>
      <c r="Q101" s="39">
        <f>SUMIF('Exp Details'!$D$249:$D$254,'Function-Grant'!Q$4,'Exp Details'!$H$249:$H$254)</f>
        <v>0</v>
      </c>
      <c r="R101" s="39">
        <f>SUMIF('Exp Details'!$D$249:$D$254,'Function-Grant'!R$4,'Exp Details'!$H$249:$H$254)</f>
        <v>0</v>
      </c>
      <c r="S101" s="39">
        <f>SUMIF('Exp Details'!$D$249:$D$254,'Function-Grant'!S$4,'Exp Details'!$H$249:$H$254)</f>
        <v>0</v>
      </c>
      <c r="T101" s="39">
        <f>SUMIF('Exp Details'!$D$249:$D$254,'Function-Grant'!T$4,'Exp Details'!$H$249:$H$254)</f>
        <v>0</v>
      </c>
      <c r="U101" s="39">
        <f>SUMIF('Exp Details'!$D$249:$D$254,'Function-Grant'!U$4,'Exp Details'!$H$249:$H$254)</f>
        <v>0</v>
      </c>
      <c r="V101" s="39">
        <f>SUMIF('Exp Details'!$D$249:$D$254,'Function-Grant'!V$4,'Exp Details'!$H$249:$H$254)</f>
        <v>0</v>
      </c>
      <c r="W101" s="39">
        <f>SUMIF('Exp Details'!$D$249:$D$254,'Function-Grant'!W$4,'Exp Details'!$H$249:$H$254)</f>
        <v>0</v>
      </c>
      <c r="X101" s="39">
        <f>SUMIF('Exp Details'!$D$249:$D$254,'Function-Grant'!X$4,'Exp Details'!$H$249:$H$254)</f>
        <v>0</v>
      </c>
      <c r="Y101" s="39">
        <f>SUMIF('Exp Details'!$D$249:$D$254,'Function-Grant'!Y$4,'Exp Details'!$H$249:$H$254)</f>
        <v>0</v>
      </c>
      <c r="Z101" s="39">
        <f>SUMIF('Exp Details'!$D$249:$D$254,'Function-Grant'!Z$4,'Exp Details'!$H$249:$H$254)</f>
        <v>0</v>
      </c>
      <c r="AA101" s="39">
        <f>SUMIF('Exp Details'!$D$249:$D$254,'Function-Grant'!AA$4,'Exp Details'!$H$249:$H$254)</f>
        <v>0</v>
      </c>
      <c r="AB101" s="39">
        <f>SUMIF('Exp Details'!$D$249:$D$254,'Function-Grant'!AB$4,'Exp Details'!$H$249:$H$254)</f>
        <v>0</v>
      </c>
      <c r="AC101" s="39">
        <f>SUMIF('Exp Details'!$D$249:$D$254,'Function-Grant'!AC$4,'Exp Details'!$H$249:$H$254)</f>
        <v>0</v>
      </c>
      <c r="AD101" s="39">
        <f>SUMIF('Exp Details'!$D$249:$D$254,'Function-Grant'!AD$4,'Exp Details'!$H$249:$H$254)</f>
        <v>0</v>
      </c>
      <c r="AE101" s="39">
        <f>SUMIF('Exp Details'!$D$249:$D$254,'Function-Grant'!AE$4,'Exp Details'!$H$249:$H$254)</f>
        <v>0</v>
      </c>
      <c r="AF101" s="39">
        <f>SUMIF('Exp Details'!$D$249:$D$254,'Function-Grant'!AF$4,'Exp Details'!$H$249:$H$254)</f>
        <v>0</v>
      </c>
      <c r="AG101" s="39">
        <f>SUMIF('Exp Details'!$D$249:$D$254,'Function-Grant'!AG$4,'Exp Details'!$H$249:$H$254)</f>
        <v>0</v>
      </c>
      <c r="AH101" s="39">
        <f>SUMIF('Exp Details'!$D$249:$D$254,'Function-Grant'!AH$4,'Exp Details'!$H$249:$H$254)</f>
        <v>0</v>
      </c>
      <c r="AI101" s="39">
        <f>SUMIF('Exp Details'!$D$249:$D$254,'Function-Grant'!AI$4,'Exp Details'!$H$249:$H$254)</f>
        <v>0</v>
      </c>
      <c r="AJ101" s="39">
        <f>SUMIF('Exp Details'!$D$249:$D$254,'Function-Grant'!AJ$4,'Exp Details'!$H$249:$H$254)</f>
        <v>0</v>
      </c>
      <c r="AK101" s="39">
        <f>SUMIF('Exp Details'!$D$249:$D$254,'Function-Grant'!AK$4,'Exp Details'!$H$249:$H$254)</f>
        <v>0</v>
      </c>
      <c r="AL101" s="39">
        <f>SUMIF('Exp Details'!$D$249:$D$254,'Function-Grant'!AL$4,'Exp Details'!$H$249:$H$254)</f>
        <v>0</v>
      </c>
      <c r="AM101" s="41"/>
      <c r="AN101" s="59">
        <f t="shared" si="33"/>
        <v>0</v>
      </c>
      <c r="AO101" s="41"/>
      <c r="AP101" s="259">
        <f>AN101-'FY21'!S101</f>
        <v>0</v>
      </c>
    </row>
    <row r="102" spans="3:42" s="37" customFormat="1" ht="12" x14ac:dyDescent="0.2">
      <c r="C102" s="199">
        <v>6652</v>
      </c>
      <c r="D102" s="37" t="s">
        <v>40</v>
      </c>
      <c r="E102" s="39">
        <f>SUMIF('Exp Details'!$D$258:$D$263,'Function-Grant'!E$4,'Exp Details'!$H$258:$H$263)</f>
        <v>0</v>
      </c>
      <c r="F102" s="39">
        <f>SUMIF('Exp Details'!$D$258:$D$263,'Function-Grant'!F$4,'Exp Details'!$H$258:$H$263)</f>
        <v>0</v>
      </c>
      <c r="G102" s="39">
        <f>SUMIF('Exp Details'!$D$258:$D$263,'Function-Grant'!G$4,'Exp Details'!$H$258:$H$263)</f>
        <v>0</v>
      </c>
      <c r="H102" s="39">
        <f>SUMIF('Exp Details'!$D$258:$D$263,'Function-Grant'!H$4,'Exp Details'!$H$258:$H$263)</f>
        <v>0</v>
      </c>
      <c r="I102" s="39">
        <f>SUMIF('Exp Details'!$D$258:$D$263,'Function-Grant'!I$4,'Exp Details'!$H$258:$H$263)</f>
        <v>0</v>
      </c>
      <c r="J102" s="39">
        <f>SUMIF('Exp Details'!$D$258:$D$263,'Function-Grant'!J$4,'Exp Details'!$H$258:$H$263)</f>
        <v>0</v>
      </c>
      <c r="K102" s="39">
        <f>SUMIF('Exp Details'!$D$258:$D$263,'Function-Grant'!K$4,'Exp Details'!$H$258:$H$263)</f>
        <v>0</v>
      </c>
      <c r="L102" s="39">
        <f>SUMIF('Exp Details'!$D$258:$D$263,'Function-Grant'!L$4,'Exp Details'!$H$258:$H$263)</f>
        <v>0</v>
      </c>
      <c r="M102" s="39">
        <f>SUMIF('Exp Details'!$D$258:$D$263,'Function-Grant'!M$4,'Exp Details'!$H$258:$H$263)</f>
        <v>0</v>
      </c>
      <c r="N102" s="39">
        <f>SUMIF('Exp Details'!$D$258:$D$263,'Function-Grant'!N$4,'Exp Details'!$H$258:$H$263)</f>
        <v>0</v>
      </c>
      <c r="O102" s="39">
        <f>SUMIF('Exp Details'!$D$258:$D$263,'Function-Grant'!O$4,'Exp Details'!$H$258:$H$263)</f>
        <v>0</v>
      </c>
      <c r="P102" s="39">
        <f>SUMIF('Exp Details'!$D$258:$D$263,'Function-Grant'!P$4,'Exp Details'!$H$258:$H$263)</f>
        <v>0</v>
      </c>
      <c r="Q102" s="39">
        <f>SUMIF('Exp Details'!$D$258:$D$263,'Function-Grant'!Q$4,'Exp Details'!$H$258:$H$263)</f>
        <v>0</v>
      </c>
      <c r="R102" s="39">
        <f>SUMIF('Exp Details'!$D$258:$D$263,'Function-Grant'!R$4,'Exp Details'!$H$258:$H$263)</f>
        <v>0</v>
      </c>
      <c r="S102" s="39">
        <f>SUMIF('Exp Details'!$D$258:$D$263,'Function-Grant'!S$4,'Exp Details'!$H$258:$H$263)</f>
        <v>0</v>
      </c>
      <c r="T102" s="39">
        <f>SUMIF('Exp Details'!$D$258:$D$263,'Function-Grant'!T$4,'Exp Details'!$H$258:$H$263)</f>
        <v>0</v>
      </c>
      <c r="U102" s="39">
        <f>SUMIF('Exp Details'!$D$258:$D$263,'Function-Grant'!U$4,'Exp Details'!$H$258:$H$263)</f>
        <v>0</v>
      </c>
      <c r="V102" s="39">
        <f>SUMIF('Exp Details'!$D$258:$D$263,'Function-Grant'!V$4,'Exp Details'!$H$258:$H$263)</f>
        <v>0</v>
      </c>
      <c r="W102" s="39">
        <f>SUMIF('Exp Details'!$D$258:$D$263,'Function-Grant'!W$4,'Exp Details'!$H$258:$H$263)</f>
        <v>0</v>
      </c>
      <c r="X102" s="39">
        <f>SUMIF('Exp Details'!$D$258:$D$263,'Function-Grant'!X$4,'Exp Details'!$H$258:$H$263)</f>
        <v>0</v>
      </c>
      <c r="Y102" s="39">
        <f>SUMIF('Exp Details'!$D$258:$D$263,'Function-Grant'!Y$4,'Exp Details'!$H$258:$H$263)</f>
        <v>0</v>
      </c>
      <c r="Z102" s="39">
        <f>SUMIF('Exp Details'!$D$258:$D$263,'Function-Grant'!Z$4,'Exp Details'!$H$258:$H$263)</f>
        <v>0</v>
      </c>
      <c r="AA102" s="39">
        <f>SUMIF('Exp Details'!$D$258:$D$263,'Function-Grant'!AA$4,'Exp Details'!$H$258:$H$263)</f>
        <v>0</v>
      </c>
      <c r="AB102" s="39">
        <f>SUMIF('Exp Details'!$D$258:$D$263,'Function-Grant'!AB$4,'Exp Details'!$H$258:$H$263)</f>
        <v>0</v>
      </c>
      <c r="AC102" s="39">
        <f>SUMIF('Exp Details'!$D$258:$D$263,'Function-Grant'!AC$4,'Exp Details'!$H$258:$H$263)</f>
        <v>0</v>
      </c>
      <c r="AD102" s="39">
        <f>SUMIF('Exp Details'!$D$258:$D$263,'Function-Grant'!AD$4,'Exp Details'!$H$258:$H$263)</f>
        <v>0</v>
      </c>
      <c r="AE102" s="39">
        <f>SUMIF('Exp Details'!$D$258:$D$263,'Function-Grant'!AE$4,'Exp Details'!$H$258:$H$263)</f>
        <v>0</v>
      </c>
      <c r="AF102" s="39">
        <f>SUMIF('Exp Details'!$D$258:$D$263,'Function-Grant'!AF$4,'Exp Details'!$H$258:$H$263)</f>
        <v>0</v>
      </c>
      <c r="AG102" s="39">
        <f>SUMIF('Exp Details'!$D$258:$D$263,'Function-Grant'!AG$4,'Exp Details'!$H$258:$H$263)</f>
        <v>0</v>
      </c>
      <c r="AH102" s="39">
        <f>SUMIF('Exp Details'!$D$258:$D$263,'Function-Grant'!AH$4,'Exp Details'!$H$258:$H$263)</f>
        <v>0</v>
      </c>
      <c r="AI102" s="39">
        <f>SUMIF('Exp Details'!$D$258:$D$263,'Function-Grant'!AI$4,'Exp Details'!$H$258:$H$263)</f>
        <v>0</v>
      </c>
      <c r="AJ102" s="39">
        <f>SUMIF('Exp Details'!$D$258:$D$263,'Function-Grant'!AJ$4,'Exp Details'!$H$258:$H$263)</f>
        <v>0</v>
      </c>
      <c r="AK102" s="39">
        <f>SUMIF('Exp Details'!$D$258:$D$263,'Function-Grant'!AK$4,'Exp Details'!$H$258:$H$263)</f>
        <v>0</v>
      </c>
      <c r="AL102" s="39">
        <f>SUMIF('Exp Details'!$D$258:$D$263,'Function-Grant'!AL$4,'Exp Details'!$H$258:$H$263)</f>
        <v>0</v>
      </c>
      <c r="AM102" s="41"/>
      <c r="AN102" s="59">
        <f t="shared" si="33"/>
        <v>0</v>
      </c>
      <c r="AO102" s="41"/>
      <c r="AP102" s="259">
        <f>AN102-'FY21'!S102</f>
        <v>0</v>
      </c>
    </row>
    <row r="103" spans="3:42" s="37" customFormat="1" ht="12" x14ac:dyDescent="0.2">
      <c r="C103" s="38"/>
      <c r="E103" s="50">
        <f t="shared" ref="E103:AL103" si="34">SUBTOTAL(9,E96:E102)</f>
        <v>0</v>
      </c>
      <c r="F103" s="50">
        <f>SUBTOTAL(9,F96:F102)</f>
        <v>30450</v>
      </c>
      <c r="G103" s="50">
        <f>SUBTOTAL(9,G96:G102)</f>
        <v>0</v>
      </c>
      <c r="H103" s="50">
        <f t="shared" si="34"/>
        <v>0</v>
      </c>
      <c r="I103" s="50">
        <f t="shared" si="34"/>
        <v>0</v>
      </c>
      <c r="J103" s="50">
        <f t="shared" si="34"/>
        <v>0</v>
      </c>
      <c r="K103" s="50">
        <f t="shared" si="34"/>
        <v>0</v>
      </c>
      <c r="L103" s="50">
        <f t="shared" si="34"/>
        <v>0</v>
      </c>
      <c r="M103" s="50">
        <f t="shared" si="34"/>
        <v>0</v>
      </c>
      <c r="N103" s="50">
        <f t="shared" si="34"/>
        <v>300</v>
      </c>
      <c r="O103" s="50">
        <f t="shared" si="34"/>
        <v>1500</v>
      </c>
      <c r="P103" s="50">
        <f t="shared" ref="P103" si="35">SUBTOTAL(9,P96:P102)</f>
        <v>0</v>
      </c>
      <c r="Q103" s="50">
        <f t="shared" si="34"/>
        <v>0</v>
      </c>
      <c r="R103" s="50">
        <f t="shared" ref="R103:AG103" si="36">SUBTOTAL(9,R96:R102)</f>
        <v>0</v>
      </c>
      <c r="S103" s="50">
        <f t="shared" si="36"/>
        <v>0</v>
      </c>
      <c r="T103" s="50">
        <f t="shared" si="36"/>
        <v>0</v>
      </c>
      <c r="U103" s="50">
        <f t="shared" si="36"/>
        <v>1200</v>
      </c>
      <c r="V103" s="50">
        <f t="shared" si="36"/>
        <v>0</v>
      </c>
      <c r="W103" s="50">
        <f t="shared" si="36"/>
        <v>0</v>
      </c>
      <c r="X103" s="50">
        <f t="shared" si="36"/>
        <v>0</v>
      </c>
      <c r="Y103" s="50">
        <f t="shared" si="36"/>
        <v>0</v>
      </c>
      <c r="Z103" s="50">
        <f t="shared" si="36"/>
        <v>192</v>
      </c>
      <c r="AA103" s="50">
        <f t="shared" si="36"/>
        <v>0</v>
      </c>
      <c r="AB103" s="50">
        <f t="shared" si="36"/>
        <v>7650</v>
      </c>
      <c r="AC103" s="50">
        <f t="shared" si="36"/>
        <v>0</v>
      </c>
      <c r="AD103" s="50">
        <f t="shared" si="36"/>
        <v>0</v>
      </c>
      <c r="AE103" s="50">
        <f t="shared" si="36"/>
        <v>0</v>
      </c>
      <c r="AF103" s="50">
        <f t="shared" si="36"/>
        <v>0</v>
      </c>
      <c r="AG103" s="50">
        <f t="shared" si="36"/>
        <v>0</v>
      </c>
      <c r="AH103" s="50">
        <f t="shared" si="34"/>
        <v>0</v>
      </c>
      <c r="AI103" s="50">
        <f t="shared" si="34"/>
        <v>0</v>
      </c>
      <c r="AJ103" s="50">
        <f t="shared" si="34"/>
        <v>0</v>
      </c>
      <c r="AK103" s="50">
        <f t="shared" si="34"/>
        <v>0</v>
      </c>
      <c r="AL103" s="50">
        <f t="shared" si="34"/>
        <v>0</v>
      </c>
      <c r="AM103" s="41"/>
      <c r="AN103" s="61">
        <f t="shared" ref="AN103" si="37">SUBTOTAL(9,AN96:AN102)</f>
        <v>41292</v>
      </c>
      <c r="AO103" s="41"/>
      <c r="AP103" s="259">
        <f>AN103-'FY21'!S103</f>
        <v>0</v>
      </c>
    </row>
    <row r="104" spans="3:42" s="37" customFormat="1" ht="12" x14ac:dyDescent="0.2">
      <c r="C104" s="49" t="s">
        <v>103</v>
      </c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41"/>
      <c r="AN104" s="59"/>
      <c r="AO104" s="41"/>
      <c r="AP104" s="259">
        <f>AN104-'FY21'!S104</f>
        <v>0</v>
      </c>
    </row>
    <row r="105" spans="3:42" s="37" customFormat="1" ht="12" x14ac:dyDescent="0.2">
      <c r="C105" s="199">
        <v>6734</v>
      </c>
      <c r="D105" s="37" t="s">
        <v>41</v>
      </c>
      <c r="E105" s="39">
        <f>SUMIF('Exp Details'!$D$267:$D$272,'Function-Grant'!E$4,'Exp Details'!$H$267:$H$272)</f>
        <v>0</v>
      </c>
      <c r="F105" s="39">
        <f>SUMIF('Exp Details'!$D$267:$D$272,'Function-Grant'!F$4,'Exp Details'!$H$267:$H$272)</f>
        <v>0</v>
      </c>
      <c r="G105" s="39">
        <f>SUMIF('Exp Details'!$D$267:$D$272,'Function-Grant'!G$4,'Exp Details'!$H$267:$H$272)</f>
        <v>0</v>
      </c>
      <c r="H105" s="39">
        <f>SUMIF('Exp Details'!$D$267:$D$272,'Function-Grant'!H$4,'Exp Details'!$H$267:$H$272)</f>
        <v>0</v>
      </c>
      <c r="I105" s="39">
        <f>SUMIF('Exp Details'!$D$267:$D$272,'Function-Grant'!I$4,'Exp Details'!$H$267:$H$272)</f>
        <v>0</v>
      </c>
      <c r="J105" s="39">
        <f>SUMIF('Exp Details'!$D$267:$D$272,'Function-Grant'!J$4,'Exp Details'!$H$267:$H$272)</f>
        <v>0</v>
      </c>
      <c r="K105" s="39">
        <f>SUMIF('Exp Details'!$D$267:$D$272,'Function-Grant'!K$4,'Exp Details'!$H$267:$H$272)</f>
        <v>0</v>
      </c>
      <c r="L105" s="39">
        <f>SUMIF('Exp Details'!$D$267:$D$272,'Function-Grant'!L$4,'Exp Details'!$H$267:$H$272)</f>
        <v>0</v>
      </c>
      <c r="M105" s="39">
        <f>SUMIF('Exp Details'!$D$267:$D$272,'Function-Grant'!M$4,'Exp Details'!$H$267:$H$272)</f>
        <v>0</v>
      </c>
      <c r="N105" s="39">
        <f>SUMIF('Exp Details'!$D$267:$D$272,'Function-Grant'!N$4,'Exp Details'!$H$267:$H$272)</f>
        <v>0</v>
      </c>
      <c r="O105" s="39">
        <f>SUMIF('Exp Details'!$D$267:$D$272,'Function-Grant'!O$4,'Exp Details'!$H$267:$H$272)</f>
        <v>0</v>
      </c>
      <c r="P105" s="39">
        <f>SUMIF('Exp Details'!$D$267:$D$272,'Function-Grant'!P$4,'Exp Details'!$H$267:$H$272)</f>
        <v>0</v>
      </c>
      <c r="Q105" s="39">
        <f>SUMIF('Exp Details'!$D$267:$D$272,'Function-Grant'!Q$4,'Exp Details'!$H$267:$H$272)</f>
        <v>0</v>
      </c>
      <c r="R105" s="39">
        <f>SUMIF('Exp Details'!$D$267:$D$272,'Function-Grant'!R$4,'Exp Details'!$H$267:$H$272)</f>
        <v>0</v>
      </c>
      <c r="S105" s="39">
        <f>SUMIF('Exp Details'!$D$267:$D$272,'Function-Grant'!S$4,'Exp Details'!$H$267:$H$272)</f>
        <v>0</v>
      </c>
      <c r="T105" s="39">
        <f>SUMIF('Exp Details'!$D$267:$D$272,'Function-Grant'!T$4,'Exp Details'!$H$267:$H$272)</f>
        <v>0</v>
      </c>
      <c r="U105" s="39">
        <f>SUMIF('Exp Details'!$D$267:$D$272,'Function-Grant'!U$4,'Exp Details'!$H$267:$H$272)</f>
        <v>0</v>
      </c>
      <c r="V105" s="39">
        <f>SUMIF('Exp Details'!$D$267:$D$272,'Function-Grant'!V$4,'Exp Details'!$H$267:$H$272)</f>
        <v>0</v>
      </c>
      <c r="W105" s="39">
        <f>SUMIF('Exp Details'!$D$267:$D$272,'Function-Grant'!W$4,'Exp Details'!$H$267:$H$272)</f>
        <v>0</v>
      </c>
      <c r="X105" s="39">
        <f>SUMIF('Exp Details'!$D$267:$D$272,'Function-Grant'!X$4,'Exp Details'!$H$267:$H$272)</f>
        <v>0</v>
      </c>
      <c r="Y105" s="39">
        <f>SUMIF('Exp Details'!$D$267:$D$272,'Function-Grant'!Y$4,'Exp Details'!$H$267:$H$272)</f>
        <v>0</v>
      </c>
      <c r="Z105" s="39">
        <f>SUMIF('Exp Details'!$D$267:$D$272,'Function-Grant'!Z$4,'Exp Details'!$H$267:$H$272)</f>
        <v>0</v>
      </c>
      <c r="AA105" s="39">
        <f>SUMIF('Exp Details'!$D$267:$D$272,'Function-Grant'!AA$4,'Exp Details'!$H$267:$H$272)</f>
        <v>0</v>
      </c>
      <c r="AB105" s="39">
        <f>SUMIF('Exp Details'!$D$267:$D$272,'Function-Grant'!AB$4,'Exp Details'!$H$267:$H$272)</f>
        <v>0</v>
      </c>
      <c r="AC105" s="39">
        <f>SUMIF('Exp Details'!$D$267:$D$272,'Function-Grant'!AC$4,'Exp Details'!$H$267:$H$272)</f>
        <v>0</v>
      </c>
      <c r="AD105" s="39">
        <f>SUMIF('Exp Details'!$D$267:$D$272,'Function-Grant'!AD$4,'Exp Details'!$H$267:$H$272)</f>
        <v>0</v>
      </c>
      <c r="AE105" s="39">
        <f>SUMIF('Exp Details'!$D$267:$D$272,'Function-Grant'!AE$4,'Exp Details'!$H$267:$H$272)</f>
        <v>0</v>
      </c>
      <c r="AF105" s="39">
        <f>SUMIF('Exp Details'!$D$267:$D$272,'Function-Grant'!AF$4,'Exp Details'!$H$267:$H$272)</f>
        <v>0</v>
      </c>
      <c r="AG105" s="39">
        <f>SUMIF('Exp Details'!$D$267:$D$272,'Function-Grant'!AG$4,'Exp Details'!$H$267:$H$272)</f>
        <v>0</v>
      </c>
      <c r="AH105" s="39">
        <f>SUMIF('Exp Details'!$D$267:$D$272,'Function-Grant'!AH$4,'Exp Details'!$H$267:$H$272)</f>
        <v>0</v>
      </c>
      <c r="AI105" s="39">
        <f>SUMIF('Exp Details'!$D$267:$D$272,'Function-Grant'!AI$4,'Exp Details'!$H$267:$H$272)</f>
        <v>0</v>
      </c>
      <c r="AJ105" s="39">
        <f>SUMIF('Exp Details'!$D$267:$D$272,'Function-Grant'!AJ$4,'Exp Details'!$H$267:$H$272)</f>
        <v>0</v>
      </c>
      <c r="AK105" s="39">
        <f>SUMIF('Exp Details'!$D$267:$D$272,'Function-Grant'!AK$4,'Exp Details'!$H$267:$H$272)</f>
        <v>0</v>
      </c>
      <c r="AL105" s="39">
        <f>SUMIF('Exp Details'!$D$267:$D$272,'Function-Grant'!AL$4,'Exp Details'!$H$267:$H$272)</f>
        <v>0</v>
      </c>
      <c r="AM105" s="41"/>
      <c r="AN105" s="59">
        <f>SUM(E105:AM105)</f>
        <v>0</v>
      </c>
      <c r="AO105" s="41"/>
      <c r="AP105" s="259">
        <f>AN105-'FY21'!S105</f>
        <v>0</v>
      </c>
    </row>
    <row r="106" spans="3:42" s="37" customFormat="1" ht="12" x14ac:dyDescent="0.2">
      <c r="C106" s="38"/>
      <c r="E106" s="50">
        <f t="shared" ref="E106:AL106" si="38">SUBTOTAL(9,E105)</f>
        <v>0</v>
      </c>
      <c r="F106" s="50">
        <f>SUBTOTAL(9,F105)</f>
        <v>0</v>
      </c>
      <c r="G106" s="50">
        <f>SUBTOTAL(9,G105)</f>
        <v>0</v>
      </c>
      <c r="H106" s="50">
        <f t="shared" si="38"/>
        <v>0</v>
      </c>
      <c r="I106" s="50">
        <f t="shared" si="38"/>
        <v>0</v>
      </c>
      <c r="J106" s="50">
        <f t="shared" si="38"/>
        <v>0</v>
      </c>
      <c r="K106" s="50">
        <f t="shared" si="38"/>
        <v>0</v>
      </c>
      <c r="L106" s="50">
        <f t="shared" si="38"/>
        <v>0</v>
      </c>
      <c r="M106" s="50">
        <f t="shared" si="38"/>
        <v>0</v>
      </c>
      <c r="N106" s="50">
        <f t="shared" si="38"/>
        <v>0</v>
      </c>
      <c r="O106" s="50">
        <f t="shared" si="38"/>
        <v>0</v>
      </c>
      <c r="P106" s="50">
        <f t="shared" ref="P106" si="39">SUBTOTAL(9,P105)</f>
        <v>0</v>
      </c>
      <c r="Q106" s="50">
        <f t="shared" si="38"/>
        <v>0</v>
      </c>
      <c r="R106" s="50">
        <f t="shared" ref="R106:AG106" si="40">SUBTOTAL(9,R105)</f>
        <v>0</v>
      </c>
      <c r="S106" s="50">
        <f t="shared" si="40"/>
        <v>0</v>
      </c>
      <c r="T106" s="50">
        <f t="shared" si="40"/>
        <v>0</v>
      </c>
      <c r="U106" s="50">
        <f t="shared" si="40"/>
        <v>0</v>
      </c>
      <c r="V106" s="50">
        <f t="shared" si="40"/>
        <v>0</v>
      </c>
      <c r="W106" s="50">
        <f t="shared" si="40"/>
        <v>0</v>
      </c>
      <c r="X106" s="50">
        <f t="shared" si="40"/>
        <v>0</v>
      </c>
      <c r="Y106" s="50">
        <f t="shared" si="40"/>
        <v>0</v>
      </c>
      <c r="Z106" s="50">
        <f t="shared" si="40"/>
        <v>0</v>
      </c>
      <c r="AA106" s="50">
        <f t="shared" si="40"/>
        <v>0</v>
      </c>
      <c r="AB106" s="50">
        <f t="shared" si="40"/>
        <v>0</v>
      </c>
      <c r="AC106" s="50">
        <f t="shared" si="40"/>
        <v>0</v>
      </c>
      <c r="AD106" s="50">
        <f t="shared" si="40"/>
        <v>0</v>
      </c>
      <c r="AE106" s="50">
        <f t="shared" si="40"/>
        <v>0</v>
      </c>
      <c r="AF106" s="50">
        <f t="shared" si="40"/>
        <v>0</v>
      </c>
      <c r="AG106" s="50">
        <f t="shared" si="40"/>
        <v>0</v>
      </c>
      <c r="AH106" s="50">
        <f t="shared" si="38"/>
        <v>0</v>
      </c>
      <c r="AI106" s="50">
        <f t="shared" si="38"/>
        <v>0</v>
      </c>
      <c r="AJ106" s="50">
        <f t="shared" si="38"/>
        <v>0</v>
      </c>
      <c r="AK106" s="50">
        <f t="shared" si="38"/>
        <v>0</v>
      </c>
      <c r="AL106" s="50">
        <f t="shared" si="38"/>
        <v>0</v>
      </c>
      <c r="AM106" s="41"/>
      <c r="AN106" s="61">
        <f t="shared" ref="AN106" si="41">SUBTOTAL(9,AN105)</f>
        <v>0</v>
      </c>
      <c r="AO106" s="41"/>
      <c r="AP106" s="259">
        <f>AN106-'FY21'!S106</f>
        <v>0</v>
      </c>
    </row>
    <row r="107" spans="3:42" s="37" customFormat="1" ht="12" x14ac:dyDescent="0.2">
      <c r="C107" s="49" t="s">
        <v>104</v>
      </c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41"/>
      <c r="AN107" s="59"/>
      <c r="AO107" s="41"/>
      <c r="AP107" s="259">
        <f>AN107-'FY21'!S107</f>
        <v>0</v>
      </c>
    </row>
    <row r="108" spans="3:42" s="37" customFormat="1" ht="12" x14ac:dyDescent="0.2">
      <c r="C108" s="199">
        <v>6810</v>
      </c>
      <c r="D108" s="37" t="s">
        <v>42</v>
      </c>
      <c r="E108" s="39">
        <f>SUMIF('Exp Details'!$D$279:$D$283,'Function-Grant'!E$4,'Exp Details'!$H$279:$H$283)</f>
        <v>0</v>
      </c>
      <c r="F108" s="39">
        <f>SUMIF('Exp Details'!$D$279:$D$283,'Function-Grant'!F$4,'Exp Details'!$H$279:$H$283)</f>
        <v>0</v>
      </c>
      <c r="G108" s="39">
        <f>SUMIF('Exp Details'!$D$279:$D$283,'Function-Grant'!G$4,'Exp Details'!$H$279:$H$283)</f>
        <v>0</v>
      </c>
      <c r="H108" s="39">
        <f>SUMIF('Exp Details'!$D$279:$D$283,'Function-Grant'!H$4,'Exp Details'!$H$279:$H$283)</f>
        <v>0</v>
      </c>
      <c r="I108" s="39">
        <f>SUMIF('Exp Details'!$D$279:$D$283,'Function-Grant'!I$4,'Exp Details'!$H$279:$H$283)</f>
        <v>0</v>
      </c>
      <c r="J108" s="39">
        <f>SUMIF('Exp Details'!$D$279:$D$283,'Function-Grant'!J$4,'Exp Details'!$H$279:$H$283)</f>
        <v>0</v>
      </c>
      <c r="K108" s="39">
        <f>SUMIF('Exp Details'!$D$279:$D$283,'Function-Grant'!K$4,'Exp Details'!$H$279:$H$283)</f>
        <v>0</v>
      </c>
      <c r="L108" s="39">
        <f>SUMIF('Exp Details'!$D$279:$D$283,'Function-Grant'!L$4,'Exp Details'!$H$279:$H$283)</f>
        <v>0</v>
      </c>
      <c r="M108" s="39">
        <f>SUMIF('Exp Details'!$D$279:$D$283,'Function-Grant'!M$4,'Exp Details'!$H$279:$H$283)</f>
        <v>0</v>
      </c>
      <c r="N108" s="39">
        <f>SUMIF('Exp Details'!$D$279:$D$283,'Function-Grant'!N$4,'Exp Details'!$H$279:$H$283)</f>
        <v>0</v>
      </c>
      <c r="O108" s="39">
        <f>SUMIF('Exp Details'!$D$279:$D$283,'Function-Grant'!O$4,'Exp Details'!$H$279:$H$283)</f>
        <v>0</v>
      </c>
      <c r="P108" s="370">
        <f>SUMIF('Exp Details'!$D$279:$D$283,'Function-Grant'!P$4,'Exp Details'!$H$279:$H$283)</f>
        <v>680</v>
      </c>
      <c r="Q108" s="39">
        <f>SUMIF('Exp Details'!$D$279:$D$283,'Function-Grant'!Q$4,'Exp Details'!$H$279:$H$283)</f>
        <v>0</v>
      </c>
      <c r="R108" s="39">
        <f>SUMIF('Exp Details'!$D$279:$D$283,'Function-Grant'!R$4,'Exp Details'!$H$279:$H$283)</f>
        <v>0</v>
      </c>
      <c r="S108" s="39">
        <f>SUMIF('Exp Details'!$D$279:$D$283,'Function-Grant'!S$4,'Exp Details'!$H$279:$H$283)</f>
        <v>0</v>
      </c>
      <c r="T108" s="39">
        <f>SUMIF('Exp Details'!$D$279:$D$283,'Function-Grant'!T$4,'Exp Details'!$H$279:$H$283)</f>
        <v>0</v>
      </c>
      <c r="U108" s="39">
        <f>SUMIF('Exp Details'!$D$279:$D$283,'Function-Grant'!U$4,'Exp Details'!$H$279:$H$283)</f>
        <v>0</v>
      </c>
      <c r="V108" s="39">
        <f>SUMIF('Exp Details'!$D$279:$D$283,'Function-Grant'!V$4,'Exp Details'!$H$279:$H$283)</f>
        <v>0</v>
      </c>
      <c r="W108" s="39">
        <f>SUMIF('Exp Details'!$D$279:$D$283,'Function-Grant'!W$4,'Exp Details'!$H$279:$H$283)</f>
        <v>0</v>
      </c>
      <c r="X108" s="370">
        <f>SUMIF('Exp Details'!$D$279:$D$283,'Function-Grant'!X$4,'Exp Details'!$H$279:$H$283)</f>
        <v>0</v>
      </c>
      <c r="Y108" s="39">
        <f>SUMIF('Exp Details'!$D$279:$D$283,'Function-Grant'!Y$4,'Exp Details'!$H$279:$H$283)</f>
        <v>0</v>
      </c>
      <c r="Z108" s="39">
        <f>SUMIF('Exp Details'!$D$279:$D$283,'Function-Grant'!Z$4,'Exp Details'!$H$279:$H$283)</f>
        <v>0</v>
      </c>
      <c r="AA108" s="39">
        <f>SUMIF('Exp Details'!$D$279:$D$283,'Function-Grant'!AA$4,'Exp Details'!$H$279:$H$283)</f>
        <v>0</v>
      </c>
      <c r="AB108" s="39">
        <f>SUMIF('Exp Details'!$D$279:$D$283,'Function-Grant'!AB$4,'Exp Details'!$H$279:$H$283)</f>
        <v>0</v>
      </c>
      <c r="AC108" s="39">
        <f>SUMIF('Exp Details'!$D$279:$D$283,'Function-Grant'!AC$4,'Exp Details'!$H$279:$H$283)</f>
        <v>0</v>
      </c>
      <c r="AD108" s="39">
        <f>SUMIF('Exp Details'!$D$279:$D$283,'Function-Grant'!AD$4,'Exp Details'!$H$279:$H$283)</f>
        <v>0</v>
      </c>
      <c r="AE108" s="39">
        <f>SUMIF('Exp Details'!$D$279:$D$283,'Function-Grant'!AE$4,'Exp Details'!$H$279:$H$283)</f>
        <v>0</v>
      </c>
      <c r="AF108" s="39">
        <f>SUMIF('Exp Details'!$D$279:$D$283,'Function-Grant'!AF$4,'Exp Details'!$H$279:$H$283)</f>
        <v>0</v>
      </c>
      <c r="AG108" s="39">
        <f>SUMIF('Exp Details'!$D$279:$D$283,'Function-Grant'!AG$4,'Exp Details'!$H$279:$H$283)</f>
        <v>0</v>
      </c>
      <c r="AH108" s="39">
        <f>SUMIF('Exp Details'!$D$279:$D$283,'Function-Grant'!AH$4,'Exp Details'!$H$279:$H$283)</f>
        <v>0</v>
      </c>
      <c r="AI108" s="39">
        <f>SUMIF('Exp Details'!$D$279:$D$283,'Function-Grant'!AI$4,'Exp Details'!$H$279:$H$283)</f>
        <v>0</v>
      </c>
      <c r="AJ108" s="39">
        <f>SUMIF('Exp Details'!$D$279:$D$283,'Function-Grant'!AJ$4,'Exp Details'!$H$279:$H$283)</f>
        <v>0</v>
      </c>
      <c r="AK108" s="39">
        <f>SUMIF('Exp Details'!$D$279:$D$283,'Function-Grant'!AK$4,'Exp Details'!$H$279:$H$283)</f>
        <v>0</v>
      </c>
      <c r="AL108" s="39">
        <f>SUMIF('Exp Details'!$D$279:$D$283,'Function-Grant'!AL$4,'Exp Details'!$H$279:$H$283)</f>
        <v>0</v>
      </c>
      <c r="AM108" s="41"/>
      <c r="AN108" s="59">
        <f>SUM(E108:AM108)</f>
        <v>680</v>
      </c>
      <c r="AO108" s="41"/>
      <c r="AP108" s="259">
        <f>AN108-'FY21'!S108</f>
        <v>0</v>
      </c>
    </row>
    <row r="109" spans="3:42" s="37" customFormat="1" ht="12" x14ac:dyDescent="0.2">
      <c r="C109" s="38"/>
      <c r="E109" s="50">
        <f t="shared" ref="E109:AL109" si="42">SUBTOTAL(9,E108)</f>
        <v>0</v>
      </c>
      <c r="F109" s="50">
        <f>SUBTOTAL(9,F108)</f>
        <v>0</v>
      </c>
      <c r="G109" s="50">
        <f>SUBTOTAL(9,G108)</f>
        <v>0</v>
      </c>
      <c r="H109" s="50">
        <f t="shared" si="42"/>
        <v>0</v>
      </c>
      <c r="I109" s="50">
        <f t="shared" si="42"/>
        <v>0</v>
      </c>
      <c r="J109" s="50">
        <f t="shared" si="42"/>
        <v>0</v>
      </c>
      <c r="K109" s="50">
        <f t="shared" si="42"/>
        <v>0</v>
      </c>
      <c r="L109" s="50">
        <f t="shared" si="42"/>
        <v>0</v>
      </c>
      <c r="M109" s="50">
        <f t="shared" si="42"/>
        <v>0</v>
      </c>
      <c r="N109" s="50">
        <f t="shared" si="42"/>
        <v>0</v>
      </c>
      <c r="O109" s="50">
        <f t="shared" si="42"/>
        <v>0</v>
      </c>
      <c r="P109" s="50">
        <f t="shared" ref="P109" si="43">SUBTOTAL(9,P108)</f>
        <v>680</v>
      </c>
      <c r="Q109" s="50">
        <f t="shared" si="42"/>
        <v>0</v>
      </c>
      <c r="R109" s="50">
        <f t="shared" ref="R109:AG109" si="44">SUBTOTAL(9,R108)</f>
        <v>0</v>
      </c>
      <c r="S109" s="50">
        <f t="shared" si="44"/>
        <v>0</v>
      </c>
      <c r="T109" s="50">
        <f t="shared" si="44"/>
        <v>0</v>
      </c>
      <c r="U109" s="50">
        <f t="shared" si="44"/>
        <v>0</v>
      </c>
      <c r="V109" s="50">
        <f t="shared" si="44"/>
        <v>0</v>
      </c>
      <c r="W109" s="50">
        <f t="shared" si="44"/>
        <v>0</v>
      </c>
      <c r="X109" s="50">
        <f t="shared" si="44"/>
        <v>0</v>
      </c>
      <c r="Y109" s="50">
        <f t="shared" si="44"/>
        <v>0</v>
      </c>
      <c r="Z109" s="50">
        <f t="shared" si="44"/>
        <v>0</v>
      </c>
      <c r="AA109" s="50">
        <f t="shared" si="44"/>
        <v>0</v>
      </c>
      <c r="AB109" s="50">
        <f t="shared" si="44"/>
        <v>0</v>
      </c>
      <c r="AC109" s="50">
        <f t="shared" si="44"/>
        <v>0</v>
      </c>
      <c r="AD109" s="50">
        <f t="shared" si="44"/>
        <v>0</v>
      </c>
      <c r="AE109" s="50">
        <f t="shared" si="44"/>
        <v>0</v>
      </c>
      <c r="AF109" s="50">
        <f t="shared" si="44"/>
        <v>0</v>
      </c>
      <c r="AG109" s="50">
        <f t="shared" si="44"/>
        <v>0</v>
      </c>
      <c r="AH109" s="50">
        <f t="shared" si="42"/>
        <v>0</v>
      </c>
      <c r="AI109" s="50">
        <f t="shared" si="42"/>
        <v>0</v>
      </c>
      <c r="AJ109" s="50">
        <f t="shared" si="42"/>
        <v>0</v>
      </c>
      <c r="AK109" s="50">
        <f t="shared" si="42"/>
        <v>0</v>
      </c>
      <c r="AL109" s="50">
        <f t="shared" si="42"/>
        <v>0</v>
      </c>
      <c r="AM109" s="41"/>
      <c r="AN109" s="61">
        <f t="shared" ref="AN109" si="45">SUBTOTAL(9,AN108)</f>
        <v>680</v>
      </c>
      <c r="AO109" s="41"/>
      <c r="AP109" s="259">
        <f>AN109-'FY21'!S109</f>
        <v>0</v>
      </c>
    </row>
    <row r="110" spans="3:42" s="45" customFormat="1" ht="12" x14ac:dyDescent="0.2">
      <c r="C110" s="49" t="s">
        <v>43</v>
      </c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62"/>
      <c r="AO110" s="48"/>
      <c r="AP110" s="259">
        <f>AN110-'FY21'!S110</f>
        <v>0</v>
      </c>
    </row>
    <row r="111" spans="3:42" s="37" customFormat="1" ht="12" x14ac:dyDescent="0.2">
      <c r="C111" s="199">
        <v>7306</v>
      </c>
      <c r="D111" s="37" t="s">
        <v>43</v>
      </c>
      <c r="E111" s="39">
        <f>SUMIF('Exp Details'!$D$288:$D$293,'Function-Grant'!E$4,'Exp Details'!$H$288:$H$293)</f>
        <v>0</v>
      </c>
      <c r="F111" s="39">
        <f>SUMIF('Exp Details'!$D$288:$D$293,'Function-Grant'!F$4,'Exp Details'!$H$288:$H$293)</f>
        <v>0</v>
      </c>
      <c r="G111" s="39">
        <f>SUMIF('Exp Details'!$D$288:$D$293,'Function-Grant'!G$4,'Exp Details'!$H$288:$H$293)</f>
        <v>0</v>
      </c>
      <c r="H111" s="39">
        <f>SUMIF('Exp Details'!$D$288:$D$293,'Function-Grant'!H$4,'Exp Details'!$H$288:$H$293)</f>
        <v>0</v>
      </c>
      <c r="I111" s="39">
        <f>SUMIF('Exp Details'!$D$288:$D$293,'Function-Grant'!I$4,'Exp Details'!$H$288:$H$293)</f>
        <v>0</v>
      </c>
      <c r="J111" s="39">
        <f>SUMIF('Exp Details'!$D$288:$D$293,'Function-Grant'!J$4,'Exp Details'!$H$288:$H$293)</f>
        <v>0</v>
      </c>
      <c r="K111" s="39">
        <f>SUMIF('Exp Details'!$D$288:$D$293,'Function-Grant'!K$4,'Exp Details'!$H$288:$H$293)</f>
        <v>0</v>
      </c>
      <c r="L111" s="39">
        <f>SUMIF('Exp Details'!$D$288:$D$293,'Function-Grant'!L$4,'Exp Details'!$H$288:$H$293)</f>
        <v>0</v>
      </c>
      <c r="M111" s="39">
        <f>SUMIF('Exp Details'!$D$288:$D$293,'Function-Grant'!M$4,'Exp Details'!$H$288:$H$293)</f>
        <v>0</v>
      </c>
      <c r="N111" s="39">
        <f>SUMIF('Exp Details'!$D$288:$D$293,'Function-Grant'!N$4,'Exp Details'!$H$288:$H$293)</f>
        <v>0</v>
      </c>
      <c r="O111" s="39">
        <f>SUMIF('Exp Details'!$D$288:$D$293,'Function-Grant'!O$4,'Exp Details'!$H$288:$H$293)</f>
        <v>0</v>
      </c>
      <c r="P111" s="39">
        <f>SUMIF('Exp Details'!$D$288:$D$293,'Function-Grant'!P$4,'Exp Details'!$H$288:$H$293)</f>
        <v>0</v>
      </c>
      <c r="Q111" s="39">
        <f>SUMIF('Exp Details'!$D$288:$D$293,'Function-Grant'!Q$4,'Exp Details'!$H$288:$H$293)</f>
        <v>0</v>
      </c>
      <c r="R111" s="39">
        <f>SUMIF('Exp Details'!$D$288:$D$293,'Function-Grant'!R$4,'Exp Details'!$H$288:$H$293)</f>
        <v>0</v>
      </c>
      <c r="S111" s="39">
        <f>SUMIF('Exp Details'!$D$288:$D$293,'Function-Grant'!S$4,'Exp Details'!$H$288:$H$293)</f>
        <v>0</v>
      </c>
      <c r="T111" s="39">
        <f>SUMIF('Exp Details'!$D$288:$D$293,'Function-Grant'!T$4,'Exp Details'!$H$288:$H$293)</f>
        <v>0</v>
      </c>
      <c r="U111" s="39">
        <f>SUMIF('Exp Details'!$D$288:$D$293,'Function-Grant'!U$4,'Exp Details'!$H$288:$H$293)</f>
        <v>0</v>
      </c>
      <c r="V111" s="39">
        <f>SUMIF('Exp Details'!$D$288:$D$293,'Function-Grant'!V$4,'Exp Details'!$H$288:$H$293)</f>
        <v>0</v>
      </c>
      <c r="W111" s="39">
        <f>SUMIF('Exp Details'!$D$288:$D$293,'Function-Grant'!W$4,'Exp Details'!$H$288:$H$293)</f>
        <v>0</v>
      </c>
      <c r="X111" s="39">
        <f>SUMIF('Exp Details'!$D$288:$D$293,'Function-Grant'!X$4,'Exp Details'!$H$288:$H$293)</f>
        <v>0</v>
      </c>
      <c r="Y111" s="39">
        <f>SUMIF('Exp Details'!$D$288:$D$293,'Function-Grant'!Y$4,'Exp Details'!$H$288:$H$293)</f>
        <v>0</v>
      </c>
      <c r="Z111" s="39">
        <f>SUMIF('Exp Details'!$D$288:$D$293,'Function-Grant'!Z$4,'Exp Details'!$H$288:$H$293)</f>
        <v>0</v>
      </c>
      <c r="AA111" s="39">
        <f>SUMIF('Exp Details'!$D$288:$D$293,'Function-Grant'!AA$4,'Exp Details'!$H$288:$H$293)</f>
        <v>0</v>
      </c>
      <c r="AB111" s="39">
        <f>SUMIF('Exp Details'!$D$288:$D$293,'Function-Grant'!AB$4,'Exp Details'!$H$288:$H$293)</f>
        <v>0</v>
      </c>
      <c r="AC111" s="39">
        <f>SUMIF('Exp Details'!$D$288:$D$293,'Function-Grant'!AC$4,'Exp Details'!$H$288:$H$293)</f>
        <v>0</v>
      </c>
      <c r="AD111" s="39">
        <f>SUMIF('Exp Details'!$D$288:$D$293,'Function-Grant'!AD$4,'Exp Details'!$H$288:$H$293)</f>
        <v>0</v>
      </c>
      <c r="AE111" s="39">
        <f>SUMIF('Exp Details'!$D$288:$D$293,'Function-Grant'!AE$4,'Exp Details'!$H$288:$H$293)</f>
        <v>0</v>
      </c>
      <c r="AF111" s="39">
        <f>SUMIF('Exp Details'!$D$288:$D$293,'Function-Grant'!AF$4,'Exp Details'!$H$288:$H$293)</f>
        <v>0</v>
      </c>
      <c r="AG111" s="39">
        <f>SUMIF('Exp Details'!$D$288:$D$293,'Function-Grant'!AG$4,'Exp Details'!$H$288:$H$293)</f>
        <v>0</v>
      </c>
      <c r="AH111" s="39">
        <f>SUMIF('Exp Details'!$D$288:$D$293,'Function-Grant'!AH$4,'Exp Details'!$H$288:$H$293)</f>
        <v>0</v>
      </c>
      <c r="AI111" s="39">
        <f>SUMIF('Exp Details'!$D$288:$D$293,'Function-Grant'!AI$4,'Exp Details'!$H$288:$H$293)</f>
        <v>0</v>
      </c>
      <c r="AJ111" s="39">
        <f>SUMIF('Exp Details'!$D$288:$D$293,'Function-Grant'!AJ$4,'Exp Details'!$H$288:$H$293)</f>
        <v>0</v>
      </c>
      <c r="AK111" s="39">
        <f>SUMIF('Exp Details'!$D$288:$D$293,'Function-Grant'!AK$4,'Exp Details'!$H$288:$H$293)</f>
        <v>0</v>
      </c>
      <c r="AL111" s="39">
        <f>SUMIF('Exp Details'!$D$288:$D$293,'Function-Grant'!AL$4,'Exp Details'!$H$288:$H$293)</f>
        <v>0</v>
      </c>
      <c r="AM111" s="41"/>
      <c r="AN111" s="62">
        <f>SUM(E111:AM111)</f>
        <v>0</v>
      </c>
      <c r="AO111" s="41"/>
      <c r="AP111" s="259">
        <f>AN111-'FY21'!S111</f>
        <v>0</v>
      </c>
    </row>
    <row r="112" spans="3:42" s="37" customFormat="1" ht="12" x14ac:dyDescent="0.2">
      <c r="C112" s="38">
        <v>7901</v>
      </c>
      <c r="D112" s="37" t="s">
        <v>178</v>
      </c>
      <c r="E112" s="39">
        <f>SUMIF('Exp Details'!$D$297:$D$302,'Function-Grant'!E$4,'Exp Details'!$H$297:$H$302)</f>
        <v>0</v>
      </c>
      <c r="F112" s="39">
        <f>SUMIF('Exp Details'!$D$297:$D$302,'Function-Grant'!F$4,'Exp Details'!$H$297:$H$302)</f>
        <v>0</v>
      </c>
      <c r="G112" s="39">
        <f>SUMIF('Exp Details'!$D$297:$D$302,'Function-Grant'!G$4,'Exp Details'!$H$297:$H$302)</f>
        <v>0</v>
      </c>
      <c r="H112" s="39">
        <f>SUMIF('Exp Details'!$D$297:$D$302,'Function-Grant'!H$4,'Exp Details'!$H$297:$H$302)</f>
        <v>0</v>
      </c>
      <c r="I112" s="39">
        <f>SUMIF('Exp Details'!$D$297:$D$302,'Function-Grant'!I$4,'Exp Details'!$H$297:$H$302)</f>
        <v>0</v>
      </c>
      <c r="J112" s="39">
        <f>SUMIF('Exp Details'!$D$297:$D$302,'Function-Grant'!J$4,'Exp Details'!$H$297:$H$302)</f>
        <v>0</v>
      </c>
      <c r="K112" s="39">
        <f>SUMIF('Exp Details'!$D$297:$D$302,'Function-Grant'!K$4,'Exp Details'!$H$297:$H$302)</f>
        <v>0</v>
      </c>
      <c r="L112" s="39">
        <f>SUMIF('Exp Details'!$D$297:$D$302,'Function-Grant'!L$4,'Exp Details'!$H$297:$H$302)</f>
        <v>0</v>
      </c>
      <c r="M112" s="39">
        <f>SUMIF('Exp Details'!$D$297:$D$302,'Function-Grant'!M$4,'Exp Details'!$H$297:$H$302)</f>
        <v>0</v>
      </c>
      <c r="N112" s="39">
        <f>SUMIF('Exp Details'!$D$297:$D$302,'Function-Grant'!N$4,'Exp Details'!$H$297:$H$302)</f>
        <v>0</v>
      </c>
      <c r="O112" s="39">
        <f>SUMIF('Exp Details'!$D$297:$D$302,'Function-Grant'!O$4,'Exp Details'!$H$297:$H$302)</f>
        <v>0</v>
      </c>
      <c r="P112" s="39">
        <f>SUMIF('Exp Details'!$D$297:$D$302,'Function-Grant'!P$4,'Exp Details'!$H$297:$H$302)</f>
        <v>0</v>
      </c>
      <c r="Q112" s="39">
        <f>SUMIF('Exp Details'!$D$297:$D$302,'Function-Grant'!Q$4,'Exp Details'!$H$297:$H$302)</f>
        <v>0</v>
      </c>
      <c r="R112" s="39">
        <f>SUMIF('Exp Details'!$D$297:$D$302,'Function-Grant'!R$4,'Exp Details'!$H$297:$H$302)</f>
        <v>0</v>
      </c>
      <c r="S112" s="39">
        <f>SUMIF('Exp Details'!$D$297:$D$302,'Function-Grant'!S$4,'Exp Details'!$H$297:$H$302)</f>
        <v>0</v>
      </c>
      <c r="T112" s="39">
        <f>SUMIF('Exp Details'!$D$297:$D$302,'Function-Grant'!T$4,'Exp Details'!$H$297:$H$302)</f>
        <v>0</v>
      </c>
      <c r="U112" s="39">
        <f>SUMIF('Exp Details'!$D$297:$D$302,'Function-Grant'!U$4,'Exp Details'!$H$297:$H$302)</f>
        <v>0</v>
      </c>
      <c r="V112" s="39">
        <f>SUMIF('Exp Details'!$D$297:$D$302,'Function-Grant'!V$4,'Exp Details'!$H$297:$H$302)</f>
        <v>0</v>
      </c>
      <c r="W112" s="39">
        <f>SUMIF('Exp Details'!$D$297:$D$302,'Function-Grant'!W$4,'Exp Details'!$H$297:$H$302)</f>
        <v>0</v>
      </c>
      <c r="X112" s="39">
        <f>SUMIF('Exp Details'!$D$297:$D$302,'Function-Grant'!X$4,'Exp Details'!$H$297:$H$302)</f>
        <v>0</v>
      </c>
      <c r="Y112" s="39">
        <f>SUMIF('Exp Details'!$D$297:$D$302,'Function-Grant'!Y$4,'Exp Details'!$H$297:$H$302)</f>
        <v>0</v>
      </c>
      <c r="Z112" s="39">
        <f>SUMIF('Exp Details'!$D$297:$D$302,'Function-Grant'!Z$4,'Exp Details'!$H$297:$H$302)</f>
        <v>0</v>
      </c>
      <c r="AA112" s="39">
        <f>SUMIF('Exp Details'!$D$297:$D$302,'Function-Grant'!AA$4,'Exp Details'!$H$297:$H$302)</f>
        <v>0</v>
      </c>
      <c r="AB112" s="39">
        <f>SUMIF('Exp Details'!$D$297:$D$302,'Function-Grant'!AB$4,'Exp Details'!$H$297:$H$302)</f>
        <v>0</v>
      </c>
      <c r="AC112" s="39">
        <f>SUMIF('Exp Details'!$D$297:$D$302,'Function-Grant'!AC$4,'Exp Details'!$H$297:$H$302)</f>
        <v>0</v>
      </c>
      <c r="AD112" s="39">
        <f>SUMIF('Exp Details'!$D$297:$D$302,'Function-Grant'!AD$4,'Exp Details'!$H$297:$H$302)</f>
        <v>0</v>
      </c>
      <c r="AE112" s="39">
        <f>SUMIF('Exp Details'!$D$297:$D$302,'Function-Grant'!AE$4,'Exp Details'!$H$297:$H$302)</f>
        <v>0</v>
      </c>
      <c r="AF112" s="39">
        <f>SUMIF('Exp Details'!$D$297:$D$302,'Function-Grant'!AF$4,'Exp Details'!$H$297:$H$302)</f>
        <v>0</v>
      </c>
      <c r="AG112" s="39">
        <f>SUMIF('Exp Details'!$D$297:$D$302,'Function-Grant'!AG$4,'Exp Details'!$H$297:$H$302)</f>
        <v>0</v>
      </c>
      <c r="AH112" s="39">
        <f>SUMIF('Exp Details'!$D$297:$D$302,'Function-Grant'!AH$4,'Exp Details'!$H$297:$H$302)</f>
        <v>0</v>
      </c>
      <c r="AI112" s="39">
        <f>SUMIF('Exp Details'!$D$297:$D$302,'Function-Grant'!AI$4,'Exp Details'!$H$297:$H$302)</f>
        <v>0</v>
      </c>
      <c r="AJ112" s="39">
        <f>SUMIF('Exp Details'!$D$297:$D$302,'Function-Grant'!AJ$4,'Exp Details'!$H$297:$H$302)</f>
        <v>0</v>
      </c>
      <c r="AK112" s="39">
        <f>SUMIF('Exp Details'!$D$297:$D$302,'Function-Grant'!AK$4,'Exp Details'!$H$297:$H$302)</f>
        <v>0</v>
      </c>
      <c r="AL112" s="39">
        <f>SUMIF('Exp Details'!$D$297:$D$302,'Function-Grant'!AL$4,'Exp Details'!$H$297:$H$302)</f>
        <v>0</v>
      </c>
      <c r="AM112" s="41"/>
      <c r="AN112" s="62">
        <f>SUM(E112:AM112)</f>
        <v>0</v>
      </c>
      <c r="AO112" s="41"/>
      <c r="AP112" s="259">
        <f>AN112-'FY21'!S112</f>
        <v>0</v>
      </c>
    </row>
    <row r="113" spans="1:42" s="37" customFormat="1" ht="12" x14ac:dyDescent="0.2">
      <c r="C113" s="38"/>
      <c r="E113" s="50">
        <f t="shared" ref="E113:AL113" si="46">SUBTOTAL(9,E111:E112)</f>
        <v>0</v>
      </c>
      <c r="F113" s="50">
        <f>SUBTOTAL(9,F111:F112)</f>
        <v>0</v>
      </c>
      <c r="G113" s="50">
        <f>SUBTOTAL(9,G111:G112)</f>
        <v>0</v>
      </c>
      <c r="H113" s="50">
        <f t="shared" si="46"/>
        <v>0</v>
      </c>
      <c r="I113" s="50">
        <f t="shared" si="46"/>
        <v>0</v>
      </c>
      <c r="J113" s="50">
        <f t="shared" si="46"/>
        <v>0</v>
      </c>
      <c r="K113" s="50">
        <f t="shared" si="46"/>
        <v>0</v>
      </c>
      <c r="L113" s="50">
        <f t="shared" si="46"/>
        <v>0</v>
      </c>
      <c r="M113" s="50">
        <f t="shared" si="46"/>
        <v>0</v>
      </c>
      <c r="N113" s="50">
        <f t="shared" si="46"/>
        <v>0</v>
      </c>
      <c r="O113" s="50">
        <f t="shared" si="46"/>
        <v>0</v>
      </c>
      <c r="P113" s="50">
        <f t="shared" ref="P113" si="47">SUBTOTAL(9,P111:P112)</f>
        <v>0</v>
      </c>
      <c r="Q113" s="50">
        <f t="shared" si="46"/>
        <v>0</v>
      </c>
      <c r="R113" s="50">
        <f t="shared" ref="R113:AG113" si="48">SUBTOTAL(9,R111:R112)</f>
        <v>0</v>
      </c>
      <c r="S113" s="50">
        <f t="shared" si="48"/>
        <v>0</v>
      </c>
      <c r="T113" s="50">
        <f t="shared" si="48"/>
        <v>0</v>
      </c>
      <c r="U113" s="50">
        <f t="shared" si="48"/>
        <v>0</v>
      </c>
      <c r="V113" s="50">
        <f t="shared" si="48"/>
        <v>0</v>
      </c>
      <c r="W113" s="50">
        <f t="shared" si="48"/>
        <v>0</v>
      </c>
      <c r="X113" s="50">
        <f t="shared" si="48"/>
        <v>0</v>
      </c>
      <c r="Y113" s="50">
        <f t="shared" si="48"/>
        <v>0</v>
      </c>
      <c r="Z113" s="50">
        <f t="shared" si="48"/>
        <v>0</v>
      </c>
      <c r="AA113" s="50">
        <f t="shared" si="48"/>
        <v>0</v>
      </c>
      <c r="AB113" s="50">
        <f t="shared" si="48"/>
        <v>0</v>
      </c>
      <c r="AC113" s="50">
        <f t="shared" si="48"/>
        <v>0</v>
      </c>
      <c r="AD113" s="50">
        <f t="shared" si="48"/>
        <v>0</v>
      </c>
      <c r="AE113" s="50">
        <f t="shared" si="48"/>
        <v>0</v>
      </c>
      <c r="AF113" s="50">
        <f t="shared" si="48"/>
        <v>0</v>
      </c>
      <c r="AG113" s="50">
        <f t="shared" si="48"/>
        <v>0</v>
      </c>
      <c r="AH113" s="50">
        <f t="shared" si="46"/>
        <v>0</v>
      </c>
      <c r="AI113" s="50">
        <f t="shared" si="46"/>
        <v>0</v>
      </c>
      <c r="AJ113" s="50">
        <f t="shared" si="46"/>
        <v>0</v>
      </c>
      <c r="AK113" s="50">
        <f t="shared" si="46"/>
        <v>0</v>
      </c>
      <c r="AL113" s="50">
        <f t="shared" si="46"/>
        <v>0</v>
      </c>
      <c r="AM113" s="41"/>
      <c r="AN113" s="61">
        <f>SUBTOTAL(9,AN111:AN112)</f>
        <v>0</v>
      </c>
      <c r="AO113" s="41"/>
      <c r="AP113" s="259">
        <f>AN113-'FY21'!S113</f>
        <v>0</v>
      </c>
    </row>
    <row r="114" spans="1:42" s="37" customFormat="1" ht="9" customHeight="1" x14ac:dyDescent="0.2">
      <c r="C114" s="38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41"/>
      <c r="AN114" s="59"/>
      <c r="AO114" s="41"/>
      <c r="AP114" s="259">
        <f>AN114-'FY21'!S114</f>
        <v>0</v>
      </c>
    </row>
    <row r="115" spans="1:42" s="45" customFormat="1" ht="12" x14ac:dyDescent="0.2">
      <c r="A115" s="45" t="s">
        <v>107</v>
      </c>
      <c r="C115" s="46"/>
      <c r="E115" s="43">
        <f t="shared" ref="E115:AL115" si="49">SUBTOTAL(9,E30:E114)</f>
        <v>0</v>
      </c>
      <c r="F115" s="43">
        <f t="shared" si="49"/>
        <v>272758.3247545</v>
      </c>
      <c r="G115" s="43">
        <f t="shared" si="49"/>
        <v>0</v>
      </c>
      <c r="H115" s="43">
        <f t="shared" si="49"/>
        <v>0</v>
      </c>
      <c r="I115" s="43">
        <f t="shared" si="49"/>
        <v>0</v>
      </c>
      <c r="J115" s="43">
        <f t="shared" si="49"/>
        <v>0</v>
      </c>
      <c r="K115" s="43">
        <f t="shared" si="49"/>
        <v>0</v>
      </c>
      <c r="L115" s="43">
        <f t="shared" si="49"/>
        <v>0</v>
      </c>
      <c r="M115" s="43">
        <f t="shared" si="49"/>
        <v>0</v>
      </c>
      <c r="N115" s="43">
        <f t="shared" si="49"/>
        <v>102316.48770750001</v>
      </c>
      <c r="O115" s="43">
        <f t="shared" si="49"/>
        <v>6024</v>
      </c>
      <c r="P115" s="43">
        <f t="shared" si="49"/>
        <v>10184</v>
      </c>
      <c r="Q115" s="43">
        <f t="shared" si="49"/>
        <v>0</v>
      </c>
      <c r="R115" s="43">
        <f t="shared" si="49"/>
        <v>0</v>
      </c>
      <c r="S115" s="43">
        <f t="shared" si="49"/>
        <v>500</v>
      </c>
      <c r="T115" s="43">
        <f t="shared" si="49"/>
        <v>32760</v>
      </c>
      <c r="U115" s="43">
        <f t="shared" si="49"/>
        <v>1800</v>
      </c>
      <c r="V115" s="43">
        <f t="shared" si="49"/>
        <v>1725</v>
      </c>
      <c r="W115" s="43">
        <f t="shared" si="49"/>
        <v>0</v>
      </c>
      <c r="X115" s="43">
        <f t="shared" si="49"/>
        <v>0</v>
      </c>
      <c r="Y115" s="43">
        <f t="shared" si="49"/>
        <v>0</v>
      </c>
      <c r="Z115" s="43">
        <f t="shared" si="49"/>
        <v>192</v>
      </c>
      <c r="AA115" s="43">
        <f t="shared" si="49"/>
        <v>0</v>
      </c>
      <c r="AB115" s="43">
        <f t="shared" si="49"/>
        <v>51000</v>
      </c>
      <c r="AC115" s="43">
        <f t="shared" si="49"/>
        <v>0</v>
      </c>
      <c r="AD115" s="43">
        <f t="shared" si="49"/>
        <v>0</v>
      </c>
      <c r="AE115" s="43">
        <f t="shared" si="49"/>
        <v>0</v>
      </c>
      <c r="AF115" s="43">
        <f t="shared" si="49"/>
        <v>0</v>
      </c>
      <c r="AG115" s="43">
        <f t="shared" si="49"/>
        <v>0</v>
      </c>
      <c r="AH115" s="43">
        <f t="shared" si="49"/>
        <v>0</v>
      </c>
      <c r="AI115" s="43">
        <f t="shared" si="49"/>
        <v>0</v>
      </c>
      <c r="AJ115" s="43">
        <f t="shared" si="49"/>
        <v>0</v>
      </c>
      <c r="AK115" s="43">
        <f t="shared" si="49"/>
        <v>0</v>
      </c>
      <c r="AL115" s="43">
        <f t="shared" si="49"/>
        <v>0</v>
      </c>
      <c r="AM115" s="48"/>
      <c r="AN115" s="60">
        <f>SUBTOTAL(9,AN30:AN114)</f>
        <v>479259.81246199994</v>
      </c>
      <c r="AO115" s="48"/>
      <c r="AP115" s="259">
        <f>AN115-'FY21'!S115</f>
        <v>0</v>
      </c>
    </row>
    <row r="116" spans="1:42" s="37" customFormat="1" ht="12" x14ac:dyDescent="0.2">
      <c r="C116" s="38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41"/>
      <c r="AN116" s="59"/>
      <c r="AO116" s="41"/>
      <c r="AP116" s="259">
        <f>AN116-'FY21'!S116</f>
        <v>0</v>
      </c>
    </row>
    <row r="117" spans="1:42" s="45" customFormat="1" ht="12.75" thickBot="1" x14ac:dyDescent="0.25">
      <c r="A117" s="45" t="s">
        <v>108</v>
      </c>
      <c r="C117" s="46"/>
      <c r="E117" s="181">
        <f t="shared" ref="E117:AL117" si="50">E27-E115</f>
        <v>443519.99999999994</v>
      </c>
      <c r="F117" s="181">
        <f t="shared" si="50"/>
        <v>-272758.3247545</v>
      </c>
      <c r="G117" s="181">
        <f t="shared" si="50"/>
        <v>0</v>
      </c>
      <c r="H117" s="181">
        <f t="shared" si="50"/>
        <v>0</v>
      </c>
      <c r="I117" s="181">
        <f t="shared" si="50"/>
        <v>0</v>
      </c>
      <c r="J117" s="181">
        <f t="shared" si="50"/>
        <v>0</v>
      </c>
      <c r="K117" s="181">
        <f t="shared" si="50"/>
        <v>0</v>
      </c>
      <c r="L117" s="181">
        <f t="shared" si="50"/>
        <v>0</v>
      </c>
      <c r="M117" s="181">
        <f t="shared" si="50"/>
        <v>0</v>
      </c>
      <c r="N117" s="181">
        <f t="shared" si="50"/>
        <v>-102316.48770750001</v>
      </c>
      <c r="O117" s="181">
        <f t="shared" si="50"/>
        <v>-6024</v>
      </c>
      <c r="P117" s="181">
        <f t="shared" si="50"/>
        <v>-10184</v>
      </c>
      <c r="Q117" s="181">
        <f t="shared" si="50"/>
        <v>0</v>
      </c>
      <c r="R117" s="181">
        <f t="shared" si="50"/>
        <v>0</v>
      </c>
      <c r="S117" s="181">
        <f t="shared" si="50"/>
        <v>-500</v>
      </c>
      <c r="T117" s="181">
        <f t="shared" si="50"/>
        <v>-32760</v>
      </c>
      <c r="U117" s="181">
        <f t="shared" si="50"/>
        <v>-1800</v>
      </c>
      <c r="V117" s="181">
        <f t="shared" si="50"/>
        <v>-1725</v>
      </c>
      <c r="W117" s="181">
        <f t="shared" si="50"/>
        <v>0</v>
      </c>
      <c r="X117" s="181">
        <f t="shared" si="50"/>
        <v>0</v>
      </c>
      <c r="Y117" s="181">
        <f t="shared" si="50"/>
        <v>192</v>
      </c>
      <c r="Z117" s="181">
        <f t="shared" si="50"/>
        <v>-192</v>
      </c>
      <c r="AA117" s="181">
        <f t="shared" si="50"/>
        <v>51000</v>
      </c>
      <c r="AB117" s="181">
        <f t="shared" si="50"/>
        <v>-51000</v>
      </c>
      <c r="AC117" s="181">
        <f t="shared" si="50"/>
        <v>0</v>
      </c>
      <c r="AD117" s="181">
        <f t="shared" si="50"/>
        <v>0</v>
      </c>
      <c r="AE117" s="181">
        <f t="shared" si="50"/>
        <v>0</v>
      </c>
      <c r="AF117" s="181">
        <f t="shared" si="50"/>
        <v>0</v>
      </c>
      <c r="AG117" s="181">
        <f t="shared" si="50"/>
        <v>0</v>
      </c>
      <c r="AH117" s="181">
        <f t="shared" si="50"/>
        <v>0</v>
      </c>
      <c r="AI117" s="181">
        <f t="shared" si="50"/>
        <v>0</v>
      </c>
      <c r="AJ117" s="181">
        <f t="shared" si="50"/>
        <v>0</v>
      </c>
      <c r="AK117" s="181">
        <f t="shared" si="50"/>
        <v>0</v>
      </c>
      <c r="AL117" s="181">
        <f t="shared" si="50"/>
        <v>0</v>
      </c>
      <c r="AM117" s="191"/>
      <c r="AN117" s="192">
        <f>AN27-AN115</f>
        <v>15452.187537999998</v>
      </c>
      <c r="AO117" s="191"/>
      <c r="AP117" s="259">
        <f>AN117-'FY21'!S117</f>
        <v>0</v>
      </c>
    </row>
    <row r="118" spans="1:42" s="37" customFormat="1" ht="12.75" thickTop="1" x14ac:dyDescent="0.2">
      <c r="C118" s="38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41"/>
      <c r="AN118" s="59"/>
      <c r="AO118" s="41"/>
      <c r="AP118" s="259"/>
    </row>
    <row r="119" spans="1:42" s="37" customFormat="1" ht="12" x14ac:dyDescent="0.2">
      <c r="C119" s="38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41"/>
      <c r="AN119" s="40"/>
      <c r="AO119" s="41"/>
      <c r="AP119" s="259"/>
    </row>
    <row r="120" spans="1:42" s="37" customFormat="1" ht="12" x14ac:dyDescent="0.2">
      <c r="C120" s="38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41"/>
      <c r="AN120" s="40"/>
      <c r="AO120" s="41"/>
      <c r="AP120" s="259"/>
    </row>
    <row r="121" spans="1:42" s="37" customFormat="1" ht="12" x14ac:dyDescent="0.2">
      <c r="C121" s="38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41"/>
      <c r="AN121" s="40"/>
      <c r="AO121" s="41"/>
      <c r="AP121" s="259"/>
    </row>
    <row r="122" spans="1:42" s="37" customFormat="1" ht="12" x14ac:dyDescent="0.2">
      <c r="C122" s="38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41"/>
      <c r="AN122" s="40"/>
      <c r="AO122" s="41"/>
      <c r="AP122" s="259"/>
    </row>
    <row r="123" spans="1:42" s="37" customFormat="1" ht="12" x14ac:dyDescent="0.2">
      <c r="C123" s="38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41"/>
      <c r="AN123" s="40"/>
      <c r="AO123" s="41"/>
      <c r="AP123" s="259"/>
    </row>
    <row r="124" spans="1:42" s="37" customFormat="1" ht="12" x14ac:dyDescent="0.2">
      <c r="C124" s="38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41"/>
      <c r="AN124" s="40"/>
      <c r="AO124" s="41"/>
      <c r="AP124" s="259"/>
    </row>
    <row r="125" spans="1:42" s="37" customFormat="1" ht="12" x14ac:dyDescent="0.2">
      <c r="C125" s="38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41"/>
      <c r="AN125" s="40"/>
      <c r="AO125" s="41"/>
      <c r="AP125" s="259"/>
    </row>
    <row r="126" spans="1:42" s="37" customFormat="1" ht="12" x14ac:dyDescent="0.2">
      <c r="C126" s="38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41"/>
      <c r="AN126" s="40"/>
      <c r="AO126" s="41"/>
      <c r="AP126" s="259"/>
    </row>
    <row r="127" spans="1:42" s="37" customFormat="1" ht="12" x14ac:dyDescent="0.2">
      <c r="C127" s="38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41"/>
      <c r="AN127" s="40"/>
      <c r="AO127" s="41"/>
      <c r="AP127" s="259"/>
    </row>
    <row r="128" spans="1:42" s="37" customFormat="1" ht="12" x14ac:dyDescent="0.2">
      <c r="C128" s="38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41"/>
      <c r="AN128" s="40"/>
      <c r="AO128" s="41"/>
      <c r="AP128" s="259"/>
    </row>
    <row r="129" spans="3:42" s="37" customFormat="1" ht="12" x14ac:dyDescent="0.2">
      <c r="C129" s="38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41"/>
      <c r="AN129" s="40"/>
      <c r="AO129" s="41"/>
      <c r="AP129" s="259"/>
    </row>
    <row r="130" spans="3:42" s="37" customFormat="1" ht="12" x14ac:dyDescent="0.2">
      <c r="C130" s="38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41"/>
      <c r="AN130" s="40"/>
      <c r="AO130" s="41"/>
      <c r="AP130" s="259"/>
    </row>
    <row r="131" spans="3:42" s="37" customFormat="1" ht="12" x14ac:dyDescent="0.2">
      <c r="C131" s="38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41"/>
      <c r="AN131" s="40"/>
      <c r="AO131" s="41"/>
      <c r="AP131" s="259"/>
    </row>
    <row r="132" spans="3:42" s="37" customFormat="1" ht="12" x14ac:dyDescent="0.2">
      <c r="C132" s="38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41"/>
      <c r="AN132" s="40"/>
      <c r="AO132" s="41"/>
      <c r="AP132" s="259"/>
    </row>
    <row r="133" spans="3:42" s="37" customFormat="1" ht="12" x14ac:dyDescent="0.2">
      <c r="C133" s="38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41"/>
      <c r="AN133" s="40"/>
      <c r="AO133" s="41"/>
      <c r="AP133" s="259"/>
    </row>
    <row r="134" spans="3:42" s="37" customFormat="1" ht="12" x14ac:dyDescent="0.2">
      <c r="C134" s="38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41"/>
      <c r="AN134" s="40"/>
      <c r="AO134" s="41"/>
      <c r="AP134" s="259"/>
    </row>
    <row r="135" spans="3:42" s="37" customFormat="1" ht="12" x14ac:dyDescent="0.2">
      <c r="C135" s="38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41"/>
      <c r="AN135" s="40"/>
      <c r="AO135" s="41"/>
      <c r="AP135" s="259"/>
    </row>
    <row r="136" spans="3:42" s="37" customFormat="1" ht="12" x14ac:dyDescent="0.2">
      <c r="C136" s="38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41"/>
      <c r="AN136" s="40"/>
      <c r="AO136" s="41"/>
      <c r="AP136" s="259"/>
    </row>
    <row r="137" spans="3:42" s="37" customFormat="1" ht="12" x14ac:dyDescent="0.2">
      <c r="C137" s="38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41"/>
      <c r="AN137" s="40"/>
      <c r="AO137" s="41"/>
      <c r="AP137" s="259"/>
    </row>
    <row r="138" spans="3:42" s="37" customFormat="1" ht="12" x14ac:dyDescent="0.2">
      <c r="C138" s="38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41"/>
      <c r="AN138" s="40"/>
      <c r="AO138" s="41"/>
      <c r="AP138" s="259"/>
    </row>
    <row r="139" spans="3:42" s="37" customFormat="1" ht="12" x14ac:dyDescent="0.2">
      <c r="C139" s="38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41"/>
      <c r="AN139" s="40"/>
      <c r="AO139" s="41"/>
      <c r="AP139" s="259"/>
    </row>
    <row r="140" spans="3:42" s="37" customFormat="1" ht="12" x14ac:dyDescent="0.2">
      <c r="C140" s="38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41"/>
      <c r="AN140" s="40"/>
      <c r="AO140" s="41"/>
      <c r="AP140" s="259"/>
    </row>
    <row r="141" spans="3:42" s="37" customFormat="1" ht="12" x14ac:dyDescent="0.2">
      <c r="C141" s="38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41"/>
      <c r="AN141" s="40"/>
      <c r="AO141" s="41"/>
      <c r="AP141" s="259"/>
    </row>
    <row r="142" spans="3:42" s="37" customFormat="1" ht="12" x14ac:dyDescent="0.2">
      <c r="C142" s="38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41"/>
      <c r="AN142" s="40"/>
      <c r="AO142" s="41"/>
      <c r="AP142" s="259"/>
    </row>
    <row r="143" spans="3:42" s="37" customFormat="1" ht="12" x14ac:dyDescent="0.2">
      <c r="C143" s="38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41"/>
      <c r="AN143" s="40"/>
      <c r="AO143" s="41"/>
      <c r="AP143" s="259"/>
    </row>
    <row r="144" spans="3:42" s="37" customFormat="1" ht="12" x14ac:dyDescent="0.2">
      <c r="C144" s="38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41"/>
      <c r="AN144" s="40"/>
      <c r="AO144" s="41"/>
      <c r="AP144" s="259"/>
    </row>
    <row r="145" spans="3:42" s="37" customFormat="1" ht="12" x14ac:dyDescent="0.2">
      <c r="C145" s="38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41"/>
      <c r="AN145" s="40"/>
      <c r="AO145" s="41"/>
      <c r="AP145" s="259"/>
    </row>
    <row r="146" spans="3:42" s="37" customFormat="1" ht="12" x14ac:dyDescent="0.2">
      <c r="C146" s="38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41"/>
      <c r="AN146" s="40"/>
      <c r="AO146" s="41"/>
      <c r="AP146" s="259"/>
    </row>
    <row r="147" spans="3:42" s="37" customFormat="1" ht="12" x14ac:dyDescent="0.2">
      <c r="C147" s="38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41"/>
      <c r="AN147" s="40"/>
      <c r="AO147" s="41"/>
      <c r="AP147" s="259"/>
    </row>
    <row r="148" spans="3:42" s="37" customFormat="1" ht="12" x14ac:dyDescent="0.2">
      <c r="C148" s="38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41"/>
      <c r="AN148" s="40"/>
      <c r="AO148" s="41"/>
      <c r="AP148" s="259"/>
    </row>
    <row r="149" spans="3:42" s="37" customFormat="1" ht="12" x14ac:dyDescent="0.2">
      <c r="C149" s="38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41"/>
      <c r="AN149" s="40"/>
      <c r="AO149" s="41"/>
      <c r="AP149" s="259"/>
    </row>
    <row r="150" spans="3:42" s="37" customFormat="1" ht="12" x14ac:dyDescent="0.2">
      <c r="C150" s="38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41"/>
      <c r="AN150" s="40"/>
      <c r="AO150" s="41"/>
      <c r="AP150" s="259"/>
    </row>
    <row r="151" spans="3:42" s="37" customFormat="1" ht="12" x14ac:dyDescent="0.2">
      <c r="C151" s="38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41"/>
      <c r="AN151" s="40"/>
      <c r="AO151" s="41"/>
      <c r="AP151" s="259"/>
    </row>
    <row r="152" spans="3:42" s="37" customFormat="1" ht="12" x14ac:dyDescent="0.2">
      <c r="C152" s="38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41"/>
      <c r="AN152" s="40"/>
      <c r="AO152" s="41"/>
      <c r="AP152" s="259"/>
    </row>
    <row r="153" spans="3:42" s="37" customFormat="1" ht="12" x14ac:dyDescent="0.2">
      <c r="C153" s="38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41"/>
      <c r="AN153" s="40"/>
      <c r="AO153" s="41"/>
      <c r="AP153" s="259"/>
    </row>
    <row r="154" spans="3:42" s="37" customFormat="1" ht="12" x14ac:dyDescent="0.2">
      <c r="C154" s="38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41"/>
      <c r="AN154" s="40"/>
      <c r="AO154" s="41"/>
      <c r="AP154" s="259"/>
    </row>
    <row r="155" spans="3:42" s="37" customFormat="1" ht="12" x14ac:dyDescent="0.2">
      <c r="C155" s="38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41"/>
      <c r="AN155" s="40"/>
      <c r="AO155" s="41"/>
      <c r="AP155" s="259"/>
    </row>
    <row r="156" spans="3:42" s="37" customFormat="1" ht="12" x14ac:dyDescent="0.2">
      <c r="C156" s="38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41"/>
      <c r="AN156" s="40"/>
      <c r="AO156" s="41"/>
      <c r="AP156" s="259"/>
    </row>
    <row r="157" spans="3:42" s="37" customFormat="1" ht="12" x14ac:dyDescent="0.2">
      <c r="C157" s="38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41"/>
      <c r="AN157" s="40"/>
      <c r="AO157" s="41"/>
      <c r="AP157" s="259"/>
    </row>
    <row r="158" spans="3:42" s="37" customFormat="1" ht="12" x14ac:dyDescent="0.2">
      <c r="C158" s="38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41"/>
      <c r="AN158" s="40"/>
      <c r="AO158" s="41"/>
      <c r="AP158" s="259"/>
    </row>
    <row r="159" spans="3:42" s="37" customFormat="1" ht="12" x14ac:dyDescent="0.2">
      <c r="C159" s="38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41"/>
      <c r="AN159" s="40"/>
      <c r="AO159" s="41"/>
      <c r="AP159" s="259"/>
    </row>
    <row r="160" spans="3:42" s="37" customFormat="1" ht="12" x14ac:dyDescent="0.2">
      <c r="C160" s="38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41"/>
      <c r="AN160" s="40"/>
      <c r="AO160" s="41"/>
      <c r="AP160" s="259"/>
    </row>
    <row r="161" spans="3:42" s="37" customFormat="1" ht="12" x14ac:dyDescent="0.2">
      <c r="C161" s="38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41"/>
      <c r="AN161" s="40"/>
      <c r="AO161" s="41"/>
      <c r="AP161" s="259"/>
    </row>
    <row r="162" spans="3:42" s="37" customFormat="1" ht="12" x14ac:dyDescent="0.2">
      <c r="C162" s="38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41"/>
      <c r="AN162" s="40"/>
      <c r="AO162" s="41"/>
      <c r="AP162" s="259"/>
    </row>
    <row r="163" spans="3:42" s="37" customFormat="1" ht="12" x14ac:dyDescent="0.2">
      <c r="C163" s="38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41"/>
      <c r="AN163" s="40"/>
      <c r="AO163" s="41"/>
      <c r="AP163" s="259"/>
    </row>
    <row r="164" spans="3:42" s="37" customFormat="1" ht="12" x14ac:dyDescent="0.2">
      <c r="C164" s="38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41"/>
      <c r="AN164" s="40"/>
      <c r="AO164" s="41"/>
      <c r="AP164" s="259"/>
    </row>
    <row r="165" spans="3:42" s="37" customFormat="1" ht="12" x14ac:dyDescent="0.2">
      <c r="C165" s="38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41"/>
      <c r="AN165" s="40"/>
      <c r="AO165" s="41"/>
      <c r="AP165" s="259"/>
    </row>
    <row r="166" spans="3:42" s="37" customFormat="1" ht="12" x14ac:dyDescent="0.2">
      <c r="C166" s="38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41"/>
      <c r="AN166" s="40"/>
      <c r="AO166" s="41"/>
      <c r="AP166" s="259"/>
    </row>
    <row r="167" spans="3:42" s="37" customFormat="1" ht="12" x14ac:dyDescent="0.2">
      <c r="C167" s="38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41"/>
      <c r="AN167" s="40"/>
      <c r="AO167" s="41"/>
      <c r="AP167" s="259"/>
    </row>
    <row r="168" spans="3:42" s="37" customFormat="1" ht="12" x14ac:dyDescent="0.2">
      <c r="C168" s="38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41"/>
      <c r="AN168" s="40"/>
      <c r="AO168" s="41"/>
      <c r="AP168" s="259"/>
    </row>
    <row r="169" spans="3:42" s="37" customFormat="1" ht="12" x14ac:dyDescent="0.2">
      <c r="C169" s="38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41"/>
      <c r="AN169" s="40"/>
      <c r="AO169" s="41"/>
      <c r="AP169" s="259"/>
    </row>
    <row r="170" spans="3:42" s="37" customFormat="1" ht="12" x14ac:dyDescent="0.2">
      <c r="C170" s="38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41"/>
      <c r="AN170" s="40"/>
      <c r="AO170" s="41"/>
      <c r="AP170" s="259"/>
    </row>
    <row r="171" spans="3:42" s="37" customFormat="1" ht="12" x14ac:dyDescent="0.2">
      <c r="C171" s="38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41"/>
      <c r="AN171" s="40"/>
      <c r="AO171" s="41"/>
      <c r="AP171" s="259"/>
    </row>
    <row r="172" spans="3:42" s="37" customFormat="1" ht="12" x14ac:dyDescent="0.2">
      <c r="C172" s="38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41"/>
      <c r="AN172" s="40"/>
      <c r="AO172" s="41"/>
      <c r="AP172" s="259"/>
    </row>
    <row r="173" spans="3:42" s="37" customFormat="1" ht="12" x14ac:dyDescent="0.2">
      <c r="C173" s="38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41"/>
      <c r="AN173" s="40"/>
      <c r="AO173" s="41"/>
      <c r="AP173" s="259"/>
    </row>
    <row r="174" spans="3:42" s="37" customFormat="1" ht="12" x14ac:dyDescent="0.2">
      <c r="C174" s="38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41"/>
      <c r="AN174" s="40"/>
      <c r="AO174" s="41"/>
      <c r="AP174" s="259"/>
    </row>
    <row r="175" spans="3:42" s="37" customFormat="1" ht="12" x14ac:dyDescent="0.2">
      <c r="C175" s="38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41"/>
      <c r="AN175" s="40"/>
      <c r="AO175" s="41"/>
      <c r="AP175" s="259"/>
    </row>
    <row r="176" spans="3:42" s="37" customFormat="1" ht="12" x14ac:dyDescent="0.2">
      <c r="C176" s="38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41"/>
      <c r="AN176" s="40"/>
      <c r="AO176" s="41"/>
      <c r="AP176" s="259"/>
    </row>
    <row r="177" spans="3:42" s="37" customFormat="1" ht="12" x14ac:dyDescent="0.2">
      <c r="C177" s="38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41"/>
      <c r="AN177" s="40"/>
      <c r="AO177" s="41"/>
      <c r="AP177" s="259"/>
    </row>
    <row r="178" spans="3:42" s="37" customFormat="1" ht="12" x14ac:dyDescent="0.2">
      <c r="C178" s="38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41"/>
      <c r="AN178" s="40"/>
      <c r="AO178" s="41"/>
      <c r="AP178" s="259"/>
    </row>
    <row r="179" spans="3:42" s="37" customFormat="1" ht="12" x14ac:dyDescent="0.2">
      <c r="C179" s="38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41"/>
      <c r="AN179" s="40"/>
      <c r="AO179" s="41"/>
      <c r="AP179" s="259"/>
    </row>
    <row r="180" spans="3:42" s="37" customFormat="1" ht="12" x14ac:dyDescent="0.2">
      <c r="C180" s="38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41"/>
      <c r="AN180" s="40"/>
      <c r="AO180" s="41"/>
      <c r="AP180" s="259"/>
    </row>
    <row r="181" spans="3:42" s="37" customFormat="1" ht="12" x14ac:dyDescent="0.2">
      <c r="C181" s="38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41"/>
      <c r="AN181" s="40"/>
      <c r="AO181" s="41"/>
      <c r="AP181" s="259"/>
    </row>
    <row r="182" spans="3:42" s="37" customFormat="1" ht="12" x14ac:dyDescent="0.2">
      <c r="C182" s="38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41"/>
      <c r="AN182" s="40"/>
      <c r="AO182" s="41"/>
      <c r="AP182" s="259"/>
    </row>
    <row r="183" spans="3:42" s="37" customFormat="1" ht="12" x14ac:dyDescent="0.2">
      <c r="C183" s="38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41"/>
      <c r="AN183" s="40"/>
      <c r="AO183" s="41"/>
      <c r="AP183" s="259"/>
    </row>
    <row r="184" spans="3:42" s="37" customFormat="1" ht="12" x14ac:dyDescent="0.2">
      <c r="C184" s="38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41"/>
      <c r="AN184" s="40"/>
      <c r="AO184" s="41"/>
      <c r="AP184" s="259"/>
    </row>
    <row r="185" spans="3:42" s="37" customFormat="1" ht="12" x14ac:dyDescent="0.2">
      <c r="C185" s="38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41"/>
      <c r="AN185" s="40"/>
      <c r="AO185" s="41"/>
      <c r="AP185" s="259"/>
    </row>
    <row r="186" spans="3:42" s="37" customFormat="1" ht="12" x14ac:dyDescent="0.2">
      <c r="C186" s="38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41"/>
      <c r="AN186" s="40"/>
      <c r="AO186" s="41"/>
      <c r="AP186" s="259"/>
    </row>
    <row r="187" spans="3:42" s="37" customFormat="1" ht="12" x14ac:dyDescent="0.2">
      <c r="C187" s="38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41"/>
      <c r="AN187" s="40"/>
      <c r="AO187" s="41"/>
      <c r="AP187" s="259"/>
    </row>
    <row r="188" spans="3:42" s="37" customFormat="1" ht="12" x14ac:dyDescent="0.2">
      <c r="C188" s="38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41"/>
      <c r="AN188" s="40"/>
      <c r="AO188" s="41"/>
      <c r="AP188" s="259"/>
    </row>
    <row r="189" spans="3:42" s="37" customFormat="1" ht="12" x14ac:dyDescent="0.2">
      <c r="C189" s="38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41"/>
      <c r="AN189" s="40"/>
      <c r="AO189" s="41"/>
      <c r="AP189" s="259"/>
    </row>
    <row r="190" spans="3:42" s="37" customFormat="1" ht="12" x14ac:dyDescent="0.2">
      <c r="C190" s="38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41"/>
      <c r="AN190" s="40"/>
      <c r="AO190" s="41"/>
      <c r="AP190" s="259"/>
    </row>
    <row r="191" spans="3:42" s="37" customFormat="1" ht="12" x14ac:dyDescent="0.2">
      <c r="C191" s="38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41"/>
      <c r="AN191" s="40"/>
      <c r="AO191" s="41"/>
      <c r="AP191" s="259"/>
    </row>
    <row r="192" spans="3:42" s="37" customFormat="1" ht="12" x14ac:dyDescent="0.2">
      <c r="C192" s="38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41"/>
      <c r="AN192" s="40"/>
      <c r="AO192" s="41"/>
      <c r="AP192" s="259"/>
    </row>
    <row r="193" spans="3:42" s="37" customFormat="1" ht="12" x14ac:dyDescent="0.2">
      <c r="C193" s="38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41"/>
      <c r="AN193" s="40"/>
      <c r="AO193" s="41"/>
      <c r="AP193" s="259"/>
    </row>
    <row r="194" spans="3:42" s="37" customFormat="1" ht="12" x14ac:dyDescent="0.2">
      <c r="C194" s="38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41"/>
      <c r="AN194" s="40"/>
      <c r="AO194" s="41"/>
      <c r="AP194" s="259"/>
    </row>
    <row r="195" spans="3:42" s="37" customFormat="1" ht="12" x14ac:dyDescent="0.2">
      <c r="C195" s="38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41"/>
      <c r="AN195" s="40"/>
      <c r="AO195" s="41"/>
      <c r="AP195" s="259"/>
    </row>
    <row r="196" spans="3:42" s="37" customFormat="1" ht="12" x14ac:dyDescent="0.2">
      <c r="C196" s="38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41"/>
      <c r="AN196" s="40"/>
      <c r="AO196" s="41"/>
      <c r="AP196" s="259"/>
    </row>
    <row r="197" spans="3:42" s="37" customFormat="1" ht="12" x14ac:dyDescent="0.2">
      <c r="C197" s="38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41"/>
      <c r="AN197" s="40"/>
      <c r="AO197" s="41"/>
      <c r="AP197" s="259"/>
    </row>
    <row r="198" spans="3:42" s="37" customFormat="1" ht="12" x14ac:dyDescent="0.2">
      <c r="C198" s="38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41"/>
      <c r="AN198" s="40"/>
      <c r="AO198" s="41"/>
      <c r="AP198" s="259"/>
    </row>
    <row r="199" spans="3:42" s="37" customFormat="1" ht="12" x14ac:dyDescent="0.2">
      <c r="C199" s="38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41"/>
      <c r="AN199" s="40"/>
      <c r="AO199" s="41"/>
      <c r="AP199" s="259"/>
    </row>
    <row r="200" spans="3:42" s="37" customFormat="1" ht="12" x14ac:dyDescent="0.2">
      <c r="C200" s="38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41"/>
      <c r="AN200" s="40"/>
      <c r="AO200" s="41"/>
      <c r="AP200" s="259"/>
    </row>
    <row r="201" spans="3:42" s="37" customFormat="1" ht="12" x14ac:dyDescent="0.2">
      <c r="C201" s="38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41"/>
      <c r="AN201" s="40"/>
      <c r="AO201" s="41"/>
      <c r="AP201" s="259"/>
    </row>
    <row r="202" spans="3:42" s="37" customFormat="1" ht="12" x14ac:dyDescent="0.2">
      <c r="C202" s="38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41"/>
      <c r="AN202" s="40"/>
      <c r="AO202" s="41"/>
      <c r="AP202" s="259"/>
    </row>
    <row r="203" spans="3:42" s="37" customFormat="1" ht="12" x14ac:dyDescent="0.2">
      <c r="C203" s="38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41"/>
      <c r="AN203" s="40"/>
      <c r="AO203" s="41"/>
      <c r="AP203" s="259"/>
    </row>
    <row r="204" spans="3:42" s="37" customFormat="1" ht="12" x14ac:dyDescent="0.2">
      <c r="C204" s="38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  <c r="AL204" s="39"/>
      <c r="AM204" s="41"/>
      <c r="AN204" s="40"/>
      <c r="AO204" s="41"/>
      <c r="AP204" s="259"/>
    </row>
    <row r="205" spans="3:42" s="37" customFormat="1" ht="12" x14ac:dyDescent="0.2">
      <c r="C205" s="38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/>
      <c r="AL205" s="39"/>
      <c r="AM205" s="41"/>
      <c r="AN205" s="40"/>
      <c r="AO205" s="41"/>
      <c r="AP205" s="259"/>
    </row>
    <row r="206" spans="3:42" s="37" customFormat="1" ht="12" x14ac:dyDescent="0.2">
      <c r="C206" s="38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41"/>
      <c r="AN206" s="40"/>
      <c r="AO206" s="41"/>
      <c r="AP206" s="259"/>
    </row>
    <row r="207" spans="3:42" s="37" customFormat="1" ht="12" x14ac:dyDescent="0.2">
      <c r="C207" s="38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41"/>
      <c r="AN207" s="40"/>
      <c r="AO207" s="41"/>
      <c r="AP207" s="259"/>
    </row>
    <row r="208" spans="3:42" s="37" customFormat="1" ht="12" x14ac:dyDescent="0.2">
      <c r="C208" s="38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 s="39"/>
      <c r="AL208" s="39"/>
      <c r="AM208" s="41"/>
      <c r="AN208" s="40"/>
      <c r="AO208" s="41"/>
      <c r="AP208" s="259"/>
    </row>
    <row r="209" spans="3:42" s="37" customFormat="1" ht="12" x14ac:dyDescent="0.2">
      <c r="C209" s="38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/>
      <c r="AL209" s="39"/>
      <c r="AM209" s="41"/>
      <c r="AN209" s="40"/>
      <c r="AO209" s="41"/>
      <c r="AP209" s="259"/>
    </row>
    <row r="210" spans="3:42" s="37" customFormat="1" ht="12" x14ac:dyDescent="0.2">
      <c r="C210" s="38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41"/>
      <c r="AN210" s="40"/>
      <c r="AO210" s="41"/>
      <c r="AP210" s="259"/>
    </row>
    <row r="211" spans="3:42" s="37" customFormat="1" ht="12" x14ac:dyDescent="0.2">
      <c r="C211" s="38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41"/>
      <c r="AN211" s="40"/>
      <c r="AO211" s="41"/>
      <c r="AP211" s="259"/>
    </row>
    <row r="212" spans="3:42" s="37" customFormat="1" ht="12" x14ac:dyDescent="0.2">
      <c r="C212" s="38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41"/>
      <c r="AN212" s="40"/>
      <c r="AO212" s="41"/>
      <c r="AP212" s="259"/>
    </row>
    <row r="213" spans="3:42" s="37" customFormat="1" ht="12" x14ac:dyDescent="0.2">
      <c r="C213" s="38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41"/>
      <c r="AN213" s="40"/>
      <c r="AO213" s="41"/>
      <c r="AP213" s="259"/>
    </row>
    <row r="214" spans="3:42" s="37" customFormat="1" ht="12" x14ac:dyDescent="0.2">
      <c r="C214" s="38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41"/>
      <c r="AN214" s="40"/>
      <c r="AO214" s="41"/>
      <c r="AP214" s="259"/>
    </row>
    <row r="215" spans="3:42" s="37" customFormat="1" ht="12" x14ac:dyDescent="0.2">
      <c r="C215" s="38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41"/>
      <c r="AN215" s="40"/>
      <c r="AO215" s="41"/>
      <c r="AP215" s="259"/>
    </row>
    <row r="216" spans="3:42" s="37" customFormat="1" ht="12" x14ac:dyDescent="0.2">
      <c r="C216" s="38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41"/>
      <c r="AN216" s="40"/>
      <c r="AO216" s="41"/>
      <c r="AP216" s="259"/>
    </row>
    <row r="217" spans="3:42" s="37" customFormat="1" ht="12" x14ac:dyDescent="0.2">
      <c r="C217" s="38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41"/>
      <c r="AN217" s="40"/>
      <c r="AO217" s="41"/>
      <c r="AP217" s="259"/>
    </row>
    <row r="218" spans="3:42" s="37" customFormat="1" ht="12" x14ac:dyDescent="0.2">
      <c r="C218" s="38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41"/>
      <c r="AN218" s="40"/>
      <c r="AO218" s="41"/>
      <c r="AP218" s="259"/>
    </row>
    <row r="219" spans="3:42" s="37" customFormat="1" ht="12" x14ac:dyDescent="0.2">
      <c r="C219" s="38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41"/>
      <c r="AN219" s="40"/>
      <c r="AO219" s="41"/>
      <c r="AP219" s="259"/>
    </row>
    <row r="220" spans="3:42" s="37" customFormat="1" ht="12" x14ac:dyDescent="0.2">
      <c r="C220" s="38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41"/>
      <c r="AN220" s="40"/>
      <c r="AO220" s="41"/>
      <c r="AP220" s="259"/>
    </row>
    <row r="221" spans="3:42" s="37" customFormat="1" ht="12" x14ac:dyDescent="0.2">
      <c r="C221" s="38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41"/>
      <c r="AN221" s="40"/>
      <c r="AO221" s="41"/>
      <c r="AP221" s="259"/>
    </row>
    <row r="222" spans="3:42" s="37" customFormat="1" ht="12" x14ac:dyDescent="0.2">
      <c r="C222" s="38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  <c r="AM222" s="41"/>
      <c r="AN222" s="40"/>
      <c r="AO222" s="41"/>
      <c r="AP222" s="259"/>
    </row>
    <row r="223" spans="3:42" s="37" customFormat="1" ht="12" x14ac:dyDescent="0.2">
      <c r="C223" s="38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  <c r="AM223" s="41"/>
      <c r="AN223" s="40"/>
      <c r="AO223" s="41"/>
      <c r="AP223" s="259"/>
    </row>
    <row r="224" spans="3:42" s="37" customFormat="1" ht="12" x14ac:dyDescent="0.2">
      <c r="C224" s="38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  <c r="AM224" s="41"/>
      <c r="AN224" s="40"/>
      <c r="AO224" s="41"/>
      <c r="AP224" s="259"/>
    </row>
    <row r="225" spans="3:42" s="37" customFormat="1" ht="12" x14ac:dyDescent="0.2">
      <c r="C225" s="38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41"/>
      <c r="AN225" s="40"/>
      <c r="AO225" s="41"/>
      <c r="AP225" s="259"/>
    </row>
    <row r="226" spans="3:42" s="37" customFormat="1" ht="12" x14ac:dyDescent="0.2">
      <c r="C226" s="38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41"/>
      <c r="AN226" s="40"/>
      <c r="AO226" s="41"/>
      <c r="AP226" s="259"/>
    </row>
    <row r="227" spans="3:42" s="37" customFormat="1" ht="12" x14ac:dyDescent="0.2">
      <c r="C227" s="38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41"/>
      <c r="AN227" s="40"/>
      <c r="AO227" s="41"/>
      <c r="AP227" s="259"/>
    </row>
    <row r="228" spans="3:42" s="37" customFormat="1" ht="12" x14ac:dyDescent="0.2">
      <c r="C228" s="38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/>
      <c r="AL228" s="39"/>
      <c r="AM228" s="41"/>
      <c r="AN228" s="40"/>
      <c r="AO228" s="41"/>
      <c r="AP228" s="259"/>
    </row>
    <row r="229" spans="3:42" s="37" customFormat="1" ht="12" x14ac:dyDescent="0.2">
      <c r="C229" s="38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41"/>
      <c r="AN229" s="40"/>
      <c r="AO229" s="41"/>
      <c r="AP229" s="259"/>
    </row>
    <row r="230" spans="3:42" s="37" customFormat="1" ht="12" x14ac:dyDescent="0.2">
      <c r="C230" s="38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9"/>
      <c r="AK230" s="39"/>
      <c r="AL230" s="39"/>
      <c r="AM230" s="41"/>
      <c r="AN230" s="40"/>
      <c r="AO230" s="41"/>
      <c r="AP230" s="259"/>
    </row>
    <row r="231" spans="3:42" s="37" customFormat="1" ht="12" x14ac:dyDescent="0.2">
      <c r="C231" s="38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41"/>
      <c r="AN231" s="40"/>
      <c r="AO231" s="41"/>
      <c r="AP231" s="259"/>
    </row>
    <row r="232" spans="3:42" s="37" customFormat="1" ht="12" x14ac:dyDescent="0.2">
      <c r="C232" s="38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41"/>
      <c r="AN232" s="40"/>
      <c r="AO232" s="41"/>
      <c r="AP232" s="259"/>
    </row>
    <row r="233" spans="3:42" s="37" customFormat="1" ht="12" x14ac:dyDescent="0.2">
      <c r="C233" s="38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41"/>
      <c r="AN233" s="40"/>
      <c r="AO233" s="41"/>
      <c r="AP233" s="259"/>
    </row>
    <row r="234" spans="3:42" s="37" customFormat="1" ht="12" x14ac:dyDescent="0.2">
      <c r="C234" s="38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41"/>
      <c r="AN234" s="40"/>
      <c r="AO234" s="41"/>
      <c r="AP234" s="259"/>
    </row>
    <row r="235" spans="3:42" s="37" customFormat="1" ht="12" x14ac:dyDescent="0.2">
      <c r="C235" s="38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41"/>
      <c r="AN235" s="40"/>
      <c r="AO235" s="41"/>
      <c r="AP235" s="259"/>
    </row>
    <row r="236" spans="3:42" s="37" customFormat="1" ht="12" x14ac:dyDescent="0.2">
      <c r="C236" s="38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/>
      <c r="AK236" s="39"/>
      <c r="AL236" s="39"/>
      <c r="AM236" s="41"/>
      <c r="AN236" s="40"/>
      <c r="AO236" s="41"/>
      <c r="AP236" s="259"/>
    </row>
    <row r="237" spans="3:42" s="37" customFormat="1" ht="12" x14ac:dyDescent="0.2">
      <c r="C237" s="38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41"/>
      <c r="AN237" s="40"/>
      <c r="AO237" s="41"/>
      <c r="AP237" s="259"/>
    </row>
    <row r="238" spans="3:42" s="37" customFormat="1" ht="12" x14ac:dyDescent="0.2">
      <c r="C238" s="38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41"/>
      <c r="AN238" s="40"/>
      <c r="AO238" s="41"/>
      <c r="AP238" s="259"/>
    </row>
    <row r="239" spans="3:42" s="37" customFormat="1" ht="12" x14ac:dyDescent="0.2">
      <c r="C239" s="38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  <c r="AM239" s="41"/>
      <c r="AN239" s="40"/>
      <c r="AO239" s="41"/>
      <c r="AP239" s="259"/>
    </row>
    <row r="240" spans="3:42" s="37" customFormat="1" ht="12" x14ac:dyDescent="0.2">
      <c r="C240" s="38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41"/>
      <c r="AN240" s="40"/>
      <c r="AO240" s="41"/>
      <c r="AP240" s="259"/>
    </row>
    <row r="241" spans="3:42" s="37" customFormat="1" ht="12" x14ac:dyDescent="0.2">
      <c r="C241" s="38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41"/>
      <c r="AN241" s="40"/>
      <c r="AO241" s="41"/>
      <c r="AP241" s="259"/>
    </row>
    <row r="242" spans="3:42" s="37" customFormat="1" ht="12" x14ac:dyDescent="0.2">
      <c r="C242" s="38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41"/>
      <c r="AN242" s="40"/>
      <c r="AO242" s="41"/>
      <c r="AP242" s="259"/>
    </row>
    <row r="243" spans="3:42" s="37" customFormat="1" ht="12" x14ac:dyDescent="0.2">
      <c r="C243" s="38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41"/>
      <c r="AN243" s="40"/>
      <c r="AO243" s="41"/>
      <c r="AP243" s="259"/>
    </row>
    <row r="244" spans="3:42" s="37" customFormat="1" ht="12" x14ac:dyDescent="0.2">
      <c r="C244" s="38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41"/>
      <c r="AN244" s="40"/>
      <c r="AO244" s="41"/>
      <c r="AP244" s="259"/>
    </row>
    <row r="245" spans="3:42" s="37" customFormat="1" ht="12" x14ac:dyDescent="0.2">
      <c r="C245" s="38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41"/>
      <c r="AN245" s="40"/>
      <c r="AO245" s="41"/>
      <c r="AP245" s="259"/>
    </row>
    <row r="246" spans="3:42" s="37" customFormat="1" ht="12" x14ac:dyDescent="0.2">
      <c r="C246" s="38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41"/>
      <c r="AN246" s="40"/>
      <c r="AO246" s="41"/>
      <c r="AP246" s="259"/>
    </row>
    <row r="247" spans="3:42" s="37" customFormat="1" ht="12" x14ac:dyDescent="0.2">
      <c r="C247" s="38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9"/>
      <c r="AK247" s="39"/>
      <c r="AL247" s="39"/>
      <c r="AM247" s="41"/>
      <c r="AN247" s="40"/>
      <c r="AO247" s="41"/>
      <c r="AP247" s="259"/>
    </row>
    <row r="248" spans="3:42" s="37" customFormat="1" ht="12" x14ac:dyDescent="0.2">
      <c r="C248" s="38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  <c r="AI248" s="39"/>
      <c r="AJ248" s="39"/>
      <c r="AK248" s="39"/>
      <c r="AL248" s="39"/>
      <c r="AM248" s="41"/>
      <c r="AN248" s="40"/>
      <c r="AO248" s="41"/>
      <c r="AP248" s="259"/>
    </row>
    <row r="249" spans="3:42" s="37" customFormat="1" ht="12" x14ac:dyDescent="0.2">
      <c r="C249" s="38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39"/>
      <c r="AK249" s="39"/>
      <c r="AL249" s="39"/>
      <c r="AM249" s="41"/>
      <c r="AN249" s="40"/>
      <c r="AO249" s="41"/>
      <c r="AP249" s="259"/>
    </row>
    <row r="250" spans="3:42" s="37" customFormat="1" ht="12" x14ac:dyDescent="0.2">
      <c r="C250" s="38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9"/>
      <c r="AK250" s="39"/>
      <c r="AL250" s="39"/>
      <c r="AM250" s="41"/>
      <c r="AN250" s="40"/>
      <c r="AO250" s="41"/>
      <c r="AP250" s="259"/>
    </row>
    <row r="251" spans="3:42" s="37" customFormat="1" ht="12" x14ac:dyDescent="0.2">
      <c r="C251" s="38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9"/>
      <c r="AK251" s="39"/>
      <c r="AL251" s="39"/>
      <c r="AM251" s="41"/>
      <c r="AN251" s="40"/>
      <c r="AO251" s="41"/>
      <c r="AP251" s="259"/>
    </row>
    <row r="252" spans="3:42" s="37" customFormat="1" ht="12" x14ac:dyDescent="0.2">
      <c r="C252" s="38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9"/>
      <c r="AK252" s="39"/>
      <c r="AL252" s="39"/>
      <c r="AM252" s="41"/>
      <c r="AN252" s="40"/>
      <c r="AO252" s="41"/>
      <c r="AP252" s="259"/>
    </row>
    <row r="253" spans="3:42" x14ac:dyDescent="0.25"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7"/>
      <c r="AN253" s="23"/>
      <c r="AO253" s="27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  <pageSetUpPr fitToPage="1"/>
  </sheetPr>
  <dimension ref="A1:AF277"/>
  <sheetViews>
    <sheetView workbookViewId="0">
      <selection sqref="A1:XFD1048576"/>
    </sheetView>
  </sheetViews>
  <sheetFormatPr defaultColWidth="8.85546875" defaultRowHeight="15" x14ac:dyDescent="0.25"/>
  <cols>
    <col min="1" max="1" width="4.85546875" style="14" customWidth="1"/>
    <col min="2" max="2" width="3.140625" style="14" customWidth="1"/>
    <col min="3" max="3" width="7.85546875" style="20" customWidth="1"/>
    <col min="4" max="4" width="31.85546875" style="14" customWidth="1"/>
    <col min="5" max="10" width="8.85546875" style="14" customWidth="1"/>
    <col min="11" max="16" width="8.85546875" style="14"/>
    <col min="17" max="17" width="8.85546875" style="22"/>
    <col min="18" max="18" width="2.140625" style="28" customWidth="1"/>
    <col min="19" max="19" width="11.140625" style="359" bestFit="1" customWidth="1"/>
    <col min="20" max="20" width="2.140625" style="28" customWidth="1"/>
    <col min="21" max="21" width="11.140625" style="368" bestFit="1" customWidth="1"/>
    <col min="22" max="22" width="2.140625" style="28" customWidth="1"/>
    <col min="23" max="23" width="11.140625" style="368" bestFit="1" customWidth="1"/>
    <col min="24" max="24" width="9" style="368" bestFit="1" customWidth="1"/>
    <col min="25" max="25" width="2.140625" style="28" customWidth="1"/>
    <col min="26" max="26" width="11.140625" style="368" bestFit="1" customWidth="1"/>
    <col min="27" max="27" width="9" style="368" bestFit="1" customWidth="1"/>
    <col min="28" max="28" width="2.140625" style="28" customWidth="1"/>
    <col min="29" max="29" width="8.85546875" style="14"/>
    <col min="30" max="30" width="9.5703125" style="14" bestFit="1" customWidth="1"/>
    <col min="31" max="16384" width="8.85546875" style="14"/>
  </cols>
  <sheetData>
    <row r="1" spans="1:30" s="1" customFormat="1" ht="21" x14ac:dyDescent="0.35">
      <c r="A1" s="11" t="str">
        <f>'Rev &amp; Enroll'!$F$5</f>
        <v>Nevada State High School (Northwest)</v>
      </c>
      <c r="B1" s="11"/>
      <c r="C1" s="17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4"/>
      <c r="R1" s="24"/>
      <c r="S1" s="352"/>
      <c r="T1" s="29"/>
      <c r="U1" s="278"/>
      <c r="V1" s="24"/>
      <c r="W1" s="278"/>
      <c r="X1" s="278"/>
      <c r="Y1" s="29"/>
      <c r="Z1" s="278"/>
      <c r="AA1" s="278"/>
      <c r="AB1" s="29"/>
      <c r="AC1" s="2"/>
      <c r="AD1" s="2"/>
    </row>
    <row r="2" spans="1:30" s="1" customFormat="1" x14ac:dyDescent="0.25">
      <c r="A2" s="12" t="str">
        <f>CONCATENATE("Monthly Cash Flow/Budget"," ",MYP!E4)</f>
        <v>Monthly Cash Flow/Budget FY21</v>
      </c>
      <c r="B2" s="12"/>
      <c r="C2" s="17"/>
      <c r="D2" s="13"/>
      <c r="E2" s="2"/>
      <c r="F2" s="2"/>
      <c r="G2" s="2"/>
      <c r="H2" s="2"/>
      <c r="I2" s="2"/>
      <c r="J2" s="2"/>
      <c r="M2" s="2"/>
      <c r="N2" s="2"/>
      <c r="O2" s="2"/>
      <c r="Q2" s="8"/>
      <c r="R2" s="25"/>
      <c r="S2" s="278"/>
      <c r="T2" s="29"/>
      <c r="U2" s="360"/>
      <c r="V2" s="29"/>
      <c r="W2" s="360"/>
      <c r="X2" s="360"/>
      <c r="Y2" s="29"/>
      <c r="Z2" s="360"/>
      <c r="AA2" s="360"/>
      <c r="AB2" s="29"/>
      <c r="AC2" s="4"/>
      <c r="AD2" s="4"/>
    </row>
    <row r="3" spans="1:30" s="6" customFormat="1" ht="13.5" customHeight="1" x14ac:dyDescent="0.2">
      <c r="A3" s="5" t="s">
        <v>559</v>
      </c>
      <c r="B3" s="5"/>
      <c r="C3" s="1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8"/>
      <c r="R3" s="25"/>
      <c r="S3" s="279"/>
      <c r="T3" s="31"/>
      <c r="U3" s="279"/>
      <c r="V3" s="30"/>
      <c r="W3" s="279"/>
      <c r="X3" s="279"/>
      <c r="Y3" s="31"/>
      <c r="Z3" s="279"/>
      <c r="AA3" s="279"/>
      <c r="AB3" s="31"/>
      <c r="AC3" s="7"/>
      <c r="AD3" s="7"/>
    </row>
    <row r="4" spans="1:30" s="9" customFormat="1" ht="29.45" customHeight="1" x14ac:dyDescent="0.25">
      <c r="C4" s="19"/>
      <c r="D4" s="10"/>
      <c r="E4" s="601">
        <v>44013</v>
      </c>
      <c r="F4" s="33">
        <f t="shared" ref="F4:P4" si="0">E4+31</f>
        <v>44044</v>
      </c>
      <c r="G4" s="33">
        <f t="shared" si="0"/>
        <v>44075</v>
      </c>
      <c r="H4" s="33">
        <f t="shared" si="0"/>
        <v>44106</v>
      </c>
      <c r="I4" s="33">
        <f t="shared" si="0"/>
        <v>44137</v>
      </c>
      <c r="J4" s="33">
        <f t="shared" si="0"/>
        <v>44168</v>
      </c>
      <c r="K4" s="33">
        <f t="shared" si="0"/>
        <v>44199</v>
      </c>
      <c r="L4" s="33">
        <f t="shared" si="0"/>
        <v>44230</v>
      </c>
      <c r="M4" s="33">
        <f t="shared" si="0"/>
        <v>44261</v>
      </c>
      <c r="N4" s="33">
        <f t="shared" si="0"/>
        <v>44292</v>
      </c>
      <c r="O4" s="33">
        <f t="shared" si="0"/>
        <v>44323</v>
      </c>
      <c r="P4" s="56">
        <f t="shared" si="0"/>
        <v>44354</v>
      </c>
      <c r="Q4" s="35" t="s">
        <v>54</v>
      </c>
      <c r="R4" s="26"/>
      <c r="S4" s="353" t="s">
        <v>55</v>
      </c>
      <c r="T4" s="32"/>
      <c r="U4" s="361" t="s">
        <v>527</v>
      </c>
      <c r="V4" s="26"/>
      <c r="W4" s="361" t="s">
        <v>523</v>
      </c>
      <c r="X4" s="361" t="s">
        <v>56</v>
      </c>
      <c r="Y4" s="32"/>
      <c r="Z4" s="361" t="s">
        <v>106</v>
      </c>
      <c r="AA4" s="361" t="s">
        <v>56</v>
      </c>
      <c r="AB4" s="32"/>
      <c r="AC4" s="33" t="s">
        <v>253</v>
      </c>
      <c r="AD4" s="33" t="s">
        <v>254</v>
      </c>
    </row>
    <row r="5" spans="1:30" s="9" customFormat="1" ht="12" x14ac:dyDescent="0.2">
      <c r="C5" s="19"/>
      <c r="D5" s="208" t="s">
        <v>185</v>
      </c>
      <c r="E5" s="327">
        <f>IF(('Rev &amp; Enroll'!$F37*'Rev &amp; Enroll'!$F24)&gt;500000,0.08333,1/12)</f>
        <v>8.3333333333333329E-2</v>
      </c>
      <c r="F5" s="327">
        <f>IF(('Rev &amp; Enroll'!$F37*'Rev &amp; Enroll'!$F24)&gt;500000,0.08333,1/12)</f>
        <v>8.3333333333333329E-2</v>
      </c>
      <c r="G5" s="327">
        <f>IF(('Rev &amp; Enroll'!$F37*'Rev &amp; Enroll'!$F24)&gt;500000,0.08333,1/12)</f>
        <v>8.3333333333333329E-2</v>
      </c>
      <c r="H5" s="327">
        <f>IF(('Rev &amp; Enroll'!$F37*'Rev &amp; Enroll'!$F24)&gt;500000,0.08333,1/12)</f>
        <v>8.3333333333333329E-2</v>
      </c>
      <c r="I5" s="327">
        <f>IF(('Rev &amp; Enroll'!$F37*'Rev &amp; Enroll'!$F24)&gt;500000,0.08333,1/12)</f>
        <v>8.3333333333333329E-2</v>
      </c>
      <c r="J5" s="327">
        <f>IF(('Rev &amp; Enroll'!$F37*'Rev &amp; Enroll'!$F24)&gt;500000,0.08333,1/12)</f>
        <v>8.3333333333333329E-2</v>
      </c>
      <c r="K5" s="327">
        <f>IF(('Rev &amp; Enroll'!$F37*'Rev &amp; Enroll'!$F24)&gt;500000,0.08333,1/12)</f>
        <v>8.3333333333333329E-2</v>
      </c>
      <c r="L5" s="327">
        <f>IF(('Rev &amp; Enroll'!$F37*'Rev &amp; Enroll'!$F24)&gt;500000,0.08333,1/12)</f>
        <v>8.3333333333333329E-2</v>
      </c>
      <c r="M5" s="327">
        <f>IF(('Rev &amp; Enroll'!$F37*'Rev &amp; Enroll'!$F24)&gt;500000,0.08333,1/12)</f>
        <v>8.3333333333333329E-2</v>
      </c>
      <c r="N5" s="327">
        <f>IF(('Rev &amp; Enroll'!$F37*'Rev &amp; Enroll'!$F24)&gt;500000,0.08333,1/12)</f>
        <v>8.3333333333333329E-2</v>
      </c>
      <c r="O5" s="327">
        <f>IF(('Rev &amp; Enroll'!$F37*'Rev &amp; Enroll'!$F24)&gt;500000,0.08333,1/12)</f>
        <v>8.3333333333333329E-2</v>
      </c>
      <c r="P5" s="327">
        <f>IF(('Rev &amp; Enroll'!$F37*'Rev &amp; Enroll'!$F24)&gt;500000,0.08333,1/12)</f>
        <v>8.3333333333333329E-2</v>
      </c>
      <c r="Q5" s="222">
        <f>1-SUM(E5:P5)</f>
        <v>0</v>
      </c>
      <c r="R5" s="41"/>
      <c r="S5" s="354"/>
      <c r="T5" s="32"/>
      <c r="U5" s="362"/>
      <c r="V5" s="41"/>
      <c r="W5" s="362"/>
      <c r="X5" s="362"/>
      <c r="Y5" s="32"/>
      <c r="Z5" s="362"/>
      <c r="AA5" s="362"/>
      <c r="AB5" s="32"/>
      <c r="AC5" s="248"/>
      <c r="AD5" s="248"/>
    </row>
    <row r="6" spans="1:30" s="37" customFormat="1" ht="12" x14ac:dyDescent="0.2">
      <c r="A6" s="45" t="s">
        <v>58</v>
      </c>
      <c r="C6" s="38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6"/>
      <c r="R6" s="41"/>
      <c r="S6" s="354"/>
      <c r="T6" s="41"/>
      <c r="U6" s="362"/>
      <c r="V6" s="41"/>
      <c r="W6" s="362"/>
      <c r="X6" s="362"/>
      <c r="Y6" s="41"/>
      <c r="Z6" s="362"/>
      <c r="AA6" s="362"/>
      <c r="AB6" s="41"/>
      <c r="AC6" s="248"/>
      <c r="AD6" s="248"/>
    </row>
    <row r="7" spans="1:30" s="37" customFormat="1" ht="12" x14ac:dyDescent="0.2">
      <c r="A7" s="45"/>
      <c r="C7" s="49" t="s">
        <v>172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6"/>
      <c r="R7" s="41"/>
      <c r="S7" s="354"/>
      <c r="T7" s="41"/>
      <c r="U7" s="362"/>
      <c r="V7" s="41"/>
      <c r="W7" s="362"/>
      <c r="X7" s="362"/>
      <c r="Y7" s="41"/>
      <c r="Z7" s="362"/>
      <c r="AA7" s="362"/>
      <c r="AB7" s="41"/>
      <c r="AC7" s="248"/>
      <c r="AD7" s="248"/>
    </row>
    <row r="8" spans="1:30" s="37" customFormat="1" ht="12" x14ac:dyDescent="0.2">
      <c r="A8" s="45"/>
      <c r="C8" s="199">
        <v>1110</v>
      </c>
      <c r="D8" s="37" t="s">
        <v>0</v>
      </c>
      <c r="E8" s="180">
        <f>'Rev &amp; Enroll'!$F$37*'Rev &amp; Enroll'!$F$24*'Rev &amp; Enroll'!$F40*'FY21'!E$5</f>
        <v>9757.4399999999987</v>
      </c>
      <c r="F8" s="180">
        <f>'Rev &amp; Enroll'!$F$37*'Rev &amp; Enroll'!$F$24*'Rev &amp; Enroll'!$F40*'FY21'!F$5</f>
        <v>9757.4399999999987</v>
      </c>
      <c r="G8" s="180">
        <f>'Rev &amp; Enroll'!$F$37*'Rev &amp; Enroll'!$F$24*'Rev &amp; Enroll'!$F40*'FY21'!G$5</f>
        <v>9757.4399999999987</v>
      </c>
      <c r="H8" s="180">
        <f>'Rev &amp; Enroll'!$F$37*'Rev &amp; Enroll'!$F$24*'Rev &amp; Enroll'!$F40*'FY21'!H$5</f>
        <v>9757.4399999999987</v>
      </c>
      <c r="I8" s="180">
        <f>'Rev &amp; Enroll'!$F$37*'Rev &amp; Enroll'!$F$24*'Rev &amp; Enroll'!$F40*'FY21'!I$5</f>
        <v>9757.4399999999987</v>
      </c>
      <c r="J8" s="180">
        <f>'Rev &amp; Enroll'!$F$37*'Rev &amp; Enroll'!$F$24*'Rev &amp; Enroll'!$F40*'FY21'!J$5</f>
        <v>9757.4399999999987</v>
      </c>
      <c r="K8" s="180">
        <f>'Rev &amp; Enroll'!$F$37*'Rev &amp; Enroll'!$F$24*'Rev &amp; Enroll'!$F40*'FY21'!K$5</f>
        <v>9757.4399999999987</v>
      </c>
      <c r="L8" s="180">
        <f>'Rev &amp; Enroll'!$F$37*'Rev &amp; Enroll'!$F$24*'Rev &amp; Enroll'!$F40*'FY21'!L$5</f>
        <v>9757.4399999999987</v>
      </c>
      <c r="M8" s="180">
        <f>'Rev &amp; Enroll'!$F$37*'Rev &amp; Enroll'!$F$24*'Rev &amp; Enroll'!$F40*'FY21'!M$5</f>
        <v>9757.4399999999987</v>
      </c>
      <c r="N8" s="180">
        <f>'Rev &amp; Enroll'!$F$37*'Rev &amp; Enroll'!$F$24*'Rev &amp; Enroll'!$F40*'FY21'!N$5</f>
        <v>9757.4399999999987</v>
      </c>
      <c r="O8" s="180">
        <f>'Rev &amp; Enroll'!$F$37*'Rev &amp; Enroll'!$F$24*'Rev &amp; Enroll'!$F40*'FY21'!O$5</f>
        <v>9757.4399999999987</v>
      </c>
      <c r="P8" s="180">
        <f>'Rev &amp; Enroll'!$F$37*'Rev &amp; Enroll'!$F$24*'Rev &amp; Enroll'!$F40*'FY21'!P$5</f>
        <v>9757.4399999999987</v>
      </c>
      <c r="Q8" s="98"/>
      <c r="R8" s="186"/>
      <c r="S8" s="354">
        <f>SUM(E8:Q8)</f>
        <v>117089.28000000001</v>
      </c>
      <c r="T8" s="41"/>
      <c r="U8" s="362">
        <f>SUM(E8:L8)</f>
        <v>78059.520000000004</v>
      </c>
      <c r="V8" s="186"/>
      <c r="W8" s="362">
        <v>153964.80000000002</v>
      </c>
      <c r="X8" s="362">
        <f>S8-W8</f>
        <v>-36875.520000000004</v>
      </c>
      <c r="Y8" s="41"/>
      <c r="Z8" s="362">
        <v>212256</v>
      </c>
      <c r="AA8" s="362">
        <f>S8-Z8</f>
        <v>-95166.719999999987</v>
      </c>
      <c r="AB8" s="41"/>
      <c r="AC8" s="249">
        <v>0</v>
      </c>
      <c r="AD8" s="249">
        <f>S8-AC8</f>
        <v>117089.28000000001</v>
      </c>
    </row>
    <row r="9" spans="1:30" s="37" customFormat="1" ht="12" x14ac:dyDescent="0.2">
      <c r="A9" s="45"/>
      <c r="C9" s="199">
        <v>1120</v>
      </c>
      <c r="D9" s="37" t="s">
        <v>1</v>
      </c>
      <c r="E9" s="39">
        <f>'Rev &amp; Enroll'!$F$37*'Rev &amp; Enroll'!$F$24*'Rev &amp; Enroll'!$F41*'FY21'!E$5</f>
        <v>10718.399999999998</v>
      </c>
      <c r="F9" s="39">
        <f>'Rev &amp; Enroll'!$F$37*'Rev &amp; Enroll'!$F$24*'Rev &amp; Enroll'!$F41*'FY21'!F$5</f>
        <v>10718.399999999998</v>
      </c>
      <c r="G9" s="39">
        <f>'Rev &amp; Enroll'!$F$37*'Rev &amp; Enroll'!$F$24*'Rev &amp; Enroll'!$F41*'FY21'!G$5</f>
        <v>10718.399999999998</v>
      </c>
      <c r="H9" s="39">
        <f>'Rev &amp; Enroll'!$F$37*'Rev &amp; Enroll'!$F$24*'Rev &amp; Enroll'!$F41*'FY21'!H$5</f>
        <v>10718.399999999998</v>
      </c>
      <c r="I9" s="39">
        <f>'Rev &amp; Enroll'!$F$37*'Rev &amp; Enroll'!$F$24*'Rev &amp; Enroll'!$F41*'FY21'!I$5</f>
        <v>10718.399999999998</v>
      </c>
      <c r="J9" s="39">
        <f>'Rev &amp; Enroll'!$F$37*'Rev &amp; Enroll'!$F$24*'Rev &amp; Enroll'!$F41*'FY21'!J$5</f>
        <v>10718.399999999998</v>
      </c>
      <c r="K9" s="39">
        <f>'Rev &amp; Enroll'!$F$37*'Rev &amp; Enroll'!$F$24*'Rev &amp; Enroll'!$F41*'FY21'!K$5</f>
        <v>10718.399999999998</v>
      </c>
      <c r="L9" s="39">
        <f>'Rev &amp; Enroll'!$F$37*'Rev &amp; Enroll'!$F$24*'Rev &amp; Enroll'!$F41*'FY21'!L$5</f>
        <v>10718.399999999998</v>
      </c>
      <c r="M9" s="39">
        <f>'Rev &amp; Enroll'!$F$37*'Rev &amp; Enroll'!$F$24*'Rev &amp; Enroll'!$F41*'FY21'!M$5</f>
        <v>10718.399999999998</v>
      </c>
      <c r="N9" s="39">
        <f>'Rev &amp; Enroll'!$F$37*'Rev &amp; Enroll'!$F$24*'Rev &amp; Enroll'!$F41*'FY21'!N$5</f>
        <v>10718.399999999998</v>
      </c>
      <c r="O9" s="39">
        <f>'Rev &amp; Enroll'!$F$37*'Rev &amp; Enroll'!$F$24*'Rev &amp; Enroll'!$F41*'FY21'!O$5</f>
        <v>10718.399999999998</v>
      </c>
      <c r="P9" s="39">
        <f>'Rev &amp; Enroll'!$F$37*'Rev &amp; Enroll'!$F$24*'Rev &amp; Enroll'!$F41*'FY21'!P$5</f>
        <v>10718.399999999998</v>
      </c>
      <c r="Q9" s="98"/>
      <c r="R9" s="41"/>
      <c r="S9" s="354">
        <f t="shared" ref="S9:S12" si="1">SUM(E9:Q9)</f>
        <v>128620.79999999994</v>
      </c>
      <c r="T9" s="41"/>
      <c r="U9" s="362">
        <f t="shared" ref="U9:U72" si="2">SUM(E9:L9)</f>
        <v>85747.199999999968</v>
      </c>
      <c r="V9" s="41"/>
      <c r="W9" s="362">
        <v>169128</v>
      </c>
      <c r="X9" s="362">
        <f t="shared" ref="X9:X12" si="3">S9-W9</f>
        <v>-40507.200000000055</v>
      </c>
      <c r="Y9" s="41"/>
      <c r="Z9" s="362">
        <v>233159.99999999997</v>
      </c>
      <c r="AA9" s="362">
        <f>S9-Z9</f>
        <v>-104539.20000000003</v>
      </c>
      <c r="AB9" s="41"/>
      <c r="AC9" s="248">
        <v>0</v>
      </c>
      <c r="AD9" s="248">
        <f>S9-AC9</f>
        <v>128620.79999999994</v>
      </c>
    </row>
    <row r="10" spans="1:30" s="37" customFormat="1" ht="12" x14ac:dyDescent="0.2">
      <c r="A10" s="45"/>
      <c r="C10" s="199">
        <v>1191</v>
      </c>
      <c r="D10" s="37" t="s">
        <v>2</v>
      </c>
      <c r="E10" s="39">
        <f>'Rev &amp; Enroll'!$F$37*'Rev &amp; Enroll'!$F$24*'Rev &amp; Enroll'!$F42*'FY21'!E$5</f>
        <v>36.959999999999994</v>
      </c>
      <c r="F10" s="39">
        <f>'Rev &amp; Enroll'!$F$37*'Rev &amp; Enroll'!$F$24*'Rev &amp; Enroll'!$F42*'FY21'!F$5</f>
        <v>36.959999999999994</v>
      </c>
      <c r="G10" s="39">
        <f>'Rev &amp; Enroll'!$F$37*'Rev &amp; Enroll'!$F$24*'Rev &amp; Enroll'!$F42*'FY21'!G$5</f>
        <v>36.959999999999994</v>
      </c>
      <c r="H10" s="39">
        <f>'Rev &amp; Enroll'!$F$37*'Rev &amp; Enroll'!$F$24*'Rev &amp; Enroll'!$F42*'FY21'!H$5</f>
        <v>36.959999999999994</v>
      </c>
      <c r="I10" s="39">
        <f>'Rev &amp; Enroll'!$F$37*'Rev &amp; Enroll'!$F$24*'Rev &amp; Enroll'!$F42*'FY21'!I$5</f>
        <v>36.959999999999994</v>
      </c>
      <c r="J10" s="39">
        <f>'Rev &amp; Enroll'!$F$37*'Rev &amp; Enroll'!$F$24*'Rev &amp; Enroll'!$F42*'FY21'!J$5</f>
        <v>36.959999999999994</v>
      </c>
      <c r="K10" s="39">
        <f>'Rev &amp; Enroll'!$F$37*'Rev &amp; Enroll'!$F$24*'Rev &amp; Enroll'!$F42*'FY21'!K$5</f>
        <v>36.959999999999994</v>
      </c>
      <c r="L10" s="39">
        <f>'Rev &amp; Enroll'!$F$37*'Rev &amp; Enroll'!$F$24*'Rev &amp; Enroll'!$F42*'FY21'!L$5</f>
        <v>36.959999999999994</v>
      </c>
      <c r="M10" s="39">
        <f>'Rev &amp; Enroll'!$F$37*'Rev &amp; Enroll'!$F$24*'Rev &amp; Enroll'!$F42*'FY21'!M$5</f>
        <v>36.959999999999994</v>
      </c>
      <c r="N10" s="39">
        <f>'Rev &amp; Enroll'!$F$37*'Rev &amp; Enroll'!$F$24*'Rev &amp; Enroll'!$F42*'FY21'!N$5</f>
        <v>36.959999999999994</v>
      </c>
      <c r="O10" s="39">
        <f>'Rev &amp; Enroll'!$F$37*'Rev &amp; Enroll'!$F$24*'Rev &amp; Enroll'!$F42*'FY21'!O$5</f>
        <v>36.959999999999994</v>
      </c>
      <c r="P10" s="39">
        <f>'Rev &amp; Enroll'!$F$37*'Rev &amp; Enroll'!$F$24*'Rev &amp; Enroll'!$F42*'FY21'!P$5</f>
        <v>36.959999999999994</v>
      </c>
      <c r="Q10" s="98"/>
      <c r="R10" s="41"/>
      <c r="S10" s="354">
        <f t="shared" si="1"/>
        <v>443.51999999999981</v>
      </c>
      <c r="T10" s="41"/>
      <c r="U10" s="362">
        <f t="shared" si="2"/>
        <v>295.67999999999989</v>
      </c>
      <c r="V10" s="41"/>
      <c r="W10" s="362">
        <v>583.20000000000005</v>
      </c>
      <c r="X10" s="362">
        <f t="shared" si="3"/>
        <v>-139.68000000000023</v>
      </c>
      <c r="Y10" s="41"/>
      <c r="Z10" s="362">
        <v>804</v>
      </c>
      <c r="AA10" s="362">
        <f>S10-Z10</f>
        <v>-360.48000000000019</v>
      </c>
      <c r="AB10" s="41"/>
      <c r="AC10" s="248">
        <v>0</v>
      </c>
      <c r="AD10" s="248">
        <f>S10-AC10</f>
        <v>443.51999999999981</v>
      </c>
    </row>
    <row r="11" spans="1:30" s="37" customFormat="1" ht="12" x14ac:dyDescent="0.2">
      <c r="A11" s="45"/>
      <c r="C11" s="199">
        <v>1192</v>
      </c>
      <c r="D11" s="37" t="s">
        <v>3</v>
      </c>
      <c r="E11" s="39">
        <f>'Rev &amp; Enroll'!$F$37*'Rev &amp; Enroll'!$F$24*'Rev &amp; Enroll'!$F43*'FY21'!E$5</f>
        <v>1145.76</v>
      </c>
      <c r="F11" s="39">
        <f>'Rev &amp; Enroll'!$F$37*'Rev &amp; Enroll'!$F$24*'Rev &amp; Enroll'!$F43*'FY21'!F$5</f>
        <v>1145.76</v>
      </c>
      <c r="G11" s="39">
        <f>'Rev &amp; Enroll'!$F$37*'Rev &amp; Enroll'!$F$24*'Rev &amp; Enroll'!$F43*'FY21'!G$5</f>
        <v>1145.76</v>
      </c>
      <c r="H11" s="39">
        <f>'Rev &amp; Enroll'!$F$37*'Rev &amp; Enroll'!$F$24*'Rev &amp; Enroll'!$F43*'FY21'!H$5</f>
        <v>1145.76</v>
      </c>
      <c r="I11" s="39">
        <f>'Rev &amp; Enroll'!$F$37*'Rev &amp; Enroll'!$F$24*'Rev &amp; Enroll'!$F43*'FY21'!I$5</f>
        <v>1145.76</v>
      </c>
      <c r="J11" s="39">
        <f>'Rev &amp; Enroll'!$F$37*'Rev &amp; Enroll'!$F$24*'Rev &amp; Enroll'!$F43*'FY21'!J$5</f>
        <v>1145.76</v>
      </c>
      <c r="K11" s="39">
        <f>'Rev &amp; Enroll'!$F$37*'Rev &amp; Enroll'!$F$24*'Rev &amp; Enroll'!$F43*'FY21'!K$5</f>
        <v>1145.76</v>
      </c>
      <c r="L11" s="39">
        <f>'Rev &amp; Enroll'!$F$37*'Rev &amp; Enroll'!$F$24*'Rev &amp; Enroll'!$F43*'FY21'!L$5</f>
        <v>1145.76</v>
      </c>
      <c r="M11" s="39">
        <f>'Rev &amp; Enroll'!$F$37*'Rev &amp; Enroll'!$F$24*'Rev &amp; Enroll'!$F43*'FY21'!M$5</f>
        <v>1145.76</v>
      </c>
      <c r="N11" s="39">
        <f>'Rev &amp; Enroll'!$F$37*'Rev &amp; Enroll'!$F$24*'Rev &amp; Enroll'!$F43*'FY21'!N$5</f>
        <v>1145.76</v>
      </c>
      <c r="O11" s="39">
        <f>'Rev &amp; Enroll'!$F$37*'Rev &amp; Enroll'!$F$24*'Rev &amp; Enroll'!$F43*'FY21'!O$5</f>
        <v>1145.76</v>
      </c>
      <c r="P11" s="39">
        <f>'Rev &amp; Enroll'!$F$37*'Rev &amp; Enroll'!$F$24*'Rev &amp; Enroll'!$F43*'FY21'!P$5</f>
        <v>1145.76</v>
      </c>
      <c r="Q11" s="98"/>
      <c r="R11" s="41"/>
      <c r="S11" s="354">
        <f t="shared" si="1"/>
        <v>13749.12</v>
      </c>
      <c r="T11" s="41"/>
      <c r="U11" s="362">
        <f t="shared" si="2"/>
        <v>9166.08</v>
      </c>
      <c r="V11" s="41"/>
      <c r="W11" s="362">
        <v>18079.2</v>
      </c>
      <c r="X11" s="362">
        <f t="shared" si="3"/>
        <v>-4330.08</v>
      </c>
      <c r="Y11" s="41"/>
      <c r="Z11" s="362">
        <v>24924</v>
      </c>
      <c r="AA11" s="362">
        <f>S11-Z11</f>
        <v>-11174.88</v>
      </c>
      <c r="AB11" s="41"/>
      <c r="AC11" s="248">
        <v>0</v>
      </c>
      <c r="AD11" s="248">
        <f>S11-AC11</f>
        <v>13749.12</v>
      </c>
    </row>
    <row r="12" spans="1:30" s="37" customFormat="1" ht="12" x14ac:dyDescent="0.2">
      <c r="A12" s="45"/>
      <c r="C12" s="199">
        <v>3110</v>
      </c>
      <c r="D12" s="37" t="s">
        <v>73</v>
      </c>
      <c r="E12" s="39">
        <f>'Rev &amp; Enroll'!$F$37*'Rev &amp; Enroll'!$F$24*'Rev &amp; Enroll'!$F44*'FY21'!E$5</f>
        <v>15301.439999999999</v>
      </c>
      <c r="F12" s="39">
        <f>'Rev &amp; Enroll'!$F$37*'Rev &amp; Enroll'!$F$24*'Rev &amp; Enroll'!$F44*'FY21'!F$5</f>
        <v>15301.439999999999</v>
      </c>
      <c r="G12" s="39">
        <f>'Rev &amp; Enroll'!$F$37*'Rev &amp; Enroll'!$F$24*'Rev &amp; Enroll'!$F44*'FY21'!G$5</f>
        <v>15301.439999999999</v>
      </c>
      <c r="H12" s="39">
        <f>'Rev &amp; Enroll'!$F$37*'Rev &amp; Enroll'!$F$24*'Rev &amp; Enroll'!$F44*'FY21'!H$5</f>
        <v>15301.439999999999</v>
      </c>
      <c r="I12" s="39">
        <f>'Rev &amp; Enroll'!$F$37*'Rev &amp; Enroll'!$F$24*'Rev &amp; Enroll'!$F44*'FY21'!I$5</f>
        <v>15301.439999999999</v>
      </c>
      <c r="J12" s="39">
        <f>'Rev &amp; Enroll'!$F$37*'Rev &amp; Enroll'!$F$24*'Rev &amp; Enroll'!$F44*'FY21'!J$5</f>
        <v>15301.439999999999</v>
      </c>
      <c r="K12" s="39">
        <f>'Rev &amp; Enroll'!$F$37*'Rev &amp; Enroll'!$F$24*'Rev &amp; Enroll'!$F44*'FY21'!K$5</f>
        <v>15301.439999999999</v>
      </c>
      <c r="L12" s="39">
        <f>'Rev &amp; Enroll'!$F$37*'Rev &amp; Enroll'!$F$24*'Rev &amp; Enroll'!$F44*'FY21'!L$5</f>
        <v>15301.439999999999</v>
      </c>
      <c r="M12" s="39">
        <f>'Rev &amp; Enroll'!$F$37*'Rev &amp; Enroll'!$F$24*'Rev &amp; Enroll'!$F44*'FY21'!M$5</f>
        <v>15301.439999999999</v>
      </c>
      <c r="N12" s="39">
        <f>'Rev &amp; Enroll'!$F$37*'Rev &amp; Enroll'!$F$24*'Rev &amp; Enroll'!$F44*'FY21'!N$5</f>
        <v>15301.439999999999</v>
      </c>
      <c r="O12" s="39">
        <f>'Rev &amp; Enroll'!$F$37*'Rev &amp; Enroll'!$F$24*'Rev &amp; Enroll'!$F44*'FY21'!O$5</f>
        <v>15301.439999999999</v>
      </c>
      <c r="P12" s="39">
        <f>'Rev &amp; Enroll'!$F$37*'Rev &amp; Enroll'!$F$24*'Rev &amp; Enroll'!$F44*'FY21'!P$5</f>
        <v>15301.439999999999</v>
      </c>
      <c r="Q12" s="98"/>
      <c r="R12" s="41"/>
      <c r="S12" s="354">
        <f t="shared" si="1"/>
        <v>183617.28</v>
      </c>
      <c r="T12" s="41"/>
      <c r="U12" s="362">
        <f t="shared" si="2"/>
        <v>122411.52</v>
      </c>
      <c r="V12" s="41"/>
      <c r="W12" s="362">
        <v>241444.8</v>
      </c>
      <c r="X12" s="362">
        <f t="shared" si="3"/>
        <v>-57827.51999999999</v>
      </c>
      <c r="Y12" s="41"/>
      <c r="Z12" s="362">
        <v>332856</v>
      </c>
      <c r="AA12" s="362">
        <f>S12-Z12</f>
        <v>-149238.72</v>
      </c>
      <c r="AB12" s="41"/>
      <c r="AC12" s="248">
        <v>0</v>
      </c>
      <c r="AD12" s="248">
        <f>S12-AC12</f>
        <v>183617.28</v>
      </c>
    </row>
    <row r="13" spans="1:30" s="37" customFormat="1" ht="12" x14ac:dyDescent="0.2">
      <c r="A13" s="45"/>
      <c r="C13" s="38"/>
      <c r="E13" s="50">
        <f t="shared" ref="E13:O13" si="4">SUBTOTAL(9,E8:E12)</f>
        <v>36959.999999999993</v>
      </c>
      <c r="F13" s="50">
        <f t="shared" si="4"/>
        <v>36959.999999999993</v>
      </c>
      <c r="G13" s="50">
        <f t="shared" si="4"/>
        <v>36959.999999999993</v>
      </c>
      <c r="H13" s="50">
        <f t="shared" si="4"/>
        <v>36959.999999999993</v>
      </c>
      <c r="I13" s="50">
        <f t="shared" si="4"/>
        <v>36959.999999999993</v>
      </c>
      <c r="J13" s="50">
        <f t="shared" si="4"/>
        <v>36959.999999999993</v>
      </c>
      <c r="K13" s="50">
        <f t="shared" si="4"/>
        <v>36959.999999999993</v>
      </c>
      <c r="L13" s="50">
        <f t="shared" si="4"/>
        <v>36959.999999999993</v>
      </c>
      <c r="M13" s="50">
        <f t="shared" si="4"/>
        <v>36959.999999999993</v>
      </c>
      <c r="N13" s="50">
        <f t="shared" si="4"/>
        <v>36959.999999999993</v>
      </c>
      <c r="O13" s="50">
        <f t="shared" si="4"/>
        <v>36959.999999999993</v>
      </c>
      <c r="P13" s="50">
        <f t="shared" ref="P13:S13" si="5">SUBTOTAL(9,P8:P12)</f>
        <v>36959.999999999993</v>
      </c>
      <c r="Q13" s="99"/>
      <c r="R13" s="41"/>
      <c r="S13" s="642">
        <f t="shared" si="5"/>
        <v>443519.99999999994</v>
      </c>
      <c r="T13" s="41"/>
      <c r="U13" s="363">
        <f t="shared" si="2"/>
        <v>295679.99999999994</v>
      </c>
      <c r="V13" s="41"/>
      <c r="W13" s="363">
        <v>583200</v>
      </c>
      <c r="X13" s="363">
        <f>SUBTOTAL(9,X8:X12)</f>
        <v>-139680.00000000006</v>
      </c>
      <c r="Y13" s="41"/>
      <c r="Z13" s="363">
        <v>804000</v>
      </c>
      <c r="AA13" s="363">
        <f t="shared" ref="AA13" si="6">SUBTOTAL(9,AA8:AA12)</f>
        <v>-360480</v>
      </c>
      <c r="AB13" s="41"/>
      <c r="AC13" s="250">
        <f t="shared" ref="AC13:AD13" si="7">SUBTOTAL(9,AC8:AC12)</f>
        <v>0</v>
      </c>
      <c r="AD13" s="250">
        <f t="shared" si="7"/>
        <v>443519.99999999994</v>
      </c>
    </row>
    <row r="14" spans="1:30" s="37" customFormat="1" ht="12" x14ac:dyDescent="0.2">
      <c r="A14" s="45"/>
      <c r="C14" s="49" t="s">
        <v>171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98"/>
      <c r="R14" s="41"/>
      <c r="S14" s="354"/>
      <c r="T14" s="41"/>
      <c r="U14" s="362">
        <f t="shared" si="2"/>
        <v>0</v>
      </c>
      <c r="V14" s="41"/>
      <c r="W14" s="362"/>
      <c r="X14" s="362"/>
      <c r="Y14" s="41"/>
      <c r="Z14" s="362"/>
      <c r="AA14" s="362"/>
      <c r="AB14" s="41"/>
      <c r="AC14" s="248"/>
      <c r="AD14" s="248"/>
    </row>
    <row r="15" spans="1:30" s="37" customFormat="1" ht="12" x14ac:dyDescent="0.2">
      <c r="A15" s="45"/>
      <c r="C15" s="199">
        <v>3115</v>
      </c>
      <c r="D15" s="37" t="s">
        <v>5</v>
      </c>
      <c r="E15" s="39">
        <v>0</v>
      </c>
      <c r="F15" s="39">
        <v>0</v>
      </c>
      <c r="G15" s="39">
        <v>0</v>
      </c>
      <c r="H15" s="665">
        <f>'Rev &amp; Enroll'!$F$48/4</f>
        <v>0</v>
      </c>
      <c r="I15" s="39">
        <v>0</v>
      </c>
      <c r="J15" s="39">
        <v>0</v>
      </c>
      <c r="K15" s="39">
        <v>0</v>
      </c>
      <c r="L15" s="665">
        <f>'Rev &amp; Enroll'!$F$48/4</f>
        <v>0</v>
      </c>
      <c r="M15" s="39">
        <v>0</v>
      </c>
      <c r="N15" s="665">
        <f>'Rev &amp; Enroll'!$F$48/4</f>
        <v>0</v>
      </c>
      <c r="O15" s="39">
        <v>0</v>
      </c>
      <c r="P15" s="665">
        <f>'Rev &amp; Enroll'!$F$48/4</f>
        <v>0</v>
      </c>
      <c r="Q15" s="98"/>
      <c r="R15" s="41"/>
      <c r="S15" s="354">
        <f>SUM(E15:Q15)</f>
        <v>0</v>
      </c>
      <c r="T15" s="41"/>
      <c r="U15" s="362">
        <f t="shared" si="2"/>
        <v>0</v>
      </c>
      <c r="V15" s="41"/>
      <c r="W15" s="362">
        <v>3458</v>
      </c>
      <c r="X15" s="362">
        <f t="shared" ref="X15:X16" si="8">S15-W15</f>
        <v>-3458</v>
      </c>
      <c r="Y15" s="41"/>
      <c r="Z15" s="362">
        <v>1250</v>
      </c>
      <c r="AA15" s="362">
        <f>S15-Z15</f>
        <v>-1250</v>
      </c>
      <c r="AB15" s="41"/>
      <c r="AC15" s="248">
        <v>0</v>
      </c>
      <c r="AD15" s="248">
        <f>S15-AC15</f>
        <v>0</v>
      </c>
    </row>
    <row r="16" spans="1:30" s="37" customFormat="1" ht="12" x14ac:dyDescent="0.2">
      <c r="A16" s="45"/>
      <c r="C16" s="199">
        <v>3200</v>
      </c>
      <c r="D16" s="37" t="s">
        <v>6</v>
      </c>
      <c r="E16" s="39">
        <v>0</v>
      </c>
      <c r="F16" s="665">
        <f>'Rev &amp; Enroll'!F51</f>
        <v>0</v>
      </c>
      <c r="G16" s="39">
        <v>0</v>
      </c>
      <c r="H16" s="39">
        <v>0</v>
      </c>
      <c r="I16" s="665">
        <f>'Rev &amp; Enroll'!F50</f>
        <v>0</v>
      </c>
      <c r="J16" s="39">
        <v>0</v>
      </c>
      <c r="K16" s="665">
        <f>'Rev &amp; Enroll'!F52*0.4</f>
        <v>20400</v>
      </c>
      <c r="L16" s="39">
        <v>0</v>
      </c>
      <c r="M16" s="665">
        <f>'Rev &amp; Enroll'!F49</f>
        <v>192</v>
      </c>
      <c r="N16" s="39">
        <v>0</v>
      </c>
      <c r="O16" s="665">
        <f>'Rev &amp; Enroll'!F52*0.6</f>
        <v>30600</v>
      </c>
      <c r="P16" s="39">
        <v>0</v>
      </c>
      <c r="Q16" s="98"/>
      <c r="R16" s="41"/>
      <c r="S16" s="354">
        <f>SUM(E16:Q16)</f>
        <v>51192</v>
      </c>
      <c r="T16" s="41"/>
      <c r="U16" s="362">
        <f t="shared" si="2"/>
        <v>20400</v>
      </c>
      <c r="V16" s="41"/>
      <c r="W16" s="362">
        <v>94201.62000000001</v>
      </c>
      <c r="X16" s="362">
        <f t="shared" si="8"/>
        <v>-43009.62000000001</v>
      </c>
      <c r="Y16" s="41"/>
      <c r="Z16" s="362">
        <v>78466.5</v>
      </c>
      <c r="AA16" s="362">
        <f>S16-Z16</f>
        <v>-27274.5</v>
      </c>
      <c r="AB16" s="41"/>
      <c r="AC16" s="248">
        <v>0</v>
      </c>
      <c r="AD16" s="248">
        <f>S16-AC16</f>
        <v>51192</v>
      </c>
    </row>
    <row r="17" spans="1:30" s="37" customFormat="1" ht="12" x14ac:dyDescent="0.2">
      <c r="A17" s="45"/>
      <c r="C17" s="38"/>
      <c r="E17" s="50">
        <f t="shared" ref="E17:O17" si="9">SUBTOTAL(9,E15:E16)</f>
        <v>0</v>
      </c>
      <c r="F17" s="50">
        <f t="shared" si="9"/>
        <v>0</v>
      </c>
      <c r="G17" s="50">
        <f t="shared" si="9"/>
        <v>0</v>
      </c>
      <c r="H17" s="50">
        <f t="shared" si="9"/>
        <v>0</v>
      </c>
      <c r="I17" s="50">
        <f t="shared" si="9"/>
        <v>0</v>
      </c>
      <c r="J17" s="50">
        <f t="shared" si="9"/>
        <v>0</v>
      </c>
      <c r="K17" s="50">
        <f t="shared" si="9"/>
        <v>20400</v>
      </c>
      <c r="L17" s="50">
        <f t="shared" si="9"/>
        <v>0</v>
      </c>
      <c r="M17" s="50">
        <f t="shared" si="9"/>
        <v>192</v>
      </c>
      <c r="N17" s="50">
        <f t="shared" si="9"/>
        <v>0</v>
      </c>
      <c r="O17" s="50">
        <f t="shared" si="9"/>
        <v>30600</v>
      </c>
      <c r="P17" s="50">
        <f t="shared" ref="P17:AA17" si="10">SUBTOTAL(9,P15:P16)</f>
        <v>0</v>
      </c>
      <c r="Q17" s="99"/>
      <c r="R17" s="41"/>
      <c r="S17" s="355">
        <f t="shared" si="10"/>
        <v>51192</v>
      </c>
      <c r="T17" s="41"/>
      <c r="U17" s="363">
        <f t="shared" si="2"/>
        <v>20400</v>
      </c>
      <c r="V17" s="41"/>
      <c r="W17" s="363">
        <v>97659.62000000001</v>
      </c>
      <c r="X17" s="363">
        <f t="shared" ref="X17" si="11">SUBTOTAL(9,X15:X16)</f>
        <v>-46467.62000000001</v>
      </c>
      <c r="Y17" s="41"/>
      <c r="Z17" s="363">
        <v>79716.5</v>
      </c>
      <c r="AA17" s="363">
        <f t="shared" si="10"/>
        <v>-28524.5</v>
      </c>
      <c r="AB17" s="41"/>
      <c r="AC17" s="250">
        <f t="shared" ref="AC17:AD17" si="12">SUBTOTAL(9,AC15:AC16)</f>
        <v>0</v>
      </c>
      <c r="AD17" s="250">
        <f t="shared" si="12"/>
        <v>51192</v>
      </c>
    </row>
    <row r="18" spans="1:30" s="37" customFormat="1" ht="12" x14ac:dyDescent="0.2">
      <c r="A18" s="45"/>
      <c r="C18" s="49" t="s">
        <v>149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100"/>
      <c r="R18" s="41"/>
      <c r="S18" s="354"/>
      <c r="T18" s="41"/>
      <c r="U18" s="362">
        <f t="shared" si="2"/>
        <v>0</v>
      </c>
      <c r="V18" s="41"/>
      <c r="W18" s="362"/>
      <c r="X18" s="362"/>
      <c r="Y18" s="41"/>
      <c r="Z18" s="362"/>
      <c r="AA18" s="362"/>
      <c r="AB18" s="41"/>
      <c r="AC18" s="248"/>
      <c r="AD18" s="248"/>
    </row>
    <row r="19" spans="1:30" s="37" customFormat="1" ht="12" x14ac:dyDescent="0.2">
      <c r="A19" s="45"/>
      <c r="C19" s="199">
        <v>4500</v>
      </c>
      <c r="D19" s="37" t="s">
        <v>6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665">
        <v>0</v>
      </c>
      <c r="L19" s="39">
        <v>0</v>
      </c>
      <c r="M19" s="39">
        <v>0</v>
      </c>
      <c r="N19" s="39">
        <v>0</v>
      </c>
      <c r="O19" s="39">
        <v>0</v>
      </c>
      <c r="P19" s="665">
        <f>'Rev &amp; Enroll'!F56*0.6</f>
        <v>0</v>
      </c>
      <c r="Q19" s="98"/>
      <c r="R19" s="41"/>
      <c r="S19" s="354">
        <f t="shared" ref="S19:S20" si="13">SUM(E19:Q19)</f>
        <v>0</v>
      </c>
      <c r="T19" s="41"/>
      <c r="U19" s="362">
        <f t="shared" si="2"/>
        <v>0</v>
      </c>
      <c r="V19" s="41"/>
      <c r="W19" s="362">
        <v>0</v>
      </c>
      <c r="X19" s="362">
        <f t="shared" ref="X19:X21" si="14">S19-W19</f>
        <v>0</v>
      </c>
      <c r="Y19" s="41"/>
      <c r="Z19" s="362">
        <v>0</v>
      </c>
      <c r="AA19" s="362">
        <f>S19-Z19</f>
        <v>0</v>
      </c>
      <c r="AB19" s="41"/>
      <c r="AC19" s="248">
        <v>0</v>
      </c>
      <c r="AD19" s="248">
        <f>S19-AC19</f>
        <v>0</v>
      </c>
    </row>
    <row r="20" spans="1:30" s="37" customFormat="1" ht="12" x14ac:dyDescent="0.2">
      <c r="A20" s="45"/>
      <c r="C20" s="199">
        <v>4571</v>
      </c>
      <c r="D20" s="37" t="s">
        <v>7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665">
        <f>'Rev &amp; Enroll'!F59*0.4</f>
        <v>0</v>
      </c>
      <c r="K20" s="39">
        <v>0</v>
      </c>
      <c r="L20" s="39">
        <v>0</v>
      </c>
      <c r="M20" s="39">
        <v>0</v>
      </c>
      <c r="N20" s="39">
        <v>0</v>
      </c>
      <c r="O20" s="665">
        <f>'Rev &amp; Enroll'!F59*0.6</f>
        <v>0</v>
      </c>
      <c r="P20" s="39">
        <v>0</v>
      </c>
      <c r="Q20" s="98"/>
      <c r="R20" s="41"/>
      <c r="S20" s="356">
        <f t="shared" si="13"/>
        <v>0</v>
      </c>
      <c r="T20" s="41"/>
      <c r="U20" s="364">
        <f t="shared" si="2"/>
        <v>0</v>
      </c>
      <c r="V20" s="41"/>
      <c r="W20" s="364">
        <v>0</v>
      </c>
      <c r="X20" s="362">
        <f t="shared" si="14"/>
        <v>0</v>
      </c>
      <c r="Y20" s="41"/>
      <c r="Z20" s="364">
        <v>0</v>
      </c>
      <c r="AA20" s="364">
        <f>S20-Z20</f>
        <v>0</v>
      </c>
      <c r="AB20" s="41"/>
      <c r="AC20" s="251">
        <v>0</v>
      </c>
      <c r="AD20" s="251">
        <f>S20-AC20</f>
        <v>0</v>
      </c>
    </row>
    <row r="21" spans="1:30" s="37" customFormat="1" ht="12" x14ac:dyDescent="0.2">
      <c r="A21" s="45"/>
      <c r="C21" s="38">
        <v>4703</v>
      </c>
      <c r="D21" s="37" t="s">
        <v>186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98"/>
      <c r="R21" s="41"/>
      <c r="S21" s="356">
        <f t="shared" ref="S21" si="15">SUM(E21:Q21)</f>
        <v>0</v>
      </c>
      <c r="T21" s="41"/>
      <c r="U21" s="364">
        <f t="shared" si="2"/>
        <v>0</v>
      </c>
      <c r="V21" s="41"/>
      <c r="W21" s="364">
        <v>0</v>
      </c>
      <c r="X21" s="362">
        <f t="shared" si="14"/>
        <v>0</v>
      </c>
      <c r="Y21" s="41"/>
      <c r="Z21" s="364">
        <v>0</v>
      </c>
      <c r="AA21" s="364">
        <f>S21-Z21</f>
        <v>0</v>
      </c>
      <c r="AB21" s="41"/>
      <c r="AC21" s="251">
        <v>0</v>
      </c>
      <c r="AD21" s="251">
        <f>S21-AC21</f>
        <v>0</v>
      </c>
    </row>
    <row r="22" spans="1:30" s="37" customFormat="1" ht="12" x14ac:dyDescent="0.2">
      <c r="A22" s="45"/>
      <c r="C22" s="38"/>
      <c r="E22" s="50">
        <f t="shared" ref="E22:O22" si="16">SUBTOTAL(9,E19:E21)</f>
        <v>0</v>
      </c>
      <c r="F22" s="50">
        <f t="shared" si="16"/>
        <v>0</v>
      </c>
      <c r="G22" s="50">
        <f t="shared" si="16"/>
        <v>0</v>
      </c>
      <c r="H22" s="50">
        <f t="shared" si="16"/>
        <v>0</v>
      </c>
      <c r="I22" s="50">
        <f t="shared" si="16"/>
        <v>0</v>
      </c>
      <c r="J22" s="50">
        <f t="shared" si="16"/>
        <v>0</v>
      </c>
      <c r="K22" s="50">
        <f t="shared" si="16"/>
        <v>0</v>
      </c>
      <c r="L22" s="50">
        <f t="shared" si="16"/>
        <v>0</v>
      </c>
      <c r="M22" s="50">
        <f t="shared" si="16"/>
        <v>0</v>
      </c>
      <c r="N22" s="50">
        <f t="shared" si="16"/>
        <v>0</v>
      </c>
      <c r="O22" s="50">
        <f t="shared" si="16"/>
        <v>0</v>
      </c>
      <c r="P22" s="50">
        <f t="shared" ref="P22" si="17">SUBTOTAL(9,P19:P21)</f>
        <v>0</v>
      </c>
      <c r="Q22" s="99"/>
      <c r="R22" s="41"/>
      <c r="S22" s="355">
        <f>SUBTOTAL(9,S19:S21)</f>
        <v>0</v>
      </c>
      <c r="T22" s="41"/>
      <c r="U22" s="363">
        <f t="shared" si="2"/>
        <v>0</v>
      </c>
      <c r="V22" s="41"/>
      <c r="W22" s="363">
        <v>0</v>
      </c>
      <c r="X22" s="363">
        <f>SUBTOTAL(9,X19:X21)</f>
        <v>0</v>
      </c>
      <c r="Y22" s="41"/>
      <c r="Z22" s="363">
        <v>0</v>
      </c>
      <c r="AA22" s="363">
        <f>SUBTOTAL(9,AA19:AA21)</f>
        <v>0</v>
      </c>
      <c r="AB22" s="41"/>
      <c r="AC22" s="250">
        <f>SUBTOTAL(9,AC19:AC21)</f>
        <v>0</v>
      </c>
      <c r="AD22" s="250">
        <f>SUBTOTAL(9,AD19:AD21)</f>
        <v>0</v>
      </c>
    </row>
    <row r="23" spans="1:30" s="37" customFormat="1" ht="12" x14ac:dyDescent="0.2">
      <c r="A23" s="45"/>
      <c r="C23" s="49" t="s">
        <v>150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100"/>
      <c r="R23" s="41"/>
      <c r="S23" s="356"/>
      <c r="T23" s="41"/>
      <c r="U23" s="364">
        <f t="shared" si="2"/>
        <v>0</v>
      </c>
      <c r="V23" s="41"/>
      <c r="W23" s="364"/>
      <c r="X23" s="364"/>
      <c r="Y23" s="41"/>
      <c r="Z23" s="364"/>
      <c r="AA23" s="364"/>
      <c r="AB23" s="41"/>
      <c r="AC23" s="251"/>
      <c r="AD23" s="251"/>
    </row>
    <row r="24" spans="1:30" s="37" customFormat="1" ht="12" x14ac:dyDescent="0.2">
      <c r="A24" s="45"/>
      <c r="C24" s="199">
        <v>1790</v>
      </c>
      <c r="D24" s="37" t="s">
        <v>4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98"/>
      <c r="R24" s="41"/>
      <c r="S24" s="354">
        <f>SUM(E24:Q24)</f>
        <v>0</v>
      </c>
      <c r="T24" s="41"/>
      <c r="U24" s="362">
        <f t="shared" si="2"/>
        <v>0</v>
      </c>
      <c r="V24" s="41"/>
      <c r="W24" s="362">
        <v>0</v>
      </c>
      <c r="X24" s="362">
        <f t="shared" ref="X24" si="18">S24-W24</f>
        <v>0</v>
      </c>
      <c r="Y24" s="41"/>
      <c r="Z24" s="362">
        <v>0</v>
      </c>
      <c r="AA24" s="362">
        <f>S24-Z24</f>
        <v>0</v>
      </c>
      <c r="AB24" s="41"/>
      <c r="AC24" s="248">
        <v>0</v>
      </c>
      <c r="AD24" s="248">
        <f>S24-AC24</f>
        <v>0</v>
      </c>
    </row>
    <row r="25" spans="1:30" s="37" customFormat="1" ht="12" x14ac:dyDescent="0.2">
      <c r="A25" s="45"/>
      <c r="C25" s="38"/>
      <c r="E25" s="50">
        <f t="shared" ref="E25:O25" si="19">SUBTOTAL(9,E24)</f>
        <v>0</v>
      </c>
      <c r="F25" s="50">
        <f t="shared" si="19"/>
        <v>0</v>
      </c>
      <c r="G25" s="50">
        <f t="shared" si="19"/>
        <v>0</v>
      </c>
      <c r="H25" s="50">
        <f t="shared" si="19"/>
        <v>0</v>
      </c>
      <c r="I25" s="50">
        <f t="shared" si="19"/>
        <v>0</v>
      </c>
      <c r="J25" s="50">
        <f t="shared" si="19"/>
        <v>0</v>
      </c>
      <c r="K25" s="50">
        <f t="shared" si="19"/>
        <v>0</v>
      </c>
      <c r="L25" s="50">
        <f t="shared" si="19"/>
        <v>0</v>
      </c>
      <c r="M25" s="50">
        <f t="shared" si="19"/>
        <v>0</v>
      </c>
      <c r="N25" s="50">
        <f t="shared" si="19"/>
        <v>0</v>
      </c>
      <c r="O25" s="50">
        <f t="shared" si="19"/>
        <v>0</v>
      </c>
      <c r="P25" s="50">
        <f t="shared" ref="P25:S25" si="20">SUBTOTAL(9,P24)</f>
        <v>0</v>
      </c>
      <c r="Q25" s="99"/>
      <c r="R25" s="41"/>
      <c r="S25" s="355">
        <f t="shared" si="20"/>
        <v>0</v>
      </c>
      <c r="T25" s="41"/>
      <c r="U25" s="363">
        <f t="shared" si="2"/>
        <v>0</v>
      </c>
      <c r="V25" s="41"/>
      <c r="W25" s="363">
        <v>0</v>
      </c>
      <c r="X25" s="363">
        <f>SUBTOTAL(9,X24)</f>
        <v>0</v>
      </c>
      <c r="Y25" s="41"/>
      <c r="Z25" s="363">
        <v>0</v>
      </c>
      <c r="AA25" s="363">
        <f>SUBTOTAL(9,AA24)</f>
        <v>0</v>
      </c>
      <c r="AB25" s="41"/>
      <c r="AC25" s="250">
        <f t="shared" ref="AC25:AD25" si="21">SUBTOTAL(9,AC24)</f>
        <v>0</v>
      </c>
      <c r="AD25" s="250">
        <f t="shared" si="21"/>
        <v>0</v>
      </c>
    </row>
    <row r="26" spans="1:30" s="37" customFormat="1" ht="9" customHeight="1" x14ac:dyDescent="0.2">
      <c r="A26" s="45"/>
      <c r="C26" s="38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100"/>
      <c r="R26" s="41"/>
      <c r="S26" s="354"/>
      <c r="T26" s="41"/>
      <c r="U26" s="362">
        <f t="shared" si="2"/>
        <v>0</v>
      </c>
      <c r="V26" s="41"/>
      <c r="W26" s="362"/>
      <c r="X26" s="362"/>
      <c r="Y26" s="41"/>
      <c r="Z26" s="362"/>
      <c r="AA26" s="362"/>
      <c r="AB26" s="41"/>
      <c r="AC26" s="248"/>
      <c r="AD26" s="248"/>
    </row>
    <row r="27" spans="1:30" s="45" customFormat="1" ht="12" x14ac:dyDescent="0.2">
      <c r="A27" s="45" t="s">
        <v>105</v>
      </c>
      <c r="C27" s="46"/>
      <c r="E27" s="43">
        <f t="shared" ref="E27:O27" si="22">SUBTOTAL(9,E8:E26)</f>
        <v>36959.999999999993</v>
      </c>
      <c r="F27" s="43">
        <f t="shared" si="22"/>
        <v>36959.999999999993</v>
      </c>
      <c r="G27" s="43">
        <f t="shared" si="22"/>
        <v>36959.999999999993</v>
      </c>
      <c r="H27" s="43">
        <f t="shared" si="22"/>
        <v>36959.999999999993</v>
      </c>
      <c r="I27" s="43">
        <f t="shared" si="22"/>
        <v>36959.999999999993</v>
      </c>
      <c r="J27" s="43">
        <f t="shared" si="22"/>
        <v>36959.999999999993</v>
      </c>
      <c r="K27" s="43">
        <f t="shared" si="22"/>
        <v>57359.999999999993</v>
      </c>
      <c r="L27" s="43">
        <f t="shared" si="22"/>
        <v>36959.999999999993</v>
      </c>
      <c r="M27" s="43">
        <f t="shared" si="22"/>
        <v>37151.999999999993</v>
      </c>
      <c r="N27" s="43">
        <f t="shared" si="22"/>
        <v>36959.999999999993</v>
      </c>
      <c r="O27" s="43">
        <f t="shared" si="22"/>
        <v>67560</v>
      </c>
      <c r="P27" s="43">
        <f t="shared" ref="P27" si="23">SUBTOTAL(9,P8:P26)</f>
        <v>36959.999999999993</v>
      </c>
      <c r="Q27" s="196"/>
      <c r="R27" s="48"/>
      <c r="S27" s="357">
        <f>SUBTOTAL(9,S8:S26)</f>
        <v>494711.99999999994</v>
      </c>
      <c r="T27" s="48"/>
      <c r="U27" s="365">
        <f t="shared" si="2"/>
        <v>316079.99999999994</v>
      </c>
      <c r="V27" s="48"/>
      <c r="W27" s="365">
        <v>680859.62</v>
      </c>
      <c r="X27" s="365">
        <f>SUBTOTAL(9,X8:X26)</f>
        <v>-186147.62000000005</v>
      </c>
      <c r="Y27" s="48"/>
      <c r="Z27" s="365">
        <v>883716.5</v>
      </c>
      <c r="AA27" s="365">
        <f>SUBTOTAL(9,AA8:AA26)</f>
        <v>-389004.5</v>
      </c>
      <c r="AB27" s="48"/>
      <c r="AC27" s="252">
        <f>SUBTOTAL(9,AC8:AC26)</f>
        <v>0</v>
      </c>
      <c r="AD27" s="252">
        <f>SUBTOTAL(9,AD8:AD26)</f>
        <v>494711.99999999994</v>
      </c>
    </row>
    <row r="28" spans="1:30" s="45" customFormat="1" ht="12" x14ac:dyDescent="0.2">
      <c r="C28" s="46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100"/>
      <c r="R28" s="48"/>
      <c r="S28" s="354"/>
      <c r="T28" s="48"/>
      <c r="U28" s="278">
        <f t="shared" si="2"/>
        <v>0</v>
      </c>
      <c r="V28" s="48"/>
      <c r="W28" s="278"/>
      <c r="X28" s="278"/>
      <c r="Y28" s="48"/>
      <c r="Z28" s="278"/>
      <c r="AA28" s="278"/>
      <c r="AB28" s="48"/>
      <c r="AC28" s="253"/>
      <c r="AD28" s="253"/>
    </row>
    <row r="29" spans="1:30" s="37" customFormat="1" ht="12" x14ac:dyDescent="0.2">
      <c r="A29" s="45" t="s">
        <v>59</v>
      </c>
      <c r="C29" s="3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44"/>
      <c r="R29" s="41"/>
      <c r="S29" s="354"/>
      <c r="T29" s="41"/>
      <c r="U29" s="362">
        <f t="shared" si="2"/>
        <v>0</v>
      </c>
      <c r="V29" s="41"/>
      <c r="W29" s="362"/>
      <c r="X29" s="362"/>
      <c r="Y29" s="41"/>
      <c r="Z29" s="362"/>
      <c r="AA29" s="362"/>
      <c r="AB29" s="41"/>
      <c r="AC29" s="248"/>
      <c r="AD29" s="248"/>
    </row>
    <row r="30" spans="1:30" s="37" customFormat="1" ht="12" x14ac:dyDescent="0.2">
      <c r="C30" s="49" t="s">
        <v>8</v>
      </c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44"/>
      <c r="R30" s="41"/>
      <c r="S30" s="354"/>
      <c r="T30" s="41"/>
      <c r="U30" s="362">
        <f t="shared" si="2"/>
        <v>0</v>
      </c>
      <c r="V30" s="41"/>
      <c r="W30" s="362"/>
      <c r="X30" s="362"/>
      <c r="Y30" s="41"/>
      <c r="Z30" s="362"/>
      <c r="AA30" s="362"/>
      <c r="AB30" s="41"/>
      <c r="AC30" s="248"/>
      <c r="AD30" s="248"/>
    </row>
    <row r="31" spans="1:30" s="37" customFormat="1" ht="12" x14ac:dyDescent="0.2">
      <c r="C31" s="199">
        <v>6111</v>
      </c>
      <c r="D31" s="37" t="s">
        <v>192</v>
      </c>
      <c r="E31" s="39">
        <f>Payroll!L13</f>
        <v>5856.1372499999998</v>
      </c>
      <c r="F31" s="39">
        <f>Payroll!M13</f>
        <v>5856.1372499999998</v>
      </c>
      <c r="G31" s="39">
        <f>Payroll!N13</f>
        <v>5856.1372499999998</v>
      </c>
      <c r="H31" s="39">
        <f>Payroll!O13</f>
        <v>5856.1372499999998</v>
      </c>
      <c r="I31" s="39">
        <f>Payroll!P13</f>
        <v>5856.1372499999998</v>
      </c>
      <c r="J31" s="39">
        <f>Payroll!Q13</f>
        <v>5856.1372499999998</v>
      </c>
      <c r="K31" s="39">
        <f>Payroll!R13</f>
        <v>5856.1372499999998</v>
      </c>
      <c r="L31" s="39">
        <f>Payroll!S13</f>
        <v>5856.1372499999998</v>
      </c>
      <c r="M31" s="39">
        <f>Payroll!T13</f>
        <v>5856.1372499999998</v>
      </c>
      <c r="N31" s="39">
        <f>Payroll!U13</f>
        <v>5856.1372499999998</v>
      </c>
      <c r="O31" s="39">
        <f>Payroll!V13</f>
        <v>5856.1372499999998</v>
      </c>
      <c r="P31" s="39">
        <f>Payroll!W13</f>
        <v>5856.1372499999998</v>
      </c>
      <c r="Q31" s="36"/>
      <c r="R31" s="41"/>
      <c r="S31" s="354">
        <f t="shared" ref="S31" si="24">SUM(E31:Q31)</f>
        <v>70273.646999999997</v>
      </c>
      <c r="T31" s="41"/>
      <c r="U31" s="362">
        <f t="shared" si="2"/>
        <v>46849.097999999998</v>
      </c>
      <c r="V31" s="41"/>
      <c r="W31" s="362">
        <v>47521.113749999997</v>
      </c>
      <c r="X31" s="362">
        <f t="shared" ref="X31:X40" si="25">S31-W31</f>
        <v>22752.53325</v>
      </c>
      <c r="Y31" s="41"/>
      <c r="Z31" s="362">
        <v>51517.215000000004</v>
      </c>
      <c r="AA31" s="362">
        <f t="shared" ref="AA31:AA40" si="26">Z31-S31</f>
        <v>-18756.431999999993</v>
      </c>
      <c r="AB31" s="41"/>
      <c r="AC31" s="248">
        <v>0</v>
      </c>
      <c r="AD31" s="248">
        <f t="shared" ref="AD31:AD40" si="27">AC31-S31</f>
        <v>-70273.646999999997</v>
      </c>
    </row>
    <row r="32" spans="1:30" s="37" customFormat="1" ht="12" x14ac:dyDescent="0.2">
      <c r="C32" s="199">
        <v>6114</v>
      </c>
      <c r="D32" s="37" t="s">
        <v>193</v>
      </c>
      <c r="E32" s="39">
        <f>Payroll!L19</f>
        <v>1821.875</v>
      </c>
      <c r="F32" s="39">
        <f>Payroll!M19</f>
        <v>1821.875</v>
      </c>
      <c r="G32" s="39">
        <f>Payroll!N19</f>
        <v>1821.875</v>
      </c>
      <c r="H32" s="39">
        <f>Payroll!O19</f>
        <v>1821.875</v>
      </c>
      <c r="I32" s="39">
        <f>Payroll!P19</f>
        <v>1821.875</v>
      </c>
      <c r="J32" s="39">
        <f>Payroll!Q19</f>
        <v>1821.875</v>
      </c>
      <c r="K32" s="39">
        <f>Payroll!R19</f>
        <v>1821.875</v>
      </c>
      <c r="L32" s="39">
        <f>Payroll!S19</f>
        <v>1821.875</v>
      </c>
      <c r="M32" s="39">
        <f>Payroll!T19</f>
        <v>1821.875</v>
      </c>
      <c r="N32" s="39">
        <f>Payroll!U19</f>
        <v>1821.875</v>
      </c>
      <c r="O32" s="39">
        <f>Payroll!V19</f>
        <v>1821.875</v>
      </c>
      <c r="P32" s="39">
        <f>Payroll!W19</f>
        <v>1821.875</v>
      </c>
      <c r="Q32" s="36"/>
      <c r="R32" s="41"/>
      <c r="S32" s="354">
        <f t="shared" ref="S32:S39" si="28">SUM(E32:Q32)</f>
        <v>21862.5</v>
      </c>
      <c r="T32" s="41"/>
      <c r="U32" s="362">
        <f t="shared" si="2"/>
        <v>14575</v>
      </c>
      <c r="V32" s="41"/>
      <c r="W32" s="362">
        <v>80641.89</v>
      </c>
      <c r="X32" s="362">
        <f t="shared" si="25"/>
        <v>-58779.39</v>
      </c>
      <c r="Y32" s="41"/>
      <c r="Z32" s="362">
        <v>80137.89</v>
      </c>
      <c r="AA32" s="362">
        <f t="shared" si="26"/>
        <v>58275.39</v>
      </c>
      <c r="AB32" s="41"/>
      <c r="AC32" s="248">
        <v>0</v>
      </c>
      <c r="AD32" s="248">
        <f t="shared" si="27"/>
        <v>-21862.5</v>
      </c>
    </row>
    <row r="33" spans="3:30" s="37" customFormat="1" ht="12" x14ac:dyDescent="0.2">
      <c r="C33" s="199">
        <v>6117</v>
      </c>
      <c r="D33" s="37" t="s">
        <v>229</v>
      </c>
      <c r="E33" s="39">
        <f>Payroll!L25</f>
        <v>3360.0787500000001</v>
      </c>
      <c r="F33" s="39">
        <f>Payroll!M25</f>
        <v>3360.0787500000001</v>
      </c>
      <c r="G33" s="39">
        <f>Payroll!N25</f>
        <v>3360.0787500000001</v>
      </c>
      <c r="H33" s="39">
        <f>Payroll!O25</f>
        <v>3360.0787500000001</v>
      </c>
      <c r="I33" s="39">
        <f>Payroll!P25</f>
        <v>3360.0787500000001</v>
      </c>
      <c r="J33" s="39">
        <f>Payroll!Q25</f>
        <v>3360.0787500000001</v>
      </c>
      <c r="K33" s="39">
        <f>Payroll!R25</f>
        <v>3360.0787500000001</v>
      </c>
      <c r="L33" s="39">
        <f>Payroll!S25</f>
        <v>3360.0787500000001</v>
      </c>
      <c r="M33" s="39">
        <f>Payroll!T25</f>
        <v>3360.0787500000001</v>
      </c>
      <c r="N33" s="39">
        <f>Payroll!U25</f>
        <v>3360.0787500000001</v>
      </c>
      <c r="O33" s="39">
        <f>Payroll!V25</f>
        <v>3360.0787500000001</v>
      </c>
      <c r="P33" s="39">
        <f>Payroll!W25</f>
        <v>3360.0787500000001</v>
      </c>
      <c r="Q33" s="36"/>
      <c r="R33" s="41"/>
      <c r="S33" s="354">
        <f t="shared" si="28"/>
        <v>40320.945</v>
      </c>
      <c r="T33" s="41"/>
      <c r="U33" s="362">
        <f t="shared" si="2"/>
        <v>26880.63</v>
      </c>
      <c r="V33" s="41"/>
      <c r="W33" s="362">
        <v>4140.0970312499985</v>
      </c>
      <c r="X33" s="362">
        <f t="shared" si="25"/>
        <v>36180.84796875</v>
      </c>
      <c r="Y33" s="41"/>
      <c r="Z33" s="362">
        <v>39496.531500000005</v>
      </c>
      <c r="AA33" s="362">
        <f t="shared" si="26"/>
        <v>-824.41349999999511</v>
      </c>
      <c r="AB33" s="41"/>
      <c r="AC33" s="248">
        <v>0</v>
      </c>
      <c r="AD33" s="248">
        <f t="shared" si="27"/>
        <v>-40320.945</v>
      </c>
    </row>
    <row r="34" spans="3:30" s="37" customFormat="1" ht="12" x14ac:dyDescent="0.2">
      <c r="C34" s="199">
        <v>6127</v>
      </c>
      <c r="D34" s="37" t="s">
        <v>230</v>
      </c>
      <c r="E34" s="39">
        <f>Payroll!L31</f>
        <v>866.66666666666663</v>
      </c>
      <c r="F34" s="39">
        <f>Payroll!M31</f>
        <v>866.66666666666663</v>
      </c>
      <c r="G34" s="39">
        <f>Payroll!N31</f>
        <v>866.66666666666663</v>
      </c>
      <c r="H34" s="39">
        <f>Payroll!O31</f>
        <v>866.66666666666663</v>
      </c>
      <c r="I34" s="39">
        <f>Payroll!P31</f>
        <v>866.66666666666663</v>
      </c>
      <c r="J34" s="39">
        <f>Payroll!Q31</f>
        <v>866.66666666666663</v>
      </c>
      <c r="K34" s="39">
        <f>Payroll!R31</f>
        <v>866.66666666666663</v>
      </c>
      <c r="L34" s="39">
        <f>Payroll!S31</f>
        <v>866.66666666666663</v>
      </c>
      <c r="M34" s="39">
        <f>Payroll!T31</f>
        <v>866.66666666666663</v>
      </c>
      <c r="N34" s="39">
        <f>Payroll!U31</f>
        <v>866.66666666666663</v>
      </c>
      <c r="O34" s="39">
        <f>Payroll!V31</f>
        <v>866.66666666666663</v>
      </c>
      <c r="P34" s="39">
        <f>Payroll!W31</f>
        <v>866.66666666666663</v>
      </c>
      <c r="Q34" s="36"/>
      <c r="R34" s="41"/>
      <c r="S34" s="354">
        <f t="shared" si="28"/>
        <v>10400</v>
      </c>
      <c r="T34" s="41"/>
      <c r="U34" s="362">
        <f t="shared" si="2"/>
        <v>6933.3333333333339</v>
      </c>
      <c r="V34" s="41"/>
      <c r="W34" s="362">
        <v>0</v>
      </c>
      <c r="X34" s="362">
        <f t="shared" si="25"/>
        <v>10400</v>
      </c>
      <c r="Y34" s="41"/>
      <c r="Z34" s="362">
        <v>8840.0000000000018</v>
      </c>
      <c r="AA34" s="362">
        <f t="shared" si="26"/>
        <v>-1559.9999999999982</v>
      </c>
      <c r="AB34" s="41"/>
      <c r="AC34" s="248">
        <v>0</v>
      </c>
      <c r="AD34" s="248">
        <f t="shared" si="27"/>
        <v>-10400</v>
      </c>
    </row>
    <row r="35" spans="3:30" s="37" customFormat="1" ht="12" x14ac:dyDescent="0.2">
      <c r="C35" s="199">
        <v>6151</v>
      </c>
      <c r="D35" s="37" t="s">
        <v>190</v>
      </c>
      <c r="E35" s="39">
        <f>Payroll!L37</f>
        <v>0</v>
      </c>
      <c r="F35" s="39">
        <f>Payroll!M37</f>
        <v>840</v>
      </c>
      <c r="G35" s="39">
        <f>Payroll!N37</f>
        <v>840</v>
      </c>
      <c r="H35" s="39">
        <f>Payroll!O37</f>
        <v>840</v>
      </c>
      <c r="I35" s="39">
        <f>Payroll!P37</f>
        <v>0</v>
      </c>
      <c r="J35" s="39">
        <f>Payroll!Q37</f>
        <v>0</v>
      </c>
      <c r="K35" s="39">
        <f>Payroll!R37</f>
        <v>0</v>
      </c>
      <c r="L35" s="39">
        <f>Payroll!S37</f>
        <v>840</v>
      </c>
      <c r="M35" s="39">
        <f>Payroll!T37</f>
        <v>840</v>
      </c>
      <c r="N35" s="39">
        <f>Payroll!U37</f>
        <v>0</v>
      </c>
      <c r="O35" s="39">
        <f>Payroll!V37</f>
        <v>0</v>
      </c>
      <c r="P35" s="39">
        <f>Payroll!W37</f>
        <v>0</v>
      </c>
      <c r="Q35" s="36"/>
      <c r="R35" s="41"/>
      <c r="S35" s="354">
        <f t="shared" si="28"/>
        <v>4200</v>
      </c>
      <c r="T35" s="41"/>
      <c r="U35" s="362">
        <f t="shared" si="2"/>
        <v>3360</v>
      </c>
      <c r="V35" s="41"/>
      <c r="W35" s="362">
        <v>3000</v>
      </c>
      <c r="X35" s="362">
        <f t="shared" si="25"/>
        <v>1200</v>
      </c>
      <c r="Y35" s="41"/>
      <c r="Z35" s="362">
        <v>3000</v>
      </c>
      <c r="AA35" s="362">
        <f t="shared" si="26"/>
        <v>-1200</v>
      </c>
      <c r="AB35" s="41"/>
      <c r="AC35" s="248">
        <v>0</v>
      </c>
      <c r="AD35" s="248">
        <f t="shared" si="27"/>
        <v>-4200</v>
      </c>
    </row>
    <row r="36" spans="3:30" s="37" customFormat="1" ht="12" x14ac:dyDescent="0.2">
      <c r="C36" s="199">
        <v>6154</v>
      </c>
      <c r="D36" s="37" t="s">
        <v>191</v>
      </c>
      <c r="E36" s="39">
        <f>Payroll!L43</f>
        <v>0</v>
      </c>
      <c r="F36" s="39">
        <f>Payroll!M43</f>
        <v>0</v>
      </c>
      <c r="G36" s="39">
        <f>Payroll!N43</f>
        <v>0</v>
      </c>
      <c r="H36" s="39">
        <f>Payroll!O43</f>
        <v>0</v>
      </c>
      <c r="I36" s="39">
        <f>Payroll!P43</f>
        <v>0</v>
      </c>
      <c r="J36" s="39">
        <f>Payroll!Q43</f>
        <v>0</v>
      </c>
      <c r="K36" s="39">
        <f>Payroll!R43</f>
        <v>0</v>
      </c>
      <c r="L36" s="39">
        <f>Payroll!S43</f>
        <v>0</v>
      </c>
      <c r="M36" s="39">
        <f>Payroll!T43</f>
        <v>840</v>
      </c>
      <c r="N36" s="39">
        <f>Payroll!U43</f>
        <v>0</v>
      </c>
      <c r="O36" s="39">
        <f>Payroll!V43</f>
        <v>0</v>
      </c>
      <c r="P36" s="39">
        <f>Payroll!W43</f>
        <v>750</v>
      </c>
      <c r="Q36" s="36"/>
      <c r="R36" s="41"/>
      <c r="S36" s="354">
        <f t="shared" si="28"/>
        <v>1590</v>
      </c>
      <c r="T36" s="41"/>
      <c r="U36" s="362">
        <f t="shared" si="2"/>
        <v>0</v>
      </c>
      <c r="V36" s="41"/>
      <c r="W36" s="362">
        <v>6750</v>
      </c>
      <c r="X36" s="362">
        <f t="shared" si="25"/>
        <v>-5160</v>
      </c>
      <c r="Y36" s="41"/>
      <c r="Z36" s="362">
        <v>3000</v>
      </c>
      <c r="AA36" s="362">
        <f t="shared" si="26"/>
        <v>1410</v>
      </c>
      <c r="AB36" s="41"/>
      <c r="AC36" s="248">
        <v>0</v>
      </c>
      <c r="AD36" s="248">
        <f t="shared" si="27"/>
        <v>-1590</v>
      </c>
    </row>
    <row r="37" spans="3:30" s="37" customFormat="1" ht="12" x14ac:dyDescent="0.2">
      <c r="C37" s="199">
        <v>6157</v>
      </c>
      <c r="D37" s="37" t="s">
        <v>231</v>
      </c>
      <c r="E37" s="39">
        <f>Payroll!L49</f>
        <v>0</v>
      </c>
      <c r="F37" s="39">
        <f>Payroll!M49</f>
        <v>750</v>
      </c>
      <c r="G37" s="39">
        <f>Payroll!N49</f>
        <v>750</v>
      </c>
      <c r="H37" s="39">
        <f>Payroll!O49</f>
        <v>0</v>
      </c>
      <c r="I37" s="39">
        <f>Payroll!P49</f>
        <v>0</v>
      </c>
      <c r="J37" s="39">
        <f>Payroll!Q49</f>
        <v>0</v>
      </c>
      <c r="K37" s="39">
        <f>Payroll!R49</f>
        <v>750</v>
      </c>
      <c r="L37" s="39">
        <f>Payroll!S49</f>
        <v>750</v>
      </c>
      <c r="M37" s="39">
        <f>Payroll!T49</f>
        <v>0</v>
      </c>
      <c r="N37" s="39">
        <f>Payroll!U49</f>
        <v>0</v>
      </c>
      <c r="O37" s="39">
        <f>Payroll!V49</f>
        <v>0</v>
      </c>
      <c r="P37" s="39">
        <f>Payroll!W49</f>
        <v>0</v>
      </c>
      <c r="Q37" s="36"/>
      <c r="R37" s="41"/>
      <c r="S37" s="354">
        <f t="shared" si="28"/>
        <v>3000</v>
      </c>
      <c r="T37" s="41"/>
      <c r="U37" s="362">
        <f t="shared" si="2"/>
        <v>3000</v>
      </c>
      <c r="V37" s="41"/>
      <c r="W37" s="362">
        <v>0</v>
      </c>
      <c r="X37" s="362">
        <f t="shared" si="25"/>
        <v>3000</v>
      </c>
      <c r="Y37" s="41"/>
      <c r="Z37" s="362">
        <v>3000</v>
      </c>
      <c r="AA37" s="362">
        <f t="shared" si="26"/>
        <v>0</v>
      </c>
      <c r="AB37" s="41"/>
      <c r="AC37" s="248">
        <v>0</v>
      </c>
      <c r="AD37" s="248">
        <f t="shared" si="27"/>
        <v>-3000</v>
      </c>
    </row>
    <row r="38" spans="3:30" s="37" customFormat="1" ht="12" x14ac:dyDescent="0.2">
      <c r="C38" s="199">
        <v>6161</v>
      </c>
      <c r="D38" s="37" t="s">
        <v>97</v>
      </c>
      <c r="E38" s="39">
        <f>Payroll!L55</f>
        <v>0</v>
      </c>
      <c r="F38" s="39">
        <f>Payroll!M55</f>
        <v>0</v>
      </c>
      <c r="G38" s="39">
        <f>Payroll!N55</f>
        <v>0</v>
      </c>
      <c r="H38" s="39">
        <f>Payroll!O55</f>
        <v>0</v>
      </c>
      <c r="I38" s="39">
        <f>Payroll!P55</f>
        <v>0</v>
      </c>
      <c r="J38" s="39">
        <f>Payroll!Q55</f>
        <v>0</v>
      </c>
      <c r="K38" s="39">
        <f>Payroll!R55</f>
        <v>0</v>
      </c>
      <c r="L38" s="39">
        <f>Payroll!S55</f>
        <v>0</v>
      </c>
      <c r="M38" s="39">
        <f>Payroll!T55</f>
        <v>0</v>
      </c>
      <c r="N38" s="39">
        <f>Payroll!U55</f>
        <v>0</v>
      </c>
      <c r="O38" s="39">
        <f>Payroll!V55</f>
        <v>0</v>
      </c>
      <c r="P38" s="39">
        <f>Payroll!W55</f>
        <v>0</v>
      </c>
      <c r="Q38" s="36"/>
      <c r="R38" s="41"/>
      <c r="S38" s="354">
        <f t="shared" si="28"/>
        <v>0</v>
      </c>
      <c r="T38" s="41"/>
      <c r="U38" s="362">
        <f t="shared" si="2"/>
        <v>0</v>
      </c>
      <c r="V38" s="41"/>
      <c r="W38" s="362">
        <v>0</v>
      </c>
      <c r="X38" s="362">
        <f t="shared" si="25"/>
        <v>0</v>
      </c>
      <c r="Y38" s="41"/>
      <c r="Z38" s="362">
        <v>0</v>
      </c>
      <c r="AA38" s="362">
        <f t="shared" si="26"/>
        <v>0</v>
      </c>
      <c r="AB38" s="41"/>
      <c r="AC38" s="248">
        <v>0</v>
      </c>
      <c r="AD38" s="248">
        <f t="shared" si="27"/>
        <v>0</v>
      </c>
    </row>
    <row r="39" spans="3:30" s="37" customFormat="1" ht="12" x14ac:dyDescent="0.2">
      <c r="C39" s="199">
        <v>6164</v>
      </c>
      <c r="D39" s="37" t="s">
        <v>98</v>
      </c>
      <c r="E39" s="39">
        <f>Payroll!L61</f>
        <v>0</v>
      </c>
      <c r="F39" s="39">
        <f>Payroll!M61</f>
        <v>0</v>
      </c>
      <c r="G39" s="39">
        <f>Payroll!N61</f>
        <v>0</v>
      </c>
      <c r="H39" s="39">
        <f>Payroll!O61</f>
        <v>0</v>
      </c>
      <c r="I39" s="39">
        <f>Payroll!P61</f>
        <v>0</v>
      </c>
      <c r="J39" s="39">
        <f>Payroll!Q61</f>
        <v>0</v>
      </c>
      <c r="K39" s="39">
        <f>Payroll!R61</f>
        <v>0</v>
      </c>
      <c r="L39" s="39">
        <f>Payroll!S61</f>
        <v>0</v>
      </c>
      <c r="M39" s="39">
        <f>Payroll!T61</f>
        <v>0</v>
      </c>
      <c r="N39" s="39">
        <f>Payroll!U61</f>
        <v>0</v>
      </c>
      <c r="O39" s="39">
        <f>Payroll!V61</f>
        <v>0</v>
      </c>
      <c r="P39" s="39">
        <f>Payroll!W61</f>
        <v>0</v>
      </c>
      <c r="Q39" s="36"/>
      <c r="R39" s="41"/>
      <c r="S39" s="354">
        <f t="shared" si="28"/>
        <v>0</v>
      </c>
      <c r="T39" s="41"/>
      <c r="U39" s="362">
        <f t="shared" si="2"/>
        <v>0</v>
      </c>
      <c r="V39" s="41"/>
      <c r="W39" s="362">
        <v>0</v>
      </c>
      <c r="X39" s="362">
        <f t="shared" si="25"/>
        <v>0</v>
      </c>
      <c r="Y39" s="41"/>
      <c r="Z39" s="362">
        <v>0</v>
      </c>
      <c r="AA39" s="362">
        <f t="shared" si="26"/>
        <v>0</v>
      </c>
      <c r="AB39" s="41"/>
      <c r="AC39" s="248">
        <v>0</v>
      </c>
      <c r="AD39" s="248">
        <f t="shared" si="27"/>
        <v>0</v>
      </c>
    </row>
    <row r="40" spans="3:30" s="37" customFormat="1" ht="12" x14ac:dyDescent="0.2">
      <c r="C40" s="199">
        <v>6167</v>
      </c>
      <c r="D40" s="37" t="s">
        <v>232</v>
      </c>
      <c r="E40" s="39">
        <f>Payroll!L67</f>
        <v>0</v>
      </c>
      <c r="F40" s="39">
        <f>Payroll!M67</f>
        <v>0</v>
      </c>
      <c r="G40" s="39">
        <f>Payroll!N67</f>
        <v>0</v>
      </c>
      <c r="H40" s="39">
        <f>Payroll!O67</f>
        <v>0</v>
      </c>
      <c r="I40" s="39">
        <f>Payroll!P67</f>
        <v>0</v>
      </c>
      <c r="J40" s="39">
        <f>Payroll!Q67</f>
        <v>0</v>
      </c>
      <c r="K40" s="39">
        <f>Payroll!R67</f>
        <v>0</v>
      </c>
      <c r="L40" s="39">
        <f>Payroll!S67</f>
        <v>0</v>
      </c>
      <c r="M40" s="39">
        <f>Payroll!T67</f>
        <v>0</v>
      </c>
      <c r="N40" s="39">
        <f>Payroll!U67</f>
        <v>0</v>
      </c>
      <c r="O40" s="39">
        <f>Payroll!V67</f>
        <v>0</v>
      </c>
      <c r="P40" s="39">
        <f>Payroll!W67</f>
        <v>0</v>
      </c>
      <c r="Q40" s="36"/>
      <c r="R40" s="41"/>
      <c r="S40" s="354">
        <f>SUM(E40:Q40)</f>
        <v>0</v>
      </c>
      <c r="T40" s="41"/>
      <c r="U40" s="362">
        <f t="shared" si="2"/>
        <v>0</v>
      </c>
      <c r="V40" s="41"/>
      <c r="W40" s="362">
        <v>0</v>
      </c>
      <c r="X40" s="362">
        <f t="shared" si="25"/>
        <v>0</v>
      </c>
      <c r="Y40" s="41"/>
      <c r="Z40" s="362">
        <v>0</v>
      </c>
      <c r="AA40" s="362">
        <f t="shared" si="26"/>
        <v>0</v>
      </c>
      <c r="AB40" s="41"/>
      <c r="AC40" s="248">
        <v>0</v>
      </c>
      <c r="AD40" s="248">
        <f t="shared" si="27"/>
        <v>0</v>
      </c>
    </row>
    <row r="41" spans="3:30" s="37" customFormat="1" ht="12" x14ac:dyDescent="0.2">
      <c r="C41" s="38"/>
      <c r="E41" s="50">
        <f t="shared" ref="E41:O41" si="29">SUBTOTAL(9,E31:E40)</f>
        <v>11904.757666666666</v>
      </c>
      <c r="F41" s="50">
        <f t="shared" si="29"/>
        <v>13494.757666666666</v>
      </c>
      <c r="G41" s="50">
        <f t="shared" si="29"/>
        <v>13494.757666666666</v>
      </c>
      <c r="H41" s="50">
        <f t="shared" si="29"/>
        <v>12744.757666666666</v>
      </c>
      <c r="I41" s="50">
        <f t="shared" si="29"/>
        <v>11904.757666666666</v>
      </c>
      <c r="J41" s="50">
        <f t="shared" si="29"/>
        <v>11904.757666666666</v>
      </c>
      <c r="K41" s="50">
        <f t="shared" si="29"/>
        <v>12654.757666666666</v>
      </c>
      <c r="L41" s="50">
        <f t="shared" si="29"/>
        <v>13494.757666666666</v>
      </c>
      <c r="M41" s="50">
        <f t="shared" si="29"/>
        <v>13584.757666666666</v>
      </c>
      <c r="N41" s="50">
        <f t="shared" si="29"/>
        <v>11904.757666666666</v>
      </c>
      <c r="O41" s="50">
        <f t="shared" si="29"/>
        <v>11904.757666666666</v>
      </c>
      <c r="P41" s="50">
        <f t="shared" ref="P41" si="30">SUBTOTAL(9,P31:P40)</f>
        <v>12654.757666666666</v>
      </c>
      <c r="Q41" s="51"/>
      <c r="R41" s="41"/>
      <c r="S41" s="355">
        <f>SUBTOTAL(9,S31:S40)</f>
        <v>151647.092</v>
      </c>
      <c r="T41" s="41"/>
      <c r="U41" s="363">
        <f t="shared" si="2"/>
        <v>101598.06133333335</v>
      </c>
      <c r="V41" s="41"/>
      <c r="W41" s="363">
        <v>142053.10078124999</v>
      </c>
      <c r="X41" s="363">
        <f>SUBTOTAL(9,X31:X40)</f>
        <v>9593.9912187500013</v>
      </c>
      <c r="Y41" s="41"/>
      <c r="Z41" s="363">
        <v>188991.63650000002</v>
      </c>
      <c r="AA41" s="363">
        <f>SUBTOTAL(9,AA31:AA40)</f>
        <v>37344.544500000011</v>
      </c>
      <c r="AB41" s="41"/>
      <c r="AC41" s="250">
        <f>SUBTOTAL(9,AC31:AC40)</f>
        <v>0</v>
      </c>
      <c r="AD41" s="250">
        <f>SUBTOTAL(9,AD31:AD40)</f>
        <v>-151647.092</v>
      </c>
    </row>
    <row r="42" spans="3:30" s="37" customFormat="1" ht="12" x14ac:dyDescent="0.2">
      <c r="C42" s="49" t="s">
        <v>99</v>
      </c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44"/>
      <c r="R42" s="41"/>
      <c r="S42" s="354"/>
      <c r="T42" s="41"/>
      <c r="U42" s="362">
        <f t="shared" si="2"/>
        <v>0</v>
      </c>
      <c r="V42" s="41"/>
      <c r="W42" s="362"/>
      <c r="X42" s="362"/>
      <c r="Y42" s="41"/>
      <c r="Z42" s="362"/>
      <c r="AA42" s="362"/>
      <c r="AB42" s="41"/>
      <c r="AC42" s="248"/>
      <c r="AD42" s="248"/>
    </row>
    <row r="43" spans="3:30" s="37" customFormat="1" ht="12" x14ac:dyDescent="0.2">
      <c r="C43" s="199">
        <v>6211</v>
      </c>
      <c r="D43" s="37" t="s">
        <v>199</v>
      </c>
      <c r="E43" s="39">
        <f>+Payroll!L90</f>
        <v>37</v>
      </c>
      <c r="F43" s="39">
        <f>+Payroll!M90</f>
        <v>37</v>
      </c>
      <c r="G43" s="39">
        <f>+Payroll!N90</f>
        <v>37</v>
      </c>
      <c r="H43" s="39">
        <f>+Payroll!O90</f>
        <v>37</v>
      </c>
      <c r="I43" s="39">
        <f>+Payroll!P90</f>
        <v>37</v>
      </c>
      <c r="J43" s="39">
        <f>+Payroll!Q90</f>
        <v>37</v>
      </c>
      <c r="K43" s="39">
        <f>+Payroll!R90</f>
        <v>37</v>
      </c>
      <c r="L43" s="39">
        <f>+Payroll!S90</f>
        <v>37</v>
      </c>
      <c r="M43" s="39">
        <f>+Payroll!T90</f>
        <v>37</v>
      </c>
      <c r="N43" s="39">
        <f>+Payroll!U90</f>
        <v>37</v>
      </c>
      <c r="O43" s="39">
        <f>+Payroll!V90</f>
        <v>37</v>
      </c>
      <c r="P43" s="39">
        <f>+Payroll!W90</f>
        <v>37</v>
      </c>
      <c r="Q43" s="36"/>
      <c r="R43" s="41"/>
      <c r="S43" s="354">
        <f t="shared" ref="S43:S61" si="31">SUM(E43:Q43)</f>
        <v>444</v>
      </c>
      <c r="T43" s="41"/>
      <c r="U43" s="362">
        <f t="shared" si="2"/>
        <v>296</v>
      </c>
      <c r="V43" s="41"/>
      <c r="W43" s="362">
        <v>444</v>
      </c>
      <c r="X43" s="362">
        <f t="shared" ref="X43:X61" si="32">S43-W43</f>
        <v>0</v>
      </c>
      <c r="Y43" s="41"/>
      <c r="Z43" s="362">
        <v>444</v>
      </c>
      <c r="AA43" s="362">
        <f t="shared" ref="AA43:AA61" si="33">Z43-S43</f>
        <v>0</v>
      </c>
      <c r="AB43" s="41"/>
      <c r="AC43" s="248">
        <v>0</v>
      </c>
      <c r="AD43" s="248">
        <f t="shared" ref="AD43:AD61" si="34">AC43-S43</f>
        <v>-444</v>
      </c>
    </row>
    <row r="44" spans="3:30" s="37" customFormat="1" ht="12" x14ac:dyDescent="0.2">
      <c r="C44" s="199">
        <v>6214</v>
      </c>
      <c r="D44" s="37" t="s">
        <v>200</v>
      </c>
      <c r="E44" s="39">
        <f>+Payroll!L91</f>
        <v>9.25</v>
      </c>
      <c r="F44" s="39">
        <f>+Payroll!M91</f>
        <v>9.25</v>
      </c>
      <c r="G44" s="39">
        <f>+Payroll!N91</f>
        <v>9.25</v>
      </c>
      <c r="H44" s="39">
        <f>+Payroll!O91</f>
        <v>9.25</v>
      </c>
      <c r="I44" s="39">
        <f>+Payroll!P91</f>
        <v>9.25</v>
      </c>
      <c r="J44" s="39">
        <f>+Payroll!Q91</f>
        <v>9.25</v>
      </c>
      <c r="K44" s="39">
        <f>+Payroll!R91</f>
        <v>9.25</v>
      </c>
      <c r="L44" s="39">
        <f>+Payroll!S91</f>
        <v>9.25</v>
      </c>
      <c r="M44" s="39">
        <f>+Payroll!T91</f>
        <v>9.25</v>
      </c>
      <c r="N44" s="39">
        <f>+Payroll!U91</f>
        <v>9.25</v>
      </c>
      <c r="O44" s="39">
        <f>+Payroll!V91</f>
        <v>9.25</v>
      </c>
      <c r="P44" s="39">
        <f>+Payroll!W91</f>
        <v>9.25</v>
      </c>
      <c r="Q44" s="36"/>
      <c r="R44" s="41"/>
      <c r="S44" s="354">
        <f t="shared" si="31"/>
        <v>111</v>
      </c>
      <c r="T44" s="41"/>
      <c r="U44" s="362">
        <f t="shared" si="2"/>
        <v>74</v>
      </c>
      <c r="V44" s="41"/>
      <c r="W44" s="362">
        <v>444</v>
      </c>
      <c r="X44" s="362">
        <f t="shared" si="32"/>
        <v>-333</v>
      </c>
      <c r="Y44" s="41"/>
      <c r="Z44" s="362">
        <v>444</v>
      </c>
      <c r="AA44" s="362">
        <f t="shared" si="33"/>
        <v>333</v>
      </c>
      <c r="AB44" s="41"/>
      <c r="AC44" s="248">
        <v>0</v>
      </c>
      <c r="AD44" s="248">
        <f t="shared" si="34"/>
        <v>-111</v>
      </c>
    </row>
    <row r="45" spans="3:30" s="37" customFormat="1" ht="12" x14ac:dyDescent="0.2">
      <c r="C45" s="199">
        <v>6217</v>
      </c>
      <c r="D45" s="37" t="s">
        <v>223</v>
      </c>
      <c r="E45" s="39">
        <f>+Payroll!L92</f>
        <v>37</v>
      </c>
      <c r="F45" s="39">
        <f>+Payroll!M92</f>
        <v>37</v>
      </c>
      <c r="G45" s="39">
        <f>+Payroll!N92</f>
        <v>37</v>
      </c>
      <c r="H45" s="39">
        <f>+Payroll!O92</f>
        <v>37</v>
      </c>
      <c r="I45" s="39">
        <f>+Payroll!P92</f>
        <v>37</v>
      </c>
      <c r="J45" s="39">
        <f>+Payroll!Q92</f>
        <v>37</v>
      </c>
      <c r="K45" s="39">
        <f>+Payroll!R92</f>
        <v>37</v>
      </c>
      <c r="L45" s="39">
        <f>+Payroll!S92</f>
        <v>37</v>
      </c>
      <c r="M45" s="39">
        <f>+Payroll!T92</f>
        <v>37</v>
      </c>
      <c r="N45" s="39">
        <f>+Payroll!U92</f>
        <v>37</v>
      </c>
      <c r="O45" s="39">
        <f>+Payroll!V92</f>
        <v>37</v>
      </c>
      <c r="P45" s="39">
        <f>+Payroll!W92</f>
        <v>37</v>
      </c>
      <c r="Q45" s="36"/>
      <c r="R45" s="41"/>
      <c r="S45" s="354">
        <f t="shared" si="31"/>
        <v>444</v>
      </c>
      <c r="T45" s="41"/>
      <c r="U45" s="362">
        <f t="shared" si="2"/>
        <v>296</v>
      </c>
      <c r="V45" s="41"/>
      <c r="W45" s="362">
        <v>0</v>
      </c>
      <c r="X45" s="362">
        <f t="shared" si="32"/>
        <v>444</v>
      </c>
      <c r="Y45" s="41"/>
      <c r="Z45" s="362">
        <v>444</v>
      </c>
      <c r="AA45" s="362">
        <f t="shared" si="33"/>
        <v>0</v>
      </c>
      <c r="AB45" s="41"/>
      <c r="AC45" s="248">
        <v>0</v>
      </c>
      <c r="AD45" s="248">
        <f t="shared" si="34"/>
        <v>-444</v>
      </c>
    </row>
    <row r="46" spans="3:30" s="37" customFormat="1" ht="12" x14ac:dyDescent="0.2">
      <c r="C46" s="199">
        <v>6227</v>
      </c>
      <c r="D46" s="37" t="s">
        <v>222</v>
      </c>
      <c r="E46" s="39">
        <f>+Payroll!L94</f>
        <v>53.733333333333327</v>
      </c>
      <c r="F46" s="39">
        <f>+Payroll!M94</f>
        <v>53.733333333333327</v>
      </c>
      <c r="G46" s="39">
        <f>+Payroll!N94</f>
        <v>53.733333333333327</v>
      </c>
      <c r="H46" s="39">
        <f>+Payroll!O94</f>
        <v>53.733333333333327</v>
      </c>
      <c r="I46" s="39">
        <f>+Payroll!P94</f>
        <v>53.733333333333327</v>
      </c>
      <c r="J46" s="39">
        <f>+Payroll!Q94</f>
        <v>53.733333333333327</v>
      </c>
      <c r="K46" s="39">
        <f>+Payroll!R94</f>
        <v>53.733333333333327</v>
      </c>
      <c r="L46" s="39">
        <f>+Payroll!S94</f>
        <v>53.733333333333327</v>
      </c>
      <c r="M46" s="39">
        <f>+Payroll!T94</f>
        <v>53.733333333333327</v>
      </c>
      <c r="N46" s="39">
        <f>+Payroll!U94</f>
        <v>53.733333333333327</v>
      </c>
      <c r="O46" s="39">
        <f>+Payroll!V94</f>
        <v>53.733333333333327</v>
      </c>
      <c r="P46" s="39">
        <f>+Payroll!W94</f>
        <v>53.733333333333327</v>
      </c>
      <c r="Q46" s="36"/>
      <c r="R46" s="41"/>
      <c r="S46" s="354">
        <f t="shared" si="31"/>
        <v>644.80000000000007</v>
      </c>
      <c r="T46" s="41"/>
      <c r="U46" s="362">
        <f t="shared" si="2"/>
        <v>429.86666666666667</v>
      </c>
      <c r="V46" s="41"/>
      <c r="W46" s="362">
        <v>0</v>
      </c>
      <c r="X46" s="362">
        <f t="shared" si="32"/>
        <v>644.80000000000007</v>
      </c>
      <c r="Y46" s="41"/>
      <c r="Z46" s="362">
        <v>548.08000000000004</v>
      </c>
      <c r="AA46" s="362">
        <f t="shared" si="33"/>
        <v>-96.720000000000027</v>
      </c>
      <c r="AB46" s="41"/>
      <c r="AC46" s="248">
        <v>0</v>
      </c>
      <c r="AD46" s="248">
        <f t="shared" si="34"/>
        <v>-644.80000000000007</v>
      </c>
    </row>
    <row r="47" spans="3:30" s="37" customFormat="1" ht="12" x14ac:dyDescent="0.2">
      <c r="C47" s="199">
        <v>6231</v>
      </c>
      <c r="D47" s="37" t="s">
        <v>206</v>
      </c>
      <c r="E47" s="39">
        <f>+Payroll!L96</f>
        <v>893.06093062499997</v>
      </c>
      <c r="F47" s="39">
        <f>+Payroll!M96</f>
        <v>893.06093062499997</v>
      </c>
      <c r="G47" s="39">
        <f>+Payroll!N96</f>
        <v>893.06093062499997</v>
      </c>
      <c r="H47" s="39">
        <f>+Payroll!O96</f>
        <v>893.06093062499997</v>
      </c>
      <c r="I47" s="39">
        <f>+Payroll!P96</f>
        <v>893.06093062499997</v>
      </c>
      <c r="J47" s="39">
        <f>+Payroll!Q96</f>
        <v>893.06093062499997</v>
      </c>
      <c r="K47" s="39">
        <f>+Payroll!R96</f>
        <v>893.06093062499997</v>
      </c>
      <c r="L47" s="39">
        <f>+Payroll!S96</f>
        <v>893.06093062499997</v>
      </c>
      <c r="M47" s="39">
        <f>+Payroll!T96</f>
        <v>893.06093062499997</v>
      </c>
      <c r="N47" s="39">
        <f>+Payroll!U96</f>
        <v>893.06093062499997</v>
      </c>
      <c r="O47" s="39">
        <f>+Payroll!V96</f>
        <v>893.06093062499997</v>
      </c>
      <c r="P47" s="39">
        <f>+Payroll!W96</f>
        <v>893.06093062499997</v>
      </c>
      <c r="Q47" s="36"/>
      <c r="R47" s="41"/>
      <c r="S47" s="354">
        <f>SUM(E47:Q47)</f>
        <v>10716.731167500002</v>
      </c>
      <c r="T47" s="41"/>
      <c r="U47" s="362">
        <f t="shared" si="2"/>
        <v>7144.4874449999998</v>
      </c>
      <c r="V47" s="41"/>
      <c r="W47" s="362">
        <v>7246.9698468750003</v>
      </c>
      <c r="X47" s="362">
        <f t="shared" si="32"/>
        <v>3469.7613206250016</v>
      </c>
      <c r="Y47" s="41"/>
      <c r="Z47" s="362">
        <v>7856.3752875000018</v>
      </c>
      <c r="AA47" s="362">
        <f t="shared" si="33"/>
        <v>-2860.3558800000001</v>
      </c>
      <c r="AB47" s="41"/>
      <c r="AC47" s="248">
        <v>0</v>
      </c>
      <c r="AD47" s="248">
        <f t="shared" si="34"/>
        <v>-10716.731167500002</v>
      </c>
    </row>
    <row r="48" spans="3:30" s="37" customFormat="1" ht="12" x14ac:dyDescent="0.2">
      <c r="C48" s="199">
        <v>6234</v>
      </c>
      <c r="D48" s="37" t="s">
        <v>207</v>
      </c>
      <c r="E48" s="39">
        <f>+Payroll!L97</f>
        <v>532.8984375</v>
      </c>
      <c r="F48" s="39">
        <f>+Payroll!M97</f>
        <v>532.8984375</v>
      </c>
      <c r="G48" s="39">
        <f>+Payroll!N97</f>
        <v>532.8984375</v>
      </c>
      <c r="H48" s="39">
        <f>+Payroll!O97</f>
        <v>532.8984375</v>
      </c>
      <c r="I48" s="39">
        <f>+Payroll!P97</f>
        <v>532.8984375</v>
      </c>
      <c r="J48" s="39">
        <f>+Payroll!Q97</f>
        <v>532.8984375</v>
      </c>
      <c r="K48" s="39">
        <f>+Payroll!R97</f>
        <v>532.8984375</v>
      </c>
      <c r="L48" s="39">
        <f>+Payroll!S97</f>
        <v>532.8984375</v>
      </c>
      <c r="M48" s="39">
        <f>+Payroll!T97</f>
        <v>532.8984375</v>
      </c>
      <c r="N48" s="39">
        <f>+Payroll!U97</f>
        <v>532.8984375</v>
      </c>
      <c r="O48" s="39">
        <f>+Payroll!V97</f>
        <v>532.8984375</v>
      </c>
      <c r="P48" s="39">
        <f>+Payroll!W97</f>
        <v>532.8984375</v>
      </c>
      <c r="Q48" s="36"/>
      <c r="R48" s="41"/>
      <c r="S48" s="354">
        <f t="shared" si="31"/>
        <v>6394.78125</v>
      </c>
      <c r="T48" s="41"/>
      <c r="U48" s="362">
        <f t="shared" si="2"/>
        <v>4263.1875</v>
      </c>
      <c r="V48" s="41"/>
      <c r="W48" s="362">
        <v>12297.888224999997</v>
      </c>
      <c r="X48" s="362">
        <f t="shared" si="32"/>
        <v>-5903.106974999997</v>
      </c>
      <c r="Y48" s="41"/>
      <c r="Z48" s="362">
        <v>12221.028225000002</v>
      </c>
      <c r="AA48" s="362">
        <f t="shared" si="33"/>
        <v>5826.2469750000018</v>
      </c>
      <c r="AB48" s="41"/>
      <c r="AC48" s="248">
        <v>0</v>
      </c>
      <c r="AD48" s="248">
        <f t="shared" si="34"/>
        <v>-6394.78125</v>
      </c>
    </row>
    <row r="49" spans="1:30" s="37" customFormat="1" ht="12" x14ac:dyDescent="0.2">
      <c r="C49" s="199">
        <v>6237</v>
      </c>
      <c r="D49" s="37" t="s">
        <v>224</v>
      </c>
      <c r="E49" s="39">
        <f>+Payroll!L98</f>
        <v>512.41200937500003</v>
      </c>
      <c r="F49" s="39">
        <f>+Payroll!M98</f>
        <v>512.41200937500003</v>
      </c>
      <c r="G49" s="39">
        <f>+Payroll!N98</f>
        <v>512.41200937500003</v>
      </c>
      <c r="H49" s="39">
        <f>+Payroll!O98</f>
        <v>512.41200937500003</v>
      </c>
      <c r="I49" s="39">
        <f>+Payroll!P98</f>
        <v>512.41200937500003</v>
      </c>
      <c r="J49" s="39">
        <f>+Payroll!Q98</f>
        <v>512.41200937500003</v>
      </c>
      <c r="K49" s="39">
        <f>+Payroll!R98</f>
        <v>512.41200937500003</v>
      </c>
      <c r="L49" s="39">
        <f>+Payroll!S98</f>
        <v>512.41200937500003</v>
      </c>
      <c r="M49" s="39">
        <f>+Payroll!T98</f>
        <v>512.41200937500003</v>
      </c>
      <c r="N49" s="39">
        <f>+Payroll!U98</f>
        <v>512.41200937500003</v>
      </c>
      <c r="O49" s="39">
        <f>+Payroll!V98</f>
        <v>512.41200937500003</v>
      </c>
      <c r="P49" s="39">
        <f>+Payroll!W98</f>
        <v>512.41200937500003</v>
      </c>
      <c r="Q49" s="36"/>
      <c r="R49" s="41"/>
      <c r="S49" s="354">
        <f t="shared" si="31"/>
        <v>6148.9441124999985</v>
      </c>
      <c r="T49" s="41"/>
      <c r="U49" s="362">
        <f t="shared" si="2"/>
        <v>4099.2960749999993</v>
      </c>
      <c r="V49" s="41"/>
      <c r="W49" s="362">
        <v>631.36479726562493</v>
      </c>
      <c r="X49" s="362">
        <f t="shared" si="32"/>
        <v>5517.579315234374</v>
      </c>
      <c r="Y49" s="41"/>
      <c r="Z49" s="362">
        <v>6023.2210537499996</v>
      </c>
      <c r="AA49" s="362">
        <f t="shared" si="33"/>
        <v>-125.72305874999893</v>
      </c>
      <c r="AB49" s="41"/>
      <c r="AC49" s="248">
        <v>0</v>
      </c>
      <c r="AD49" s="248">
        <f t="shared" si="34"/>
        <v>-6148.9441124999985</v>
      </c>
    </row>
    <row r="50" spans="1:30" s="37" customFormat="1" ht="12" x14ac:dyDescent="0.2">
      <c r="C50" s="199">
        <v>6241</v>
      </c>
      <c r="D50" s="37" t="s">
        <v>197</v>
      </c>
      <c r="E50" s="39">
        <f>+Payroll!L100</f>
        <v>84.913990124999998</v>
      </c>
      <c r="F50" s="39">
        <f>+Payroll!M100</f>
        <v>97.093990125000005</v>
      </c>
      <c r="G50" s="39">
        <f>+Payroll!N100</f>
        <v>97.093990125000005</v>
      </c>
      <c r="H50" s="39">
        <f>+Payroll!O100</f>
        <v>97.093990125000005</v>
      </c>
      <c r="I50" s="39">
        <f>+Payroll!P100</f>
        <v>84.913990124999998</v>
      </c>
      <c r="J50" s="39">
        <f>+Payroll!Q100</f>
        <v>84.913990124999998</v>
      </c>
      <c r="K50" s="39">
        <f>+Payroll!R100</f>
        <v>84.913990124999998</v>
      </c>
      <c r="L50" s="39">
        <f>+Payroll!S100</f>
        <v>97.093990125000005</v>
      </c>
      <c r="M50" s="39">
        <f>+Payroll!T100</f>
        <v>97.093990125000005</v>
      </c>
      <c r="N50" s="39">
        <f>+Payroll!U100</f>
        <v>84.913990124999998</v>
      </c>
      <c r="O50" s="39">
        <f>+Payroll!V100</f>
        <v>84.913990124999998</v>
      </c>
      <c r="P50" s="39">
        <f>+Payroll!W100</f>
        <v>84.913990124999998</v>
      </c>
      <c r="Q50" s="36"/>
      <c r="R50" s="41"/>
      <c r="S50" s="354">
        <f t="shared" si="31"/>
        <v>1079.8678815000003</v>
      </c>
      <c r="T50" s="41"/>
      <c r="U50" s="362">
        <f t="shared" si="2"/>
        <v>728.03192100000012</v>
      </c>
      <c r="V50" s="41"/>
      <c r="W50" s="362">
        <v>732.55614937500002</v>
      </c>
      <c r="X50" s="362">
        <f t="shared" si="32"/>
        <v>347.31173212500028</v>
      </c>
      <c r="Y50" s="41"/>
      <c r="Z50" s="362">
        <v>790.49961750000023</v>
      </c>
      <c r="AA50" s="362">
        <f t="shared" si="33"/>
        <v>-289.36826400000007</v>
      </c>
      <c r="AB50" s="41"/>
      <c r="AC50" s="248">
        <v>0</v>
      </c>
      <c r="AD50" s="248">
        <f t="shared" si="34"/>
        <v>-1079.8678815000003</v>
      </c>
    </row>
    <row r="51" spans="1:30" s="37" customFormat="1" ht="12" x14ac:dyDescent="0.2">
      <c r="C51" s="199">
        <v>6244</v>
      </c>
      <c r="D51" s="37" t="s">
        <v>198</v>
      </c>
      <c r="E51" s="39">
        <f>+Payroll!L101</f>
        <v>26.417187500000001</v>
      </c>
      <c r="F51" s="39">
        <f>+Payroll!M101</f>
        <v>26.417187500000001</v>
      </c>
      <c r="G51" s="39">
        <f>+Payroll!N101</f>
        <v>26.417187500000001</v>
      </c>
      <c r="H51" s="39">
        <f>+Payroll!O101</f>
        <v>26.417187500000001</v>
      </c>
      <c r="I51" s="39">
        <f>+Payroll!P101</f>
        <v>26.417187500000001</v>
      </c>
      <c r="J51" s="39">
        <f>+Payroll!Q101</f>
        <v>26.417187500000001</v>
      </c>
      <c r="K51" s="39">
        <f>+Payroll!R101</f>
        <v>26.417187500000001</v>
      </c>
      <c r="L51" s="39">
        <f>+Payroll!S101</f>
        <v>26.417187500000001</v>
      </c>
      <c r="M51" s="39">
        <f>+Payroll!T101</f>
        <v>38.597187500000004</v>
      </c>
      <c r="N51" s="39">
        <f>+Payroll!U101</f>
        <v>26.417187500000001</v>
      </c>
      <c r="O51" s="39">
        <f>+Payroll!V101</f>
        <v>26.417187500000001</v>
      </c>
      <c r="P51" s="39">
        <f>+Payroll!W101</f>
        <v>37.292187500000004</v>
      </c>
      <c r="Q51" s="36"/>
      <c r="R51" s="41"/>
      <c r="S51" s="354">
        <f t="shared" si="31"/>
        <v>340.06125000000009</v>
      </c>
      <c r="T51" s="41"/>
      <c r="U51" s="362">
        <f t="shared" si="2"/>
        <v>211.33750000000003</v>
      </c>
      <c r="V51" s="41"/>
      <c r="W51" s="362">
        <v>1267.182405</v>
      </c>
      <c r="X51" s="362">
        <f t="shared" si="32"/>
        <v>-927.12115499999993</v>
      </c>
      <c r="Y51" s="41"/>
      <c r="Z51" s="362">
        <v>1205.4994049999998</v>
      </c>
      <c r="AA51" s="362">
        <f t="shared" si="33"/>
        <v>865.43815499999971</v>
      </c>
      <c r="AB51" s="41"/>
      <c r="AC51" s="248">
        <v>0</v>
      </c>
      <c r="AD51" s="248">
        <f t="shared" si="34"/>
        <v>-340.06125000000009</v>
      </c>
    </row>
    <row r="52" spans="1:30" s="37" customFormat="1" ht="12" x14ac:dyDescent="0.2">
      <c r="C52" s="199">
        <v>6247</v>
      </c>
      <c r="D52" s="37" t="s">
        <v>225</v>
      </c>
      <c r="E52" s="39">
        <f>+Payroll!L102</f>
        <v>61.287808541666671</v>
      </c>
      <c r="F52" s="39">
        <f>+Payroll!M102</f>
        <v>72.162808541666664</v>
      </c>
      <c r="G52" s="39">
        <f>+Payroll!N102</f>
        <v>72.162808541666664</v>
      </c>
      <c r="H52" s="39">
        <f>+Payroll!O102</f>
        <v>61.287808541666671</v>
      </c>
      <c r="I52" s="39">
        <f>+Payroll!P102</f>
        <v>61.287808541666671</v>
      </c>
      <c r="J52" s="39">
        <f>+Payroll!Q102</f>
        <v>61.287808541666671</v>
      </c>
      <c r="K52" s="39">
        <f>+Payroll!R102</f>
        <v>72.162808541666664</v>
      </c>
      <c r="L52" s="39">
        <f>+Payroll!S102</f>
        <v>72.162808541666664</v>
      </c>
      <c r="M52" s="39">
        <f>+Payroll!T102</f>
        <v>61.287808541666671</v>
      </c>
      <c r="N52" s="39">
        <f>+Payroll!U102</f>
        <v>61.287808541666671</v>
      </c>
      <c r="O52" s="39">
        <f>+Payroll!V102</f>
        <v>61.287808541666671</v>
      </c>
      <c r="P52" s="39">
        <f>+Payroll!W102</f>
        <v>61.287808541666671</v>
      </c>
      <c r="Q52" s="36"/>
      <c r="R52" s="41"/>
      <c r="S52" s="354">
        <f>SUM(E52:Q52)</f>
        <v>778.95370249999996</v>
      </c>
      <c r="T52" s="41"/>
      <c r="U52" s="362">
        <f t="shared" si="2"/>
        <v>533.80246833333331</v>
      </c>
      <c r="V52" s="41"/>
      <c r="W52" s="362">
        <v>60.031406953124993</v>
      </c>
      <c r="X52" s="362">
        <f t="shared" si="32"/>
        <v>718.92229554687492</v>
      </c>
      <c r="Y52" s="41"/>
      <c r="Z52" s="362">
        <v>744.37970675000008</v>
      </c>
      <c r="AA52" s="362">
        <f t="shared" si="33"/>
        <v>-34.573995749999881</v>
      </c>
      <c r="AB52" s="41"/>
      <c r="AC52" s="248">
        <v>0</v>
      </c>
      <c r="AD52" s="248">
        <f t="shared" si="34"/>
        <v>-778.95370249999996</v>
      </c>
    </row>
    <row r="53" spans="1:30" s="37" customFormat="1" ht="12" x14ac:dyDescent="0.2">
      <c r="C53" s="199">
        <v>6261</v>
      </c>
      <c r="D53" s="37" t="s">
        <v>208</v>
      </c>
      <c r="E53" s="39">
        <f>+Payroll!L104</f>
        <v>78</v>
      </c>
      <c r="F53" s="39">
        <f>+Payroll!M104</f>
        <v>78</v>
      </c>
      <c r="G53" s="39">
        <f>+Payroll!N104</f>
        <v>78</v>
      </c>
      <c r="H53" s="39">
        <f>+Payroll!O104</f>
        <v>78</v>
      </c>
      <c r="I53" s="39">
        <f>+Payroll!P104</f>
        <v>78</v>
      </c>
      <c r="J53" s="39">
        <f>+Payroll!Q104</f>
        <v>78</v>
      </c>
      <c r="K53" s="39">
        <f>+Payroll!R104</f>
        <v>78</v>
      </c>
      <c r="L53" s="39">
        <f>+Payroll!S104</f>
        <v>78</v>
      </c>
      <c r="M53" s="39">
        <f>+Payroll!T104</f>
        <v>78</v>
      </c>
      <c r="N53" s="39">
        <f>+Payroll!U104</f>
        <v>78</v>
      </c>
      <c r="O53" s="39">
        <f>+Payroll!V104</f>
        <v>78</v>
      </c>
      <c r="P53" s="39">
        <f>+Payroll!W104</f>
        <v>78</v>
      </c>
      <c r="Q53" s="36"/>
      <c r="R53" s="41"/>
      <c r="S53" s="354">
        <f t="shared" si="31"/>
        <v>936</v>
      </c>
      <c r="T53" s="41"/>
      <c r="U53" s="362">
        <f t="shared" si="2"/>
        <v>624</v>
      </c>
      <c r="V53" s="41"/>
      <c r="W53" s="362">
        <v>936</v>
      </c>
      <c r="X53" s="362">
        <f t="shared" si="32"/>
        <v>0</v>
      </c>
      <c r="Y53" s="41"/>
      <c r="Z53" s="362">
        <v>936</v>
      </c>
      <c r="AA53" s="362">
        <f t="shared" si="33"/>
        <v>0</v>
      </c>
      <c r="AB53" s="41"/>
      <c r="AC53" s="248">
        <v>0</v>
      </c>
      <c r="AD53" s="248">
        <f t="shared" si="34"/>
        <v>-936</v>
      </c>
    </row>
    <row r="54" spans="1:30" s="37" customFormat="1" ht="12" x14ac:dyDescent="0.2">
      <c r="C54" s="199">
        <v>6264</v>
      </c>
      <c r="D54" s="37" t="s">
        <v>209</v>
      </c>
      <c r="E54" s="39">
        <f>+Payroll!L105</f>
        <v>54.65625</v>
      </c>
      <c r="F54" s="39">
        <f>+Payroll!M105</f>
        <v>54.65625</v>
      </c>
      <c r="G54" s="39">
        <f>+Payroll!N105</f>
        <v>54.65625</v>
      </c>
      <c r="H54" s="39">
        <f>+Payroll!O105</f>
        <v>54.65625</v>
      </c>
      <c r="I54" s="39">
        <f>+Payroll!P105</f>
        <v>54.65625</v>
      </c>
      <c r="J54" s="39">
        <f>+Payroll!Q105</f>
        <v>54.65625</v>
      </c>
      <c r="K54" s="39">
        <f>+Payroll!R105</f>
        <v>54.65625</v>
      </c>
      <c r="L54" s="39">
        <f>+Payroll!S105</f>
        <v>54.65625</v>
      </c>
      <c r="M54" s="39">
        <f>+Payroll!T105</f>
        <v>54.65625</v>
      </c>
      <c r="N54" s="39">
        <f>+Payroll!U105</f>
        <v>54.65625</v>
      </c>
      <c r="O54" s="39">
        <f>+Payroll!V105</f>
        <v>54.65625</v>
      </c>
      <c r="P54" s="39">
        <f>+Payroll!W105</f>
        <v>54.65625</v>
      </c>
      <c r="Q54" s="36"/>
      <c r="R54" s="41"/>
      <c r="S54" s="354">
        <f t="shared" si="31"/>
        <v>655.875</v>
      </c>
      <c r="T54" s="41"/>
      <c r="U54" s="362">
        <f t="shared" si="2"/>
        <v>437.25</v>
      </c>
      <c r="V54" s="41"/>
      <c r="W54" s="362">
        <v>936</v>
      </c>
      <c r="X54" s="362">
        <f t="shared" si="32"/>
        <v>-280.125</v>
      </c>
      <c r="Y54" s="41"/>
      <c r="Z54" s="362">
        <v>936</v>
      </c>
      <c r="AA54" s="362">
        <f t="shared" si="33"/>
        <v>280.125</v>
      </c>
      <c r="AB54" s="41"/>
      <c r="AC54" s="248">
        <v>0</v>
      </c>
      <c r="AD54" s="248">
        <f t="shared" si="34"/>
        <v>-655.875</v>
      </c>
    </row>
    <row r="55" spans="1:30" s="37" customFormat="1" ht="12" x14ac:dyDescent="0.2">
      <c r="C55" s="199">
        <v>6267</v>
      </c>
      <c r="D55" s="37" t="s">
        <v>226</v>
      </c>
      <c r="E55" s="39">
        <f>+Payroll!L106</f>
        <v>104</v>
      </c>
      <c r="F55" s="39">
        <f>+Payroll!M106</f>
        <v>104</v>
      </c>
      <c r="G55" s="39">
        <f>+Payroll!N106</f>
        <v>104</v>
      </c>
      <c r="H55" s="39">
        <f>+Payroll!O106</f>
        <v>104</v>
      </c>
      <c r="I55" s="39">
        <f>+Payroll!P106</f>
        <v>104</v>
      </c>
      <c r="J55" s="39">
        <f>+Payroll!Q106</f>
        <v>104</v>
      </c>
      <c r="K55" s="39">
        <f>+Payroll!R106</f>
        <v>104</v>
      </c>
      <c r="L55" s="39">
        <f>+Payroll!S106</f>
        <v>104</v>
      </c>
      <c r="M55" s="39">
        <f>+Payroll!T106</f>
        <v>104</v>
      </c>
      <c r="N55" s="39">
        <f>+Payroll!U106</f>
        <v>104</v>
      </c>
      <c r="O55" s="39">
        <f>+Payroll!V106</f>
        <v>104</v>
      </c>
      <c r="P55" s="39">
        <f>+Payroll!W106</f>
        <v>104</v>
      </c>
      <c r="Q55" s="36"/>
      <c r="R55" s="41"/>
      <c r="S55" s="354">
        <f t="shared" si="31"/>
        <v>1248</v>
      </c>
      <c r="T55" s="41"/>
      <c r="U55" s="362">
        <f t="shared" si="2"/>
        <v>832</v>
      </c>
      <c r="V55" s="41"/>
      <c r="W55" s="362">
        <v>124.20291093750001</v>
      </c>
      <c r="X55" s="362">
        <f t="shared" si="32"/>
        <v>1123.7970890624999</v>
      </c>
      <c r="Y55" s="41"/>
      <c r="Z55" s="362">
        <v>1201.2</v>
      </c>
      <c r="AA55" s="362">
        <f t="shared" si="33"/>
        <v>-46.799999999999955</v>
      </c>
      <c r="AB55" s="41"/>
      <c r="AC55" s="248">
        <v>0</v>
      </c>
      <c r="AD55" s="248">
        <f t="shared" si="34"/>
        <v>-1248</v>
      </c>
    </row>
    <row r="56" spans="1:30" s="37" customFormat="1" ht="12" x14ac:dyDescent="0.2">
      <c r="C56" s="199">
        <v>6271</v>
      </c>
      <c r="D56" s="37" t="s">
        <v>210</v>
      </c>
      <c r="E56" s="39">
        <f>+Payroll!L108</f>
        <v>40.339892124999999</v>
      </c>
      <c r="F56" s="39">
        <f>+Payroll!M108</f>
        <v>40.339892124999999</v>
      </c>
      <c r="G56" s="39">
        <f>+Payroll!N108</f>
        <v>40.339892124999999</v>
      </c>
      <c r="H56" s="39">
        <f>+Payroll!O108</f>
        <v>40.339892124999999</v>
      </c>
      <c r="I56" s="39">
        <f>+Payroll!P108</f>
        <v>40.339892124999999</v>
      </c>
      <c r="J56" s="39">
        <f>+Payroll!Q108</f>
        <v>40.339892124999999</v>
      </c>
      <c r="K56" s="39">
        <f>+Payroll!R108</f>
        <v>40.339892124999999</v>
      </c>
      <c r="L56" s="39">
        <f>+Payroll!S108</f>
        <v>40.339892124999999</v>
      </c>
      <c r="M56" s="39">
        <f>+Payroll!T108</f>
        <v>40.339892124999999</v>
      </c>
      <c r="N56" s="39">
        <f>+Payroll!U108</f>
        <v>40.339892124999999</v>
      </c>
      <c r="O56" s="39">
        <f>+Payroll!V108</f>
        <v>40.339892124999999</v>
      </c>
      <c r="P56" s="39">
        <f>+Payroll!W108</f>
        <v>40.339892124999999</v>
      </c>
      <c r="Q56" s="36"/>
      <c r="R56" s="41"/>
      <c r="S56" s="354">
        <f t="shared" si="31"/>
        <v>484.07870550000001</v>
      </c>
      <c r="T56" s="41"/>
      <c r="U56" s="362">
        <f t="shared" si="2"/>
        <v>322.71913699999999</v>
      </c>
      <c r="V56" s="41"/>
      <c r="W56" s="362">
        <v>328.38723937499998</v>
      </c>
      <c r="X56" s="362">
        <f t="shared" si="32"/>
        <v>155.69146612500003</v>
      </c>
      <c r="Y56" s="41"/>
      <c r="Z56" s="362">
        <v>354.36189750000011</v>
      </c>
      <c r="AA56" s="362">
        <f t="shared" si="33"/>
        <v>-129.7168079999999</v>
      </c>
      <c r="AB56" s="41"/>
      <c r="AC56" s="248">
        <v>0</v>
      </c>
      <c r="AD56" s="248">
        <f t="shared" si="34"/>
        <v>-484.07870550000001</v>
      </c>
    </row>
    <row r="57" spans="1:30" s="37" customFormat="1" ht="12" x14ac:dyDescent="0.2">
      <c r="C57" s="199">
        <v>6274</v>
      </c>
      <c r="D57" s="37" t="s">
        <v>211</v>
      </c>
      <c r="E57" s="39">
        <f>+Payroll!L109</f>
        <v>12.7034375</v>
      </c>
      <c r="F57" s="39">
        <f>+Payroll!M109</f>
        <v>12.7034375</v>
      </c>
      <c r="G57" s="39">
        <f>+Payroll!N109</f>
        <v>12.7034375</v>
      </c>
      <c r="H57" s="39">
        <f>+Payroll!O109</f>
        <v>12.7034375</v>
      </c>
      <c r="I57" s="39">
        <f>+Payroll!P109</f>
        <v>12.7034375</v>
      </c>
      <c r="J57" s="39">
        <f>+Payroll!Q109</f>
        <v>12.7034375</v>
      </c>
      <c r="K57" s="39">
        <f>+Payroll!R109</f>
        <v>12.7034375</v>
      </c>
      <c r="L57" s="39">
        <f>+Payroll!S109</f>
        <v>12.7034375</v>
      </c>
      <c r="M57" s="39">
        <f>+Payroll!T109</f>
        <v>12.7034375</v>
      </c>
      <c r="N57" s="39">
        <f>+Payroll!U109</f>
        <v>12.7034375</v>
      </c>
      <c r="O57" s="39">
        <f>+Payroll!V109</f>
        <v>12.7034375</v>
      </c>
      <c r="P57" s="39">
        <f>+Payroll!W109</f>
        <v>12.7034375</v>
      </c>
      <c r="Q57" s="36"/>
      <c r="R57" s="41"/>
      <c r="S57" s="354">
        <f>SUM(E57:Q57)</f>
        <v>152.44125000000003</v>
      </c>
      <c r="T57" s="41"/>
      <c r="U57" s="362">
        <f t="shared" si="2"/>
        <v>101.6275</v>
      </c>
      <c r="V57" s="41"/>
      <c r="W57" s="362">
        <v>568.04728499999999</v>
      </c>
      <c r="X57" s="362">
        <f t="shared" si="32"/>
        <v>-415.60603499999996</v>
      </c>
      <c r="Y57" s="41"/>
      <c r="Z57" s="362">
        <v>540.39628499999992</v>
      </c>
      <c r="AA57" s="362">
        <f t="shared" si="33"/>
        <v>387.9550349999999</v>
      </c>
      <c r="AB57" s="41"/>
      <c r="AC57" s="248">
        <v>0</v>
      </c>
      <c r="AD57" s="248">
        <f t="shared" si="34"/>
        <v>-152.44125000000003</v>
      </c>
    </row>
    <row r="58" spans="1:30" s="37" customFormat="1" ht="12" x14ac:dyDescent="0.2">
      <c r="C58" s="199">
        <v>6277</v>
      </c>
      <c r="D58" s="37" t="s">
        <v>227</v>
      </c>
      <c r="E58" s="39">
        <f>+Payroll!L110</f>
        <v>29.09884520833333</v>
      </c>
      <c r="F58" s="39">
        <f>+Payroll!M110</f>
        <v>29.09884520833333</v>
      </c>
      <c r="G58" s="39">
        <f>+Payroll!N110</f>
        <v>29.09884520833333</v>
      </c>
      <c r="H58" s="39">
        <f>+Payroll!O110</f>
        <v>29.09884520833333</v>
      </c>
      <c r="I58" s="39">
        <f>+Payroll!P110</f>
        <v>29.09884520833333</v>
      </c>
      <c r="J58" s="39">
        <f>+Payroll!Q110</f>
        <v>29.09884520833333</v>
      </c>
      <c r="K58" s="39">
        <f>+Payroll!R110</f>
        <v>29.09884520833333</v>
      </c>
      <c r="L58" s="39">
        <f>+Payroll!S110</f>
        <v>29.09884520833333</v>
      </c>
      <c r="M58" s="39">
        <f>+Payroll!T110</f>
        <v>29.09884520833333</v>
      </c>
      <c r="N58" s="39">
        <f>+Payroll!U110</f>
        <v>29.09884520833333</v>
      </c>
      <c r="O58" s="39">
        <f>+Payroll!V110</f>
        <v>29.09884520833333</v>
      </c>
      <c r="P58" s="39">
        <f>+Payroll!W110</f>
        <v>29.09884520833333</v>
      </c>
      <c r="Q58" s="36"/>
      <c r="R58" s="41"/>
      <c r="S58" s="354">
        <f t="shared" si="31"/>
        <v>349.18614249999996</v>
      </c>
      <c r="T58" s="41"/>
      <c r="U58" s="362">
        <f t="shared" si="2"/>
        <v>232.79076166666664</v>
      </c>
      <c r="V58" s="41"/>
      <c r="W58" s="362">
        <v>26.910630703124998</v>
      </c>
      <c r="X58" s="362">
        <f t="shared" si="32"/>
        <v>322.27551179687498</v>
      </c>
      <c r="Y58" s="41"/>
      <c r="Z58" s="362">
        <v>333.68745474999997</v>
      </c>
      <c r="AA58" s="362">
        <f t="shared" si="33"/>
        <v>-15.498687749999988</v>
      </c>
      <c r="AB58" s="41"/>
      <c r="AC58" s="248">
        <v>0</v>
      </c>
      <c r="AD58" s="248">
        <f t="shared" si="34"/>
        <v>-349.18614249999996</v>
      </c>
    </row>
    <row r="59" spans="1:30" s="37" customFormat="1" ht="12" x14ac:dyDescent="0.2">
      <c r="C59" s="199">
        <v>6281</v>
      </c>
      <c r="D59" s="37" t="s">
        <v>194</v>
      </c>
      <c r="E59" s="39">
        <f>+Payroll!L112</f>
        <v>405</v>
      </c>
      <c r="F59" s="39">
        <f>+Payroll!M112</f>
        <v>405</v>
      </c>
      <c r="G59" s="39">
        <f>+Payroll!N112</f>
        <v>405</v>
      </c>
      <c r="H59" s="39">
        <f>+Payroll!O112</f>
        <v>405</v>
      </c>
      <c r="I59" s="39">
        <f>+Payroll!P112</f>
        <v>405</v>
      </c>
      <c r="J59" s="39">
        <f>+Payroll!Q112</f>
        <v>405</v>
      </c>
      <c r="K59" s="39">
        <f>+Payroll!R112</f>
        <v>405</v>
      </c>
      <c r="L59" s="39">
        <f>+Payroll!S112</f>
        <v>405</v>
      </c>
      <c r="M59" s="39">
        <f>+Payroll!T112</f>
        <v>405</v>
      </c>
      <c r="N59" s="39">
        <f>+Payroll!U112</f>
        <v>405</v>
      </c>
      <c r="O59" s="39">
        <f>+Payroll!V112</f>
        <v>405</v>
      </c>
      <c r="P59" s="39">
        <f>+Payroll!W112</f>
        <v>405</v>
      </c>
      <c r="Q59" s="36"/>
      <c r="R59" s="41"/>
      <c r="S59" s="354">
        <f t="shared" si="31"/>
        <v>4860</v>
      </c>
      <c r="T59" s="41"/>
      <c r="U59" s="362">
        <f t="shared" si="2"/>
        <v>3240</v>
      </c>
      <c r="V59" s="41"/>
      <c r="W59" s="362">
        <v>4860</v>
      </c>
      <c r="X59" s="362">
        <f t="shared" si="32"/>
        <v>0</v>
      </c>
      <c r="Y59" s="41"/>
      <c r="Z59" s="362">
        <v>4860</v>
      </c>
      <c r="AA59" s="362">
        <f t="shared" si="33"/>
        <v>0</v>
      </c>
      <c r="AB59" s="41"/>
      <c r="AC59" s="248">
        <v>0</v>
      </c>
      <c r="AD59" s="248">
        <f t="shared" si="34"/>
        <v>-4860</v>
      </c>
    </row>
    <row r="60" spans="1:30" s="37" customFormat="1" ht="12" x14ac:dyDescent="0.2">
      <c r="C60" s="199">
        <v>6284</v>
      </c>
      <c r="D60" s="37" t="s">
        <v>195</v>
      </c>
      <c r="E60" s="39">
        <f>+Payroll!L113</f>
        <v>101.25</v>
      </c>
      <c r="F60" s="39">
        <f>+Payroll!M113</f>
        <v>101.25</v>
      </c>
      <c r="G60" s="39">
        <f>+Payroll!N113</f>
        <v>101.25</v>
      </c>
      <c r="H60" s="39">
        <f>+Payroll!O113</f>
        <v>101.25</v>
      </c>
      <c r="I60" s="39">
        <f>+Payroll!P113</f>
        <v>101.25</v>
      </c>
      <c r="J60" s="39">
        <f>+Payroll!Q113</f>
        <v>101.25</v>
      </c>
      <c r="K60" s="39">
        <f>+Payroll!R113</f>
        <v>101.25</v>
      </c>
      <c r="L60" s="39">
        <f>+Payroll!S113</f>
        <v>101.25</v>
      </c>
      <c r="M60" s="39">
        <f>+Payroll!T113</f>
        <v>101.25</v>
      </c>
      <c r="N60" s="39">
        <f>+Payroll!U113</f>
        <v>101.25</v>
      </c>
      <c r="O60" s="39">
        <f>+Payroll!V113</f>
        <v>101.25</v>
      </c>
      <c r="P60" s="39">
        <f>+Payroll!W113</f>
        <v>101.25</v>
      </c>
      <c r="Q60" s="36"/>
      <c r="R60" s="41"/>
      <c r="S60" s="354">
        <f t="shared" si="31"/>
        <v>1215</v>
      </c>
      <c r="T60" s="41"/>
      <c r="U60" s="362">
        <f t="shared" si="2"/>
        <v>810</v>
      </c>
      <c r="V60" s="41"/>
      <c r="W60" s="362">
        <v>4860</v>
      </c>
      <c r="X60" s="362">
        <f t="shared" si="32"/>
        <v>-3645</v>
      </c>
      <c r="Y60" s="41"/>
      <c r="Z60" s="362">
        <v>7260</v>
      </c>
      <c r="AA60" s="362">
        <f t="shared" si="33"/>
        <v>6045</v>
      </c>
      <c r="AB60" s="41"/>
      <c r="AC60" s="248">
        <v>0</v>
      </c>
      <c r="AD60" s="248">
        <f t="shared" si="34"/>
        <v>-1215</v>
      </c>
    </row>
    <row r="61" spans="1:30" s="37" customFormat="1" ht="12" x14ac:dyDescent="0.2">
      <c r="C61" s="199">
        <v>6287</v>
      </c>
      <c r="D61" s="37" t="s">
        <v>228</v>
      </c>
      <c r="E61" s="39">
        <f>+Payroll!L114</f>
        <v>405</v>
      </c>
      <c r="F61" s="39">
        <f>+Payroll!M114</f>
        <v>405</v>
      </c>
      <c r="G61" s="39">
        <f>+Payroll!N114</f>
        <v>405</v>
      </c>
      <c r="H61" s="39">
        <f>+Payroll!O114</f>
        <v>405</v>
      </c>
      <c r="I61" s="39">
        <f>+Payroll!P114</f>
        <v>405</v>
      </c>
      <c r="J61" s="39">
        <f>+Payroll!Q114</f>
        <v>405</v>
      </c>
      <c r="K61" s="39">
        <f>+Payroll!R114</f>
        <v>405</v>
      </c>
      <c r="L61" s="39">
        <f>+Payroll!S114</f>
        <v>405</v>
      </c>
      <c r="M61" s="39">
        <f>+Payroll!T114</f>
        <v>405</v>
      </c>
      <c r="N61" s="39">
        <f>+Payroll!U114</f>
        <v>405</v>
      </c>
      <c r="O61" s="39">
        <f>+Payroll!V114</f>
        <v>405</v>
      </c>
      <c r="P61" s="39">
        <f>+Payroll!W114</f>
        <v>405</v>
      </c>
      <c r="Q61" s="36"/>
      <c r="R61" s="41"/>
      <c r="S61" s="354">
        <f t="shared" si="31"/>
        <v>4860</v>
      </c>
      <c r="T61" s="41"/>
      <c r="U61" s="362">
        <f t="shared" si="2"/>
        <v>3240</v>
      </c>
      <c r="V61" s="41"/>
      <c r="W61" s="362">
        <v>0</v>
      </c>
      <c r="X61" s="362">
        <f t="shared" si="32"/>
        <v>4860</v>
      </c>
      <c r="Y61" s="41"/>
      <c r="Z61" s="362">
        <v>4860</v>
      </c>
      <c r="AA61" s="362">
        <f t="shared" si="33"/>
        <v>0</v>
      </c>
      <c r="AB61" s="41"/>
      <c r="AC61" s="248">
        <v>0</v>
      </c>
      <c r="AD61" s="248">
        <f t="shared" si="34"/>
        <v>-4860</v>
      </c>
    </row>
    <row r="62" spans="1:30" s="37" customFormat="1" ht="12" x14ac:dyDescent="0.2">
      <c r="C62" s="38"/>
      <c r="E62" s="50">
        <f t="shared" ref="E62:O62" si="35">SUBTOTAL(9,E43:E61)</f>
        <v>3478.0221218333336</v>
      </c>
      <c r="F62" s="50">
        <f t="shared" si="35"/>
        <v>3501.077121833333</v>
      </c>
      <c r="G62" s="50">
        <f t="shared" si="35"/>
        <v>3501.077121833333</v>
      </c>
      <c r="H62" s="50">
        <f t="shared" si="35"/>
        <v>3490.2021218333334</v>
      </c>
      <c r="I62" s="50">
        <f t="shared" si="35"/>
        <v>3478.0221218333336</v>
      </c>
      <c r="J62" s="50">
        <f t="shared" si="35"/>
        <v>3478.0221218333336</v>
      </c>
      <c r="K62" s="50">
        <f t="shared" si="35"/>
        <v>3488.8971218333336</v>
      </c>
      <c r="L62" s="50">
        <f t="shared" si="35"/>
        <v>3501.077121833333</v>
      </c>
      <c r="M62" s="50">
        <f t="shared" si="35"/>
        <v>3502.3821218333333</v>
      </c>
      <c r="N62" s="50">
        <f t="shared" si="35"/>
        <v>3478.0221218333336</v>
      </c>
      <c r="O62" s="50">
        <f t="shared" si="35"/>
        <v>3478.0221218333336</v>
      </c>
      <c r="P62" s="50">
        <f t="shared" ref="P62" si="36">SUBTOTAL(9,P43:P61)</f>
        <v>3488.8971218333336</v>
      </c>
      <c r="Q62" s="51"/>
      <c r="R62" s="41"/>
      <c r="S62" s="355">
        <f>SUBTOTAL(9,S43:S61)</f>
        <v>41863.720461999997</v>
      </c>
      <c r="T62" s="41"/>
      <c r="U62" s="363">
        <f t="shared" si="2"/>
        <v>27916.396974666663</v>
      </c>
      <c r="V62" s="41"/>
      <c r="W62" s="363">
        <v>35763.540896484366</v>
      </c>
      <c r="X62" s="363">
        <f>SUBTOTAL(9,X43:X61)</f>
        <v>6100.1795655156293</v>
      </c>
      <c r="Y62" s="41"/>
      <c r="Z62" s="363">
        <v>52002.728932750004</v>
      </c>
      <c r="AA62" s="363">
        <f>SUBTOTAL(9,AA43:AA61)</f>
        <v>10139.008470750003</v>
      </c>
      <c r="AB62" s="41"/>
      <c r="AC62" s="250">
        <f>SUBTOTAL(9,AC43:AC61)</f>
        <v>0</v>
      </c>
      <c r="AD62" s="250">
        <f>SUBTOTAL(9,AD43:AD61)</f>
        <v>-41863.720461999997</v>
      </c>
    </row>
    <row r="63" spans="1:30" s="37" customFormat="1" ht="12" x14ac:dyDescent="0.2">
      <c r="C63" s="49" t="s">
        <v>9</v>
      </c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44"/>
      <c r="R63" s="41"/>
      <c r="S63" s="354"/>
      <c r="T63" s="41"/>
      <c r="U63" s="362">
        <f t="shared" si="2"/>
        <v>0</v>
      </c>
      <c r="V63" s="41"/>
      <c r="W63" s="362"/>
      <c r="X63" s="362"/>
      <c r="Y63" s="41"/>
      <c r="Z63" s="362"/>
      <c r="AA63" s="362"/>
      <c r="AB63" s="41"/>
      <c r="AC63" s="248"/>
      <c r="AD63" s="248"/>
    </row>
    <row r="64" spans="1:30" s="37" customFormat="1" ht="12" x14ac:dyDescent="0.2">
      <c r="A64" s="38"/>
      <c r="C64" s="199">
        <v>6300</v>
      </c>
      <c r="D64" s="37" t="s">
        <v>9</v>
      </c>
      <c r="E64" s="39">
        <f>'Exp Details'!K12</f>
        <v>97</v>
      </c>
      <c r="F64" s="39">
        <f>'Exp Details'!L12</f>
        <v>97</v>
      </c>
      <c r="G64" s="39">
        <f>'Exp Details'!M12</f>
        <v>97</v>
      </c>
      <c r="H64" s="39">
        <f>'Exp Details'!N12</f>
        <v>97</v>
      </c>
      <c r="I64" s="39">
        <f>'Exp Details'!O12</f>
        <v>97</v>
      </c>
      <c r="J64" s="39">
        <f>'Exp Details'!P12</f>
        <v>97</v>
      </c>
      <c r="K64" s="39">
        <f>'Exp Details'!Q12</f>
        <v>97</v>
      </c>
      <c r="L64" s="39">
        <f>'Exp Details'!R12</f>
        <v>97</v>
      </c>
      <c r="M64" s="39">
        <f>'Exp Details'!S12</f>
        <v>97</v>
      </c>
      <c r="N64" s="39">
        <f>'Exp Details'!T12</f>
        <v>97</v>
      </c>
      <c r="O64" s="39">
        <f>'Exp Details'!U12</f>
        <v>97</v>
      </c>
      <c r="P64" s="39">
        <f>'Exp Details'!V12</f>
        <v>97</v>
      </c>
      <c r="Q64" s="36"/>
      <c r="R64" s="41"/>
      <c r="S64" s="354">
        <f t="shared" ref="S64:S73" si="37">SUM(E64:Q64)</f>
        <v>1164</v>
      </c>
      <c r="T64" s="41"/>
      <c r="U64" s="362">
        <f t="shared" si="2"/>
        <v>776</v>
      </c>
      <c r="V64" s="41"/>
      <c r="W64" s="362">
        <v>1500</v>
      </c>
      <c r="X64" s="362">
        <f t="shared" ref="X64:X73" si="38">S64-W64</f>
        <v>-336</v>
      </c>
      <c r="Y64" s="41"/>
      <c r="Z64" s="362">
        <v>2250</v>
      </c>
      <c r="AA64" s="362">
        <f>Z64-S64</f>
        <v>1086</v>
      </c>
      <c r="AB64" s="41"/>
      <c r="AC64" s="248">
        <v>0</v>
      </c>
      <c r="AD64" s="248">
        <f>AC64-S64</f>
        <v>-1164</v>
      </c>
    </row>
    <row r="65" spans="1:30" s="37" customFormat="1" ht="12" x14ac:dyDescent="0.2">
      <c r="A65" s="38"/>
      <c r="C65" s="199">
        <v>6320</v>
      </c>
      <c r="D65" s="37" t="s">
        <v>10</v>
      </c>
      <c r="E65" s="39">
        <f>'Exp Details'!K19</f>
        <v>83.333333333333329</v>
      </c>
      <c r="F65" s="39">
        <f>'Exp Details'!L19</f>
        <v>83.333333333333329</v>
      </c>
      <c r="G65" s="39">
        <f>'Exp Details'!M19</f>
        <v>83.333333333333329</v>
      </c>
      <c r="H65" s="39">
        <f>'Exp Details'!N19</f>
        <v>83.333333333333329</v>
      </c>
      <c r="I65" s="39">
        <f>'Exp Details'!O19</f>
        <v>83.333333333333329</v>
      </c>
      <c r="J65" s="39">
        <f>'Exp Details'!P19</f>
        <v>83.333333333333329</v>
      </c>
      <c r="K65" s="39">
        <f>'Exp Details'!Q19</f>
        <v>83.333333333333329</v>
      </c>
      <c r="L65" s="39">
        <f>'Exp Details'!R19</f>
        <v>83.333333333333329</v>
      </c>
      <c r="M65" s="39">
        <f>'Exp Details'!S19</f>
        <v>83.333333333333329</v>
      </c>
      <c r="N65" s="39">
        <f>'Exp Details'!T19</f>
        <v>83.333333333333329</v>
      </c>
      <c r="O65" s="39">
        <f>'Exp Details'!U19</f>
        <v>83.333333333333329</v>
      </c>
      <c r="P65" s="39">
        <f>'Exp Details'!V19</f>
        <v>83.333333333333329</v>
      </c>
      <c r="Q65" s="36"/>
      <c r="R65" s="41"/>
      <c r="S65" s="354">
        <f t="shared" si="37"/>
        <v>1000.0000000000001</v>
      </c>
      <c r="T65" s="41"/>
      <c r="U65" s="362">
        <f t="shared" si="2"/>
        <v>666.66666666666663</v>
      </c>
      <c r="V65" s="41"/>
      <c r="W65" s="362">
        <v>750</v>
      </c>
      <c r="X65" s="362">
        <f t="shared" si="38"/>
        <v>250.00000000000011</v>
      </c>
      <c r="Y65" s="41"/>
      <c r="Z65" s="362">
        <v>2250</v>
      </c>
      <c r="AA65" s="362">
        <f>Z65-S65</f>
        <v>1250</v>
      </c>
      <c r="AB65" s="41"/>
      <c r="AC65" s="248">
        <v>0</v>
      </c>
      <c r="AD65" s="248">
        <f>AC65-S65</f>
        <v>-1000.0000000000001</v>
      </c>
    </row>
    <row r="66" spans="1:30" s="37" customFormat="1" ht="12" x14ac:dyDescent="0.2">
      <c r="A66" s="38"/>
      <c r="C66" s="199">
        <v>6331</v>
      </c>
      <c r="D66" s="37" t="s">
        <v>11</v>
      </c>
      <c r="E66" s="39">
        <f>'Exp Details'!K25</f>
        <v>41.666666666666664</v>
      </c>
      <c r="F66" s="39">
        <f>'Exp Details'!L25</f>
        <v>41.666666666666664</v>
      </c>
      <c r="G66" s="39">
        <f>'Exp Details'!M25</f>
        <v>41.666666666666664</v>
      </c>
      <c r="H66" s="39">
        <f>'Exp Details'!N25</f>
        <v>41.666666666666664</v>
      </c>
      <c r="I66" s="39">
        <f>'Exp Details'!O25</f>
        <v>41.666666666666664</v>
      </c>
      <c r="J66" s="39">
        <f>'Exp Details'!P25</f>
        <v>41.666666666666664</v>
      </c>
      <c r="K66" s="39">
        <f>'Exp Details'!Q25</f>
        <v>41.666666666666664</v>
      </c>
      <c r="L66" s="39">
        <f>'Exp Details'!R25</f>
        <v>41.666666666666664</v>
      </c>
      <c r="M66" s="39">
        <f>'Exp Details'!S25</f>
        <v>41.666666666666664</v>
      </c>
      <c r="N66" s="39">
        <f>'Exp Details'!T25</f>
        <v>41.666666666666664</v>
      </c>
      <c r="O66" s="39">
        <f>'Exp Details'!U25</f>
        <v>41.666666666666664</v>
      </c>
      <c r="P66" s="39">
        <f>'Exp Details'!V25</f>
        <v>41.666666666666664</v>
      </c>
      <c r="Q66" s="36"/>
      <c r="R66" s="41"/>
      <c r="S66" s="354">
        <f t="shared" si="37"/>
        <v>500.00000000000006</v>
      </c>
      <c r="T66" s="41"/>
      <c r="U66" s="362">
        <f t="shared" si="2"/>
        <v>333.33333333333331</v>
      </c>
      <c r="V66" s="41"/>
      <c r="W66" s="362">
        <v>0</v>
      </c>
      <c r="X66" s="362">
        <f t="shared" si="38"/>
        <v>500.00000000000006</v>
      </c>
      <c r="Y66" s="41"/>
      <c r="Z66" s="362">
        <v>1000.0000000000001</v>
      </c>
      <c r="AA66" s="362">
        <f>Z66-S66</f>
        <v>500.00000000000006</v>
      </c>
      <c r="AB66" s="41"/>
      <c r="AC66" s="248">
        <v>0</v>
      </c>
      <c r="AD66" s="248">
        <f>AC66-S66</f>
        <v>-500.00000000000006</v>
      </c>
    </row>
    <row r="67" spans="1:30" s="37" customFormat="1" ht="12" x14ac:dyDescent="0.2">
      <c r="A67" s="38"/>
      <c r="C67" s="199">
        <v>6334</v>
      </c>
      <c r="D67" s="37" t="s">
        <v>12</v>
      </c>
      <c r="E67" s="39">
        <f>'Exp Details'!K32</f>
        <v>0</v>
      </c>
      <c r="F67" s="39">
        <f>'Exp Details'!L32</f>
        <v>0</v>
      </c>
      <c r="G67" s="39">
        <f>'Exp Details'!M32</f>
        <v>0</v>
      </c>
      <c r="H67" s="39">
        <f>'Exp Details'!N32</f>
        <v>0</v>
      </c>
      <c r="I67" s="39">
        <f>'Exp Details'!O32</f>
        <v>0</v>
      </c>
      <c r="J67" s="39">
        <f>'Exp Details'!P32</f>
        <v>0</v>
      </c>
      <c r="K67" s="39">
        <f>'Exp Details'!Q32</f>
        <v>0</v>
      </c>
      <c r="L67" s="39">
        <f>'Exp Details'!R32</f>
        <v>0</v>
      </c>
      <c r="M67" s="39">
        <f>'Exp Details'!S32</f>
        <v>0</v>
      </c>
      <c r="N67" s="39">
        <f>'Exp Details'!T32</f>
        <v>0</v>
      </c>
      <c r="O67" s="39">
        <f>'Exp Details'!U32</f>
        <v>0</v>
      </c>
      <c r="P67" s="39">
        <f>'Exp Details'!V32</f>
        <v>0</v>
      </c>
      <c r="Q67" s="36"/>
      <c r="R67" s="41"/>
      <c r="S67" s="354">
        <f t="shared" si="37"/>
        <v>0</v>
      </c>
      <c r="T67" s="41"/>
      <c r="U67" s="362">
        <f t="shared" si="2"/>
        <v>0</v>
      </c>
      <c r="V67" s="41"/>
      <c r="W67" s="362">
        <v>1000.0000000000001</v>
      </c>
      <c r="X67" s="362">
        <f t="shared" si="38"/>
        <v>-1000.0000000000001</v>
      </c>
      <c r="Y67" s="41"/>
      <c r="Z67" s="362">
        <v>1000.0000000000001</v>
      </c>
      <c r="AA67" s="362">
        <f>Z67-S67</f>
        <v>1000.0000000000001</v>
      </c>
      <c r="AB67" s="41"/>
      <c r="AC67" s="248">
        <v>0</v>
      </c>
      <c r="AD67" s="248">
        <f>AC67-S67</f>
        <v>0</v>
      </c>
    </row>
    <row r="68" spans="1:30" s="37" customFormat="1" ht="12" x14ac:dyDescent="0.2">
      <c r="A68" s="38"/>
      <c r="C68" s="199">
        <v>6336</v>
      </c>
      <c r="D68" s="37" t="s">
        <v>13</v>
      </c>
      <c r="E68" s="39">
        <f>'Exp Details'!K38</f>
        <v>0</v>
      </c>
      <c r="F68" s="39">
        <f>'Exp Details'!L38</f>
        <v>0</v>
      </c>
      <c r="G68" s="39">
        <f>'Exp Details'!M38</f>
        <v>0</v>
      </c>
      <c r="H68" s="39">
        <f>'Exp Details'!N38</f>
        <v>0</v>
      </c>
      <c r="I68" s="39">
        <f>'Exp Details'!O38</f>
        <v>0</v>
      </c>
      <c r="J68" s="39">
        <f>'Exp Details'!P38</f>
        <v>0</v>
      </c>
      <c r="K68" s="39">
        <f>'Exp Details'!Q38</f>
        <v>0</v>
      </c>
      <c r="L68" s="39">
        <f>'Exp Details'!R38</f>
        <v>0</v>
      </c>
      <c r="M68" s="39">
        <f>'Exp Details'!S38</f>
        <v>0</v>
      </c>
      <c r="N68" s="39">
        <f>'Exp Details'!T38</f>
        <v>0</v>
      </c>
      <c r="O68" s="39">
        <f>'Exp Details'!U38</f>
        <v>0</v>
      </c>
      <c r="P68" s="39">
        <f>'Exp Details'!V38</f>
        <v>0</v>
      </c>
      <c r="Q68" s="36"/>
      <c r="R68" s="41"/>
      <c r="S68" s="354">
        <f>SUM(E68:Q68)</f>
        <v>0</v>
      </c>
      <c r="T68" s="41"/>
      <c r="U68" s="362">
        <f t="shared" si="2"/>
        <v>0</v>
      </c>
      <c r="V68" s="41"/>
      <c r="W68" s="362">
        <v>0</v>
      </c>
      <c r="X68" s="362">
        <f t="shared" si="38"/>
        <v>0</v>
      </c>
      <c r="Y68" s="41"/>
      <c r="Z68" s="362">
        <v>0</v>
      </c>
      <c r="AA68" s="362">
        <f t="shared" ref="AA68:AA73" si="39">Z68-S68</f>
        <v>0</v>
      </c>
      <c r="AB68" s="41"/>
      <c r="AC68" s="248">
        <v>0</v>
      </c>
      <c r="AD68" s="248">
        <f t="shared" ref="AD68:AD73" si="40">AC68-S68</f>
        <v>0</v>
      </c>
    </row>
    <row r="69" spans="1:30" s="37" customFormat="1" ht="12" x14ac:dyDescent="0.2">
      <c r="A69" s="38"/>
      <c r="C69" s="199">
        <v>6337</v>
      </c>
      <c r="D69" s="37" t="s">
        <v>14</v>
      </c>
      <c r="E69" s="39">
        <f>'Exp Details'!K45</f>
        <v>41.666666666666664</v>
      </c>
      <c r="F69" s="39">
        <f>'Exp Details'!L45</f>
        <v>41.666666666666664</v>
      </c>
      <c r="G69" s="39">
        <f>'Exp Details'!M45</f>
        <v>41.666666666666664</v>
      </c>
      <c r="H69" s="39">
        <f>'Exp Details'!N45</f>
        <v>41.666666666666664</v>
      </c>
      <c r="I69" s="39">
        <f>'Exp Details'!O45</f>
        <v>41.666666666666664</v>
      </c>
      <c r="J69" s="39">
        <f>'Exp Details'!P45</f>
        <v>41.666666666666664</v>
      </c>
      <c r="K69" s="39">
        <f>'Exp Details'!Q45</f>
        <v>41.666666666666664</v>
      </c>
      <c r="L69" s="39">
        <f>'Exp Details'!R45</f>
        <v>41.666666666666664</v>
      </c>
      <c r="M69" s="39">
        <f>'Exp Details'!S45</f>
        <v>41.666666666666664</v>
      </c>
      <c r="N69" s="39">
        <f>'Exp Details'!T45</f>
        <v>41.666666666666664</v>
      </c>
      <c r="O69" s="39">
        <f>'Exp Details'!U45</f>
        <v>41.666666666666664</v>
      </c>
      <c r="P69" s="39">
        <f>'Exp Details'!V45</f>
        <v>41.666666666666664</v>
      </c>
      <c r="Q69" s="36"/>
      <c r="R69" s="41"/>
      <c r="S69" s="354">
        <f t="shared" si="37"/>
        <v>500.00000000000006</v>
      </c>
      <c r="T69" s="41"/>
      <c r="U69" s="362">
        <f t="shared" si="2"/>
        <v>333.33333333333331</v>
      </c>
      <c r="V69" s="41"/>
      <c r="W69" s="362">
        <v>0</v>
      </c>
      <c r="X69" s="362">
        <f t="shared" si="38"/>
        <v>500.00000000000006</v>
      </c>
      <c r="Y69" s="41"/>
      <c r="Z69" s="362">
        <v>500.00000000000006</v>
      </c>
      <c r="AA69" s="362">
        <f t="shared" si="39"/>
        <v>0</v>
      </c>
      <c r="AB69" s="41"/>
      <c r="AC69" s="248">
        <v>0</v>
      </c>
      <c r="AD69" s="248">
        <f t="shared" si="40"/>
        <v>-500.00000000000006</v>
      </c>
    </row>
    <row r="70" spans="1:30" s="37" customFormat="1" ht="12" x14ac:dyDescent="0.2">
      <c r="A70" s="38"/>
      <c r="C70" s="199">
        <v>6340</v>
      </c>
      <c r="D70" s="37" t="s">
        <v>15</v>
      </c>
      <c r="E70" s="39">
        <f>'Exp Details'!K53</f>
        <v>792</v>
      </c>
      <c r="F70" s="39">
        <f>'Exp Details'!L53</f>
        <v>792</v>
      </c>
      <c r="G70" s="39">
        <f>'Exp Details'!M53</f>
        <v>792</v>
      </c>
      <c r="H70" s="39">
        <f>'Exp Details'!N53</f>
        <v>792</v>
      </c>
      <c r="I70" s="39">
        <f>'Exp Details'!O53</f>
        <v>792</v>
      </c>
      <c r="J70" s="39">
        <f>'Exp Details'!P53</f>
        <v>792</v>
      </c>
      <c r="K70" s="39">
        <f>'Exp Details'!Q53</f>
        <v>792</v>
      </c>
      <c r="L70" s="39">
        <f>'Exp Details'!R53</f>
        <v>792</v>
      </c>
      <c r="M70" s="39">
        <f>'Exp Details'!S53</f>
        <v>792</v>
      </c>
      <c r="N70" s="39">
        <f>'Exp Details'!T53</f>
        <v>792</v>
      </c>
      <c r="O70" s="39">
        <f>'Exp Details'!U53</f>
        <v>792</v>
      </c>
      <c r="P70" s="39">
        <f>'Exp Details'!V53</f>
        <v>792</v>
      </c>
      <c r="Q70" s="36"/>
      <c r="R70" s="41"/>
      <c r="S70" s="354">
        <f>SUM(E70:Q70)</f>
        <v>9504</v>
      </c>
      <c r="T70" s="41"/>
      <c r="U70" s="362">
        <f t="shared" si="2"/>
        <v>6336</v>
      </c>
      <c r="V70" s="41"/>
      <c r="W70" s="362">
        <v>213358.00000000003</v>
      </c>
      <c r="X70" s="362">
        <f t="shared" si="38"/>
        <v>-203854.00000000003</v>
      </c>
      <c r="Y70" s="41"/>
      <c r="Z70" s="362">
        <v>282910.00000000006</v>
      </c>
      <c r="AA70" s="362">
        <f t="shared" si="39"/>
        <v>273406.00000000006</v>
      </c>
      <c r="AB70" s="41"/>
      <c r="AC70" s="248">
        <v>0</v>
      </c>
      <c r="AD70" s="248">
        <f t="shared" si="40"/>
        <v>-9504</v>
      </c>
    </row>
    <row r="71" spans="1:30" s="37" customFormat="1" ht="12" x14ac:dyDescent="0.2">
      <c r="A71" s="38"/>
      <c r="C71" s="199">
        <v>6345</v>
      </c>
      <c r="D71" s="37" t="s">
        <v>16</v>
      </c>
      <c r="E71" s="39">
        <f>'Exp Details'!K59</f>
        <v>0</v>
      </c>
      <c r="F71" s="39">
        <f>'Exp Details'!L59</f>
        <v>0</v>
      </c>
      <c r="G71" s="39">
        <f>'Exp Details'!M59</f>
        <v>0</v>
      </c>
      <c r="H71" s="39">
        <f>'Exp Details'!N59</f>
        <v>0</v>
      </c>
      <c r="I71" s="39">
        <f>'Exp Details'!O59</f>
        <v>0</v>
      </c>
      <c r="J71" s="39">
        <f>'Exp Details'!P59</f>
        <v>0</v>
      </c>
      <c r="K71" s="39">
        <f>'Exp Details'!Q59</f>
        <v>0</v>
      </c>
      <c r="L71" s="39">
        <f>'Exp Details'!R59</f>
        <v>0</v>
      </c>
      <c r="M71" s="39">
        <f>'Exp Details'!S59</f>
        <v>0</v>
      </c>
      <c r="N71" s="39">
        <f>'Exp Details'!T59</f>
        <v>0</v>
      </c>
      <c r="O71" s="39">
        <f>'Exp Details'!U59</f>
        <v>0</v>
      </c>
      <c r="P71" s="39">
        <f>'Exp Details'!V59</f>
        <v>0</v>
      </c>
      <c r="Q71" s="36"/>
      <c r="R71" s="41"/>
      <c r="S71" s="354">
        <f t="shared" si="37"/>
        <v>0</v>
      </c>
      <c r="T71" s="41"/>
      <c r="U71" s="362">
        <f t="shared" si="2"/>
        <v>0</v>
      </c>
      <c r="V71" s="41"/>
      <c r="W71" s="362">
        <v>0</v>
      </c>
      <c r="X71" s="362">
        <f t="shared" si="38"/>
        <v>0</v>
      </c>
      <c r="Y71" s="41"/>
      <c r="Z71" s="362">
        <v>0</v>
      </c>
      <c r="AA71" s="362">
        <f t="shared" si="39"/>
        <v>0</v>
      </c>
      <c r="AB71" s="41"/>
      <c r="AC71" s="248">
        <v>0</v>
      </c>
      <c r="AD71" s="248">
        <f t="shared" si="40"/>
        <v>0</v>
      </c>
    </row>
    <row r="72" spans="1:30" s="37" customFormat="1" ht="12" x14ac:dyDescent="0.2">
      <c r="A72" s="38"/>
      <c r="C72" s="199">
        <v>6350</v>
      </c>
      <c r="D72" s="37" t="s">
        <v>17</v>
      </c>
      <c r="E72" s="39">
        <f>'Exp Details'!K65</f>
        <v>41.666666666666664</v>
      </c>
      <c r="F72" s="39">
        <f>'Exp Details'!L65</f>
        <v>41.666666666666664</v>
      </c>
      <c r="G72" s="39">
        <f>'Exp Details'!M65</f>
        <v>41.666666666666664</v>
      </c>
      <c r="H72" s="39">
        <f>'Exp Details'!N65</f>
        <v>41.666666666666664</v>
      </c>
      <c r="I72" s="39">
        <f>'Exp Details'!O65</f>
        <v>41.666666666666664</v>
      </c>
      <c r="J72" s="39">
        <f>'Exp Details'!P65</f>
        <v>41.666666666666664</v>
      </c>
      <c r="K72" s="39">
        <f>'Exp Details'!Q65</f>
        <v>41.666666666666664</v>
      </c>
      <c r="L72" s="39">
        <f>'Exp Details'!R65</f>
        <v>41.666666666666664</v>
      </c>
      <c r="M72" s="39">
        <f>'Exp Details'!S65</f>
        <v>41.666666666666664</v>
      </c>
      <c r="N72" s="39">
        <f>'Exp Details'!T65</f>
        <v>41.666666666666664</v>
      </c>
      <c r="O72" s="39">
        <f>'Exp Details'!U65</f>
        <v>41.666666666666664</v>
      </c>
      <c r="P72" s="39">
        <f>'Exp Details'!V65</f>
        <v>41.666666666666664</v>
      </c>
      <c r="Q72" s="36"/>
      <c r="R72" s="41"/>
      <c r="S72" s="354">
        <f t="shared" si="37"/>
        <v>500.00000000000006</v>
      </c>
      <c r="T72" s="41"/>
      <c r="U72" s="362">
        <f t="shared" si="2"/>
        <v>333.33333333333331</v>
      </c>
      <c r="V72" s="41"/>
      <c r="W72" s="362">
        <v>1000.0000000000001</v>
      </c>
      <c r="X72" s="362">
        <f t="shared" si="38"/>
        <v>-500.00000000000006</v>
      </c>
      <c r="Y72" s="41"/>
      <c r="Z72" s="362">
        <v>1000.0000000000001</v>
      </c>
      <c r="AA72" s="362">
        <f t="shared" si="39"/>
        <v>500.00000000000006</v>
      </c>
      <c r="AB72" s="41"/>
      <c r="AC72" s="248">
        <v>0</v>
      </c>
      <c r="AD72" s="248">
        <f t="shared" si="40"/>
        <v>-500.00000000000006</v>
      </c>
    </row>
    <row r="73" spans="1:30" s="37" customFormat="1" ht="12" x14ac:dyDescent="0.2">
      <c r="A73" s="38"/>
      <c r="C73" s="199">
        <v>6351</v>
      </c>
      <c r="D73" s="37" t="s">
        <v>18</v>
      </c>
      <c r="E73" s="39">
        <f>'Exp Details'!K74</f>
        <v>0</v>
      </c>
      <c r="F73" s="39">
        <f>'Exp Details'!L74</f>
        <v>0</v>
      </c>
      <c r="G73" s="39">
        <f>'Exp Details'!M74</f>
        <v>0</v>
      </c>
      <c r="H73" s="39">
        <f>'Exp Details'!N74</f>
        <v>0</v>
      </c>
      <c r="I73" s="39">
        <f>'Exp Details'!O74</f>
        <v>0</v>
      </c>
      <c r="J73" s="39">
        <f>'Exp Details'!P74</f>
        <v>0</v>
      </c>
      <c r="K73" s="39">
        <f>'Exp Details'!Q74</f>
        <v>0</v>
      </c>
      <c r="L73" s="39">
        <f>'Exp Details'!R74</f>
        <v>0</v>
      </c>
      <c r="M73" s="39">
        <f>'Exp Details'!S74</f>
        <v>0</v>
      </c>
      <c r="N73" s="39">
        <f>'Exp Details'!T74</f>
        <v>0</v>
      </c>
      <c r="O73" s="39">
        <f>'Exp Details'!U74</f>
        <v>0</v>
      </c>
      <c r="P73" s="39">
        <f>'Exp Details'!V74</f>
        <v>0</v>
      </c>
      <c r="Q73" s="36"/>
      <c r="R73" s="41"/>
      <c r="S73" s="354">
        <f t="shared" si="37"/>
        <v>0</v>
      </c>
      <c r="T73" s="41"/>
      <c r="U73" s="362">
        <f t="shared" ref="U73:U117" si="41">SUM(E73:L73)</f>
        <v>0</v>
      </c>
      <c r="V73" s="41"/>
      <c r="W73" s="362">
        <v>0</v>
      </c>
      <c r="X73" s="362">
        <f t="shared" si="38"/>
        <v>0</v>
      </c>
      <c r="Y73" s="41"/>
      <c r="Z73" s="362">
        <v>0</v>
      </c>
      <c r="AA73" s="362">
        <f t="shared" si="39"/>
        <v>0</v>
      </c>
      <c r="AB73" s="41"/>
      <c r="AC73" s="248">
        <v>0</v>
      </c>
      <c r="AD73" s="248">
        <f t="shared" si="40"/>
        <v>0</v>
      </c>
    </row>
    <row r="74" spans="1:30" s="37" customFormat="1" ht="12" x14ac:dyDescent="0.2">
      <c r="A74" s="38"/>
      <c r="C74" s="38"/>
      <c r="E74" s="50">
        <f t="shared" ref="E74:O74" si="42">SUBTOTAL(9,E64:E73)</f>
        <v>1097.3333333333333</v>
      </c>
      <c r="F74" s="50">
        <f t="shared" si="42"/>
        <v>1097.3333333333333</v>
      </c>
      <c r="G74" s="50">
        <f t="shared" si="42"/>
        <v>1097.3333333333333</v>
      </c>
      <c r="H74" s="50">
        <f t="shared" si="42"/>
        <v>1097.3333333333333</v>
      </c>
      <c r="I74" s="50">
        <f t="shared" si="42"/>
        <v>1097.3333333333333</v>
      </c>
      <c r="J74" s="50">
        <f t="shared" si="42"/>
        <v>1097.3333333333333</v>
      </c>
      <c r="K74" s="50">
        <f t="shared" si="42"/>
        <v>1097.3333333333333</v>
      </c>
      <c r="L74" s="50">
        <f t="shared" si="42"/>
        <v>1097.3333333333333</v>
      </c>
      <c r="M74" s="50">
        <f t="shared" si="42"/>
        <v>1097.3333333333333</v>
      </c>
      <c r="N74" s="50">
        <f t="shared" si="42"/>
        <v>1097.3333333333333</v>
      </c>
      <c r="O74" s="50">
        <f t="shared" si="42"/>
        <v>1097.3333333333333</v>
      </c>
      <c r="P74" s="50">
        <f t="shared" ref="P74" si="43">SUBTOTAL(9,P64:P73)</f>
        <v>1097.3333333333333</v>
      </c>
      <c r="Q74" s="51"/>
      <c r="R74" s="41"/>
      <c r="S74" s="355">
        <f>SUBTOTAL(9,S64:S73)</f>
        <v>13168</v>
      </c>
      <c r="T74" s="41"/>
      <c r="U74" s="363">
        <f t="shared" si="41"/>
        <v>8778.6666666666661</v>
      </c>
      <c r="V74" s="41"/>
      <c r="W74" s="363">
        <v>217608.00000000003</v>
      </c>
      <c r="X74" s="363">
        <f>SUBTOTAL(9,X64:X73)</f>
        <v>-204440.00000000003</v>
      </c>
      <c r="Y74" s="41"/>
      <c r="Z74" s="363">
        <v>290910.00000000006</v>
      </c>
      <c r="AA74" s="363">
        <f>SUBTOTAL(9,AA64:AA73)</f>
        <v>277742.00000000006</v>
      </c>
      <c r="AB74" s="41"/>
      <c r="AC74" s="250">
        <f>SUBTOTAL(9,AC64:AC73)</f>
        <v>0</v>
      </c>
      <c r="AD74" s="250">
        <f>SUBTOTAL(9,AD64:AD73)</f>
        <v>-13168</v>
      </c>
    </row>
    <row r="75" spans="1:30" s="37" customFormat="1" ht="12" x14ac:dyDescent="0.2">
      <c r="C75" s="49" t="s">
        <v>100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44"/>
      <c r="R75" s="41"/>
      <c r="S75" s="354"/>
      <c r="T75" s="41"/>
      <c r="U75" s="362">
        <f t="shared" si="41"/>
        <v>0</v>
      </c>
      <c r="V75" s="41"/>
      <c r="W75" s="362"/>
      <c r="X75" s="362"/>
      <c r="Y75" s="41"/>
      <c r="Z75" s="362"/>
      <c r="AA75" s="362"/>
      <c r="AB75" s="41"/>
      <c r="AC75" s="248"/>
      <c r="AD75" s="248"/>
    </row>
    <row r="76" spans="1:30" s="37" customFormat="1" ht="12" x14ac:dyDescent="0.2">
      <c r="C76" s="199">
        <v>6410</v>
      </c>
      <c r="D76" s="37" t="s">
        <v>19</v>
      </c>
      <c r="E76" s="39">
        <f>'Exp Details'!K82</f>
        <v>50</v>
      </c>
      <c r="F76" s="39">
        <f>'Exp Details'!L82</f>
        <v>50</v>
      </c>
      <c r="G76" s="39">
        <f>'Exp Details'!M82</f>
        <v>50</v>
      </c>
      <c r="H76" s="39">
        <f>'Exp Details'!N82</f>
        <v>50</v>
      </c>
      <c r="I76" s="39">
        <f>'Exp Details'!O82</f>
        <v>50</v>
      </c>
      <c r="J76" s="39">
        <f>'Exp Details'!P82</f>
        <v>50</v>
      </c>
      <c r="K76" s="39">
        <f>'Exp Details'!Q82</f>
        <v>50</v>
      </c>
      <c r="L76" s="39">
        <f>'Exp Details'!R82</f>
        <v>50</v>
      </c>
      <c r="M76" s="39">
        <f>'Exp Details'!S82</f>
        <v>50</v>
      </c>
      <c r="N76" s="39">
        <f>'Exp Details'!T82</f>
        <v>50</v>
      </c>
      <c r="O76" s="39">
        <f>'Exp Details'!U82</f>
        <v>50</v>
      </c>
      <c r="P76" s="39">
        <f>'Exp Details'!V82</f>
        <v>50</v>
      </c>
      <c r="Q76" s="36"/>
      <c r="R76" s="41"/>
      <c r="S76" s="354">
        <f t="shared" ref="S76:S79" si="44">SUM(E76:Q76)</f>
        <v>600</v>
      </c>
      <c r="T76" s="41"/>
      <c r="U76" s="362">
        <f t="shared" si="41"/>
        <v>400</v>
      </c>
      <c r="V76" s="41"/>
      <c r="W76" s="362">
        <v>0</v>
      </c>
      <c r="X76" s="362">
        <f>W76-P76</f>
        <v>-50</v>
      </c>
      <c r="Y76" s="41"/>
      <c r="Z76" s="362">
        <v>0</v>
      </c>
      <c r="AA76" s="362">
        <f>Z76-S76</f>
        <v>-600</v>
      </c>
      <c r="AB76" s="41"/>
      <c r="AC76" s="248">
        <v>0</v>
      </c>
      <c r="AD76" s="248">
        <f>AC76-S76</f>
        <v>-600</v>
      </c>
    </row>
    <row r="77" spans="1:30" s="37" customFormat="1" ht="12" x14ac:dyDescent="0.2">
      <c r="C77" s="199">
        <v>6420</v>
      </c>
      <c r="D77" s="37" t="s">
        <v>20</v>
      </c>
      <c r="E77" s="39">
        <f>'Exp Details'!K90</f>
        <v>100</v>
      </c>
      <c r="F77" s="39">
        <f>'Exp Details'!L90</f>
        <v>100</v>
      </c>
      <c r="G77" s="39">
        <f>'Exp Details'!M90</f>
        <v>200</v>
      </c>
      <c r="H77" s="39">
        <f>'Exp Details'!N90</f>
        <v>100</v>
      </c>
      <c r="I77" s="39">
        <f>'Exp Details'!O90</f>
        <v>100</v>
      </c>
      <c r="J77" s="39">
        <f>'Exp Details'!P90</f>
        <v>200</v>
      </c>
      <c r="K77" s="39">
        <f>'Exp Details'!Q90</f>
        <v>100</v>
      </c>
      <c r="L77" s="39">
        <f>'Exp Details'!R90</f>
        <v>100</v>
      </c>
      <c r="M77" s="39">
        <f>'Exp Details'!S90</f>
        <v>200</v>
      </c>
      <c r="N77" s="39">
        <f>'Exp Details'!T90</f>
        <v>100</v>
      </c>
      <c r="O77" s="39">
        <f>'Exp Details'!U90</f>
        <v>100</v>
      </c>
      <c r="P77" s="39">
        <f>'Exp Details'!V90</f>
        <v>200</v>
      </c>
      <c r="Q77" s="36"/>
      <c r="R77" s="41"/>
      <c r="S77" s="354">
        <f t="shared" si="44"/>
        <v>1600</v>
      </c>
      <c r="T77" s="41"/>
      <c r="U77" s="362">
        <f t="shared" si="41"/>
        <v>1000</v>
      </c>
      <c r="V77" s="41"/>
      <c r="W77" s="362">
        <v>1800</v>
      </c>
      <c r="X77" s="362">
        <f t="shared" ref="X77:X79" si="45">S77-W77</f>
        <v>-200</v>
      </c>
      <c r="Y77" s="41"/>
      <c r="Z77" s="362">
        <v>1800</v>
      </c>
      <c r="AA77" s="362">
        <f>Z77-S77</f>
        <v>200</v>
      </c>
      <c r="AB77" s="41"/>
      <c r="AC77" s="248">
        <v>0</v>
      </c>
      <c r="AD77" s="248">
        <f>AC77-S77</f>
        <v>-1600</v>
      </c>
    </row>
    <row r="78" spans="1:30" s="37" customFormat="1" ht="12" x14ac:dyDescent="0.2">
      <c r="C78" s="199">
        <v>6430</v>
      </c>
      <c r="D78" s="37" t="s">
        <v>21</v>
      </c>
      <c r="E78" s="39">
        <f>'Exp Details'!K97</f>
        <v>0</v>
      </c>
      <c r="F78" s="39">
        <f>'Exp Details'!L97</f>
        <v>0</v>
      </c>
      <c r="G78" s="39">
        <f>'Exp Details'!M97</f>
        <v>0</v>
      </c>
      <c r="H78" s="39">
        <f>'Exp Details'!N97</f>
        <v>0</v>
      </c>
      <c r="I78" s="39">
        <f>'Exp Details'!O97</f>
        <v>0</v>
      </c>
      <c r="J78" s="39">
        <f>'Exp Details'!P97</f>
        <v>0</v>
      </c>
      <c r="K78" s="39">
        <f>'Exp Details'!Q97</f>
        <v>0</v>
      </c>
      <c r="L78" s="39">
        <f>'Exp Details'!R97</f>
        <v>0</v>
      </c>
      <c r="M78" s="39">
        <f>'Exp Details'!S97</f>
        <v>0</v>
      </c>
      <c r="N78" s="39">
        <f>'Exp Details'!T97</f>
        <v>125</v>
      </c>
      <c r="O78" s="39">
        <f>'Exp Details'!U97</f>
        <v>0</v>
      </c>
      <c r="P78" s="39">
        <f>'Exp Details'!V97</f>
        <v>0</v>
      </c>
      <c r="Q78" s="36"/>
      <c r="R78" s="41"/>
      <c r="S78" s="354">
        <f t="shared" si="44"/>
        <v>125</v>
      </c>
      <c r="T78" s="41"/>
      <c r="U78" s="362">
        <f t="shared" si="41"/>
        <v>0</v>
      </c>
      <c r="V78" s="41"/>
      <c r="W78" s="362">
        <v>700.00000000000011</v>
      </c>
      <c r="X78" s="362">
        <f t="shared" si="45"/>
        <v>-575.00000000000011</v>
      </c>
      <c r="Y78" s="41"/>
      <c r="Z78" s="362">
        <v>700.00000000000011</v>
      </c>
      <c r="AA78" s="362">
        <f>Z78-S78</f>
        <v>575.00000000000011</v>
      </c>
      <c r="AB78" s="41"/>
      <c r="AC78" s="248">
        <v>0</v>
      </c>
      <c r="AD78" s="248">
        <f>AC78-S78</f>
        <v>-125</v>
      </c>
    </row>
    <row r="79" spans="1:30" s="37" customFormat="1" ht="12" x14ac:dyDescent="0.2">
      <c r="C79" s="199">
        <v>6441</v>
      </c>
      <c r="D79" s="37" t="s">
        <v>22</v>
      </c>
      <c r="E79" s="39">
        <f>'Exp Details'!K105</f>
        <v>2730</v>
      </c>
      <c r="F79" s="39">
        <f>'Exp Details'!L105</f>
        <v>2730</v>
      </c>
      <c r="G79" s="39">
        <f>'Exp Details'!M105</f>
        <v>2730</v>
      </c>
      <c r="H79" s="39">
        <f>'Exp Details'!N105</f>
        <v>2730</v>
      </c>
      <c r="I79" s="39">
        <f>'Exp Details'!O105</f>
        <v>2730</v>
      </c>
      <c r="J79" s="39">
        <f>'Exp Details'!P105</f>
        <v>2730</v>
      </c>
      <c r="K79" s="39">
        <f>'Exp Details'!Q105</f>
        <v>2730</v>
      </c>
      <c r="L79" s="39">
        <f>'Exp Details'!R105</f>
        <v>2730</v>
      </c>
      <c r="M79" s="39">
        <f>'Exp Details'!S105</f>
        <v>2730</v>
      </c>
      <c r="N79" s="39">
        <f>'Exp Details'!T105</f>
        <v>2730</v>
      </c>
      <c r="O79" s="39">
        <f>'Exp Details'!U105</f>
        <v>3730</v>
      </c>
      <c r="P79" s="39">
        <f>'Exp Details'!V105</f>
        <v>2730</v>
      </c>
      <c r="Q79" s="36"/>
      <c r="R79" s="41"/>
      <c r="S79" s="354">
        <f t="shared" si="44"/>
        <v>33760</v>
      </c>
      <c r="T79" s="41"/>
      <c r="U79" s="362">
        <f t="shared" si="41"/>
        <v>21840</v>
      </c>
      <c r="V79" s="41"/>
      <c r="W79" s="362">
        <v>29420.000000000004</v>
      </c>
      <c r="X79" s="362">
        <f t="shared" si="45"/>
        <v>4339.9999999999964</v>
      </c>
      <c r="Y79" s="41"/>
      <c r="Z79" s="362">
        <v>29420.000000000004</v>
      </c>
      <c r="AA79" s="362">
        <f>Z79-S79</f>
        <v>-4339.9999999999964</v>
      </c>
      <c r="AB79" s="41"/>
      <c r="AC79" s="248">
        <v>0</v>
      </c>
      <c r="AD79" s="248">
        <f>AC79-S79</f>
        <v>-33760</v>
      </c>
    </row>
    <row r="80" spans="1:30" s="37" customFormat="1" ht="12" x14ac:dyDescent="0.2">
      <c r="C80" s="38"/>
      <c r="E80" s="50">
        <f t="shared" ref="E80:O80" si="46">SUBTOTAL(9,E76:E79)</f>
        <v>2880</v>
      </c>
      <c r="F80" s="50">
        <f t="shared" si="46"/>
        <v>2880</v>
      </c>
      <c r="G80" s="50">
        <f t="shared" si="46"/>
        <v>2980</v>
      </c>
      <c r="H80" s="50">
        <f t="shared" si="46"/>
        <v>2880</v>
      </c>
      <c r="I80" s="50">
        <f t="shared" si="46"/>
        <v>2880</v>
      </c>
      <c r="J80" s="50">
        <f t="shared" si="46"/>
        <v>2980</v>
      </c>
      <c r="K80" s="50">
        <f t="shared" si="46"/>
        <v>2880</v>
      </c>
      <c r="L80" s="50">
        <f t="shared" si="46"/>
        <v>2880</v>
      </c>
      <c r="M80" s="50">
        <f t="shared" si="46"/>
        <v>2980</v>
      </c>
      <c r="N80" s="50">
        <f t="shared" si="46"/>
        <v>3005</v>
      </c>
      <c r="O80" s="50">
        <f t="shared" si="46"/>
        <v>3880</v>
      </c>
      <c r="P80" s="50">
        <f t="shared" ref="P80" si="47">SUBTOTAL(9,P76:P79)</f>
        <v>2980</v>
      </c>
      <c r="Q80" s="51"/>
      <c r="R80" s="41"/>
      <c r="S80" s="355">
        <f t="shared" ref="S80:AA80" si="48">SUBTOTAL(9,S76:S79)</f>
        <v>36085</v>
      </c>
      <c r="T80" s="41"/>
      <c r="U80" s="363">
        <f t="shared" si="41"/>
        <v>23240</v>
      </c>
      <c r="V80" s="41"/>
      <c r="W80" s="363">
        <v>31920.000000000004</v>
      </c>
      <c r="X80" s="363">
        <f t="shared" ref="X80" si="49">SUBTOTAL(9,X76:X79)</f>
        <v>3514.9999999999964</v>
      </c>
      <c r="Y80" s="41"/>
      <c r="Z80" s="363">
        <v>31920.000000000004</v>
      </c>
      <c r="AA80" s="363">
        <f t="shared" si="48"/>
        <v>-4164.9999999999964</v>
      </c>
      <c r="AB80" s="41"/>
      <c r="AC80" s="250">
        <f t="shared" ref="AC80:AD80" si="50">SUBTOTAL(9,AC76:AC79)</f>
        <v>0</v>
      </c>
      <c r="AD80" s="250">
        <f t="shared" si="50"/>
        <v>-36085</v>
      </c>
    </row>
    <row r="81" spans="3:32" s="37" customFormat="1" ht="12" x14ac:dyDescent="0.2">
      <c r="C81" s="49" t="s">
        <v>101</v>
      </c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44"/>
      <c r="R81" s="41"/>
      <c r="S81" s="354"/>
      <c r="T81" s="41"/>
      <c r="U81" s="362">
        <f t="shared" si="41"/>
        <v>0</v>
      </c>
      <c r="V81" s="41"/>
      <c r="W81" s="362"/>
      <c r="X81" s="362"/>
      <c r="Y81" s="41"/>
      <c r="Z81" s="362"/>
      <c r="AA81" s="362"/>
      <c r="AB81" s="41"/>
      <c r="AC81" s="248"/>
      <c r="AD81" s="248"/>
    </row>
    <row r="82" spans="3:32" s="37" customFormat="1" ht="12" x14ac:dyDescent="0.2">
      <c r="C82" s="199">
        <v>6519</v>
      </c>
      <c r="D82" s="37" t="s">
        <v>235</v>
      </c>
      <c r="E82" s="39">
        <f>'Exp Details'!K113</f>
        <v>0</v>
      </c>
      <c r="F82" s="39">
        <f>'Exp Details'!L113</f>
        <v>0</v>
      </c>
      <c r="G82" s="39">
        <f>'Exp Details'!M113</f>
        <v>0</v>
      </c>
      <c r="H82" s="39">
        <f>'Exp Details'!N113</f>
        <v>0</v>
      </c>
      <c r="I82" s="39">
        <f>'Exp Details'!O113</f>
        <v>0</v>
      </c>
      <c r="J82" s="39">
        <f>'Exp Details'!P113</f>
        <v>0</v>
      </c>
      <c r="K82" s="39">
        <f>'Exp Details'!Q113</f>
        <v>0</v>
      </c>
      <c r="L82" s="39">
        <f>'Exp Details'!R113</f>
        <v>0</v>
      </c>
      <c r="M82" s="39">
        <f>'Exp Details'!S113</f>
        <v>0</v>
      </c>
      <c r="N82" s="39">
        <f>'Exp Details'!T113</f>
        <v>0</v>
      </c>
      <c r="O82" s="39">
        <f>'Exp Details'!U113</f>
        <v>0</v>
      </c>
      <c r="P82" s="39">
        <f>'Exp Details'!V113</f>
        <v>0</v>
      </c>
      <c r="Q82" s="36"/>
      <c r="R82" s="41"/>
      <c r="S82" s="354">
        <f t="shared" ref="S82:S89" si="51">SUM(E82:Q82)</f>
        <v>0</v>
      </c>
      <c r="T82" s="41"/>
      <c r="U82" s="362">
        <f t="shared" si="41"/>
        <v>0</v>
      </c>
      <c r="V82" s="41"/>
      <c r="W82" s="362">
        <v>2100</v>
      </c>
      <c r="X82" s="362">
        <f t="shared" ref="X82:X93" si="52">S82-W82</f>
        <v>-2100</v>
      </c>
      <c r="Y82" s="41"/>
      <c r="Z82" s="362">
        <v>2100</v>
      </c>
      <c r="AA82" s="362">
        <f t="shared" ref="AA82:AA93" si="53">Z82-S82</f>
        <v>2100</v>
      </c>
      <c r="AB82" s="41"/>
      <c r="AC82" s="248">
        <v>0</v>
      </c>
      <c r="AD82" s="248">
        <f t="shared" ref="AD82:AD93" si="54">AC82-S82</f>
        <v>0</v>
      </c>
    </row>
    <row r="83" spans="3:32" s="37" customFormat="1" ht="12" x14ac:dyDescent="0.2">
      <c r="C83" s="199">
        <v>6521</v>
      </c>
      <c r="D83" s="37" t="s">
        <v>24</v>
      </c>
      <c r="E83" s="39">
        <f>'Exp Details'!K122</f>
        <v>0</v>
      </c>
      <c r="F83" s="39">
        <f>'Exp Details'!L122</f>
        <v>0</v>
      </c>
      <c r="G83" s="39">
        <f>'Exp Details'!M122</f>
        <v>0</v>
      </c>
      <c r="H83" s="39">
        <f>'Exp Details'!N122</f>
        <v>0</v>
      </c>
      <c r="I83" s="39">
        <f>'Exp Details'!O122</f>
        <v>0</v>
      </c>
      <c r="J83" s="39">
        <f>'Exp Details'!P122</f>
        <v>0</v>
      </c>
      <c r="K83" s="39">
        <f>'Exp Details'!Q122</f>
        <v>0</v>
      </c>
      <c r="L83" s="39">
        <f>'Exp Details'!R122</f>
        <v>0</v>
      </c>
      <c r="M83" s="39">
        <f>'Exp Details'!S122</f>
        <v>0</v>
      </c>
      <c r="N83" s="39">
        <f>'Exp Details'!T122</f>
        <v>0</v>
      </c>
      <c r="O83" s="39">
        <f>'Exp Details'!U122</f>
        <v>0</v>
      </c>
      <c r="P83" s="39">
        <f>'Exp Details'!V122</f>
        <v>0</v>
      </c>
      <c r="Q83" s="36"/>
      <c r="R83" s="41"/>
      <c r="S83" s="354">
        <f>SUM(E83:Q83)</f>
        <v>0</v>
      </c>
      <c r="T83" s="41"/>
      <c r="U83" s="362">
        <f t="shared" si="41"/>
        <v>0</v>
      </c>
      <c r="V83" s="41"/>
      <c r="W83" s="362">
        <v>0</v>
      </c>
      <c r="X83" s="362">
        <f t="shared" si="52"/>
        <v>0</v>
      </c>
      <c r="Y83" s="41"/>
      <c r="Z83" s="362">
        <v>0</v>
      </c>
      <c r="AA83" s="362">
        <f t="shared" si="53"/>
        <v>0</v>
      </c>
      <c r="AB83" s="41"/>
      <c r="AC83" s="248">
        <v>0</v>
      </c>
      <c r="AD83" s="248">
        <f t="shared" si="54"/>
        <v>0</v>
      </c>
    </row>
    <row r="84" spans="3:32" s="37" customFormat="1" ht="12" x14ac:dyDescent="0.2">
      <c r="C84" s="199">
        <v>6522</v>
      </c>
      <c r="D84" s="37" t="s">
        <v>25</v>
      </c>
      <c r="E84" s="39">
        <f>'Exp Details'!K131</f>
        <v>0</v>
      </c>
      <c r="F84" s="39">
        <f>'Exp Details'!L131</f>
        <v>0</v>
      </c>
      <c r="G84" s="39">
        <f>'Exp Details'!M131</f>
        <v>0</v>
      </c>
      <c r="H84" s="39">
        <f>'Exp Details'!N131</f>
        <v>0</v>
      </c>
      <c r="I84" s="39">
        <f>'Exp Details'!O131</f>
        <v>0</v>
      </c>
      <c r="J84" s="39">
        <f>'Exp Details'!P131</f>
        <v>0</v>
      </c>
      <c r="K84" s="39">
        <f>'Exp Details'!Q131</f>
        <v>0</v>
      </c>
      <c r="L84" s="39">
        <f>'Exp Details'!R131</f>
        <v>0</v>
      </c>
      <c r="M84" s="39">
        <f>'Exp Details'!S131</f>
        <v>0</v>
      </c>
      <c r="N84" s="39">
        <f>'Exp Details'!T131</f>
        <v>0</v>
      </c>
      <c r="O84" s="39">
        <f>'Exp Details'!U131</f>
        <v>0</v>
      </c>
      <c r="P84" s="39">
        <f>'Exp Details'!V131</f>
        <v>0</v>
      </c>
      <c r="Q84" s="36"/>
      <c r="R84" s="41"/>
      <c r="S84" s="354">
        <f t="shared" si="51"/>
        <v>0</v>
      </c>
      <c r="T84" s="41"/>
      <c r="U84" s="362">
        <f t="shared" si="41"/>
        <v>0</v>
      </c>
      <c r="V84" s="41"/>
      <c r="W84" s="362">
        <v>0</v>
      </c>
      <c r="X84" s="362">
        <f t="shared" si="52"/>
        <v>0</v>
      </c>
      <c r="Y84" s="41"/>
      <c r="Z84" s="362">
        <v>0</v>
      </c>
      <c r="AA84" s="362">
        <f t="shared" si="53"/>
        <v>0</v>
      </c>
      <c r="AB84" s="41"/>
      <c r="AC84" s="248">
        <v>0</v>
      </c>
      <c r="AD84" s="248">
        <f t="shared" si="54"/>
        <v>0</v>
      </c>
    </row>
    <row r="85" spans="3:32" s="37" customFormat="1" ht="12" x14ac:dyDescent="0.2">
      <c r="C85" s="199">
        <v>6523</v>
      </c>
      <c r="D85" s="37" t="s">
        <v>26</v>
      </c>
      <c r="E85" s="39">
        <f>'Exp Details'!K140</f>
        <v>0</v>
      </c>
      <c r="F85" s="39">
        <f>'Exp Details'!L140</f>
        <v>0</v>
      </c>
      <c r="G85" s="39">
        <f>'Exp Details'!M140</f>
        <v>0</v>
      </c>
      <c r="H85" s="39">
        <f>'Exp Details'!N140</f>
        <v>0</v>
      </c>
      <c r="I85" s="39">
        <f>'Exp Details'!O140</f>
        <v>0</v>
      </c>
      <c r="J85" s="39">
        <f>'Exp Details'!P140</f>
        <v>0</v>
      </c>
      <c r="K85" s="39">
        <f>'Exp Details'!Q140</f>
        <v>0</v>
      </c>
      <c r="L85" s="39">
        <f>'Exp Details'!R140</f>
        <v>0</v>
      </c>
      <c r="M85" s="39">
        <f>'Exp Details'!S140</f>
        <v>0</v>
      </c>
      <c r="N85" s="39">
        <f>'Exp Details'!T140</f>
        <v>0</v>
      </c>
      <c r="O85" s="39">
        <f>'Exp Details'!U140</f>
        <v>0</v>
      </c>
      <c r="P85" s="39">
        <f>'Exp Details'!V140</f>
        <v>0</v>
      </c>
      <c r="Q85" s="36"/>
      <c r="R85" s="41"/>
      <c r="S85" s="354">
        <f t="shared" si="51"/>
        <v>0</v>
      </c>
      <c r="T85" s="41"/>
      <c r="U85" s="362">
        <f t="shared" si="41"/>
        <v>0</v>
      </c>
      <c r="V85" s="41"/>
      <c r="W85" s="362">
        <v>0</v>
      </c>
      <c r="X85" s="362">
        <f t="shared" si="52"/>
        <v>0</v>
      </c>
      <c r="Y85" s="41"/>
      <c r="Z85" s="362">
        <v>0</v>
      </c>
      <c r="AA85" s="362">
        <f t="shared" si="53"/>
        <v>0</v>
      </c>
      <c r="AB85" s="41"/>
      <c r="AC85" s="248">
        <v>0</v>
      </c>
      <c r="AD85" s="248">
        <f t="shared" si="54"/>
        <v>0</v>
      </c>
    </row>
    <row r="86" spans="3:32" s="37" customFormat="1" ht="12" x14ac:dyDescent="0.2">
      <c r="C86" s="199">
        <v>6531</v>
      </c>
      <c r="D86" s="37" t="s">
        <v>27</v>
      </c>
      <c r="E86" s="39">
        <f>'Exp Details'!K147</f>
        <v>0</v>
      </c>
      <c r="F86" s="39">
        <f>'Exp Details'!L147</f>
        <v>0</v>
      </c>
      <c r="G86" s="39">
        <f>'Exp Details'!M147</f>
        <v>0</v>
      </c>
      <c r="H86" s="39">
        <f>'Exp Details'!N147</f>
        <v>0</v>
      </c>
      <c r="I86" s="39">
        <f>'Exp Details'!O147</f>
        <v>0</v>
      </c>
      <c r="J86" s="39">
        <f>'Exp Details'!P147</f>
        <v>0</v>
      </c>
      <c r="K86" s="39">
        <f>'Exp Details'!Q147</f>
        <v>0</v>
      </c>
      <c r="L86" s="39">
        <f>'Exp Details'!R147</f>
        <v>0</v>
      </c>
      <c r="M86" s="39">
        <f>'Exp Details'!S147</f>
        <v>0</v>
      </c>
      <c r="N86" s="39">
        <f>'Exp Details'!T147</f>
        <v>0</v>
      </c>
      <c r="O86" s="39">
        <f>'Exp Details'!U147</f>
        <v>0</v>
      </c>
      <c r="P86" s="39">
        <f>'Exp Details'!V147</f>
        <v>0</v>
      </c>
      <c r="Q86" s="36"/>
      <c r="R86" s="41"/>
      <c r="S86" s="354">
        <f t="shared" si="51"/>
        <v>0</v>
      </c>
      <c r="T86" s="41"/>
      <c r="U86" s="362">
        <f t="shared" si="41"/>
        <v>0</v>
      </c>
      <c r="V86" s="41"/>
      <c r="W86" s="362">
        <v>0</v>
      </c>
      <c r="X86" s="362">
        <f t="shared" si="52"/>
        <v>0</v>
      </c>
      <c r="Y86" s="41"/>
      <c r="Z86" s="362">
        <v>0</v>
      </c>
      <c r="AA86" s="362">
        <f t="shared" si="53"/>
        <v>0</v>
      </c>
      <c r="AB86" s="41"/>
      <c r="AC86" s="248">
        <v>0</v>
      </c>
      <c r="AD86" s="248">
        <f t="shared" si="54"/>
        <v>0</v>
      </c>
      <c r="AF86" s="37">
        <f>29156-7000-3950</f>
        <v>18206</v>
      </c>
    </row>
    <row r="87" spans="3:32" s="37" customFormat="1" ht="12" x14ac:dyDescent="0.2">
      <c r="C87" s="199">
        <v>6534</v>
      </c>
      <c r="D87" s="37" t="s">
        <v>28</v>
      </c>
      <c r="E87" s="39">
        <f>'Exp Details'!K153</f>
        <v>0</v>
      </c>
      <c r="F87" s="39">
        <f>'Exp Details'!L153</f>
        <v>0</v>
      </c>
      <c r="G87" s="39">
        <f>'Exp Details'!M153</f>
        <v>0</v>
      </c>
      <c r="H87" s="39">
        <f>'Exp Details'!N153</f>
        <v>0</v>
      </c>
      <c r="I87" s="39">
        <f>'Exp Details'!O153</f>
        <v>0</v>
      </c>
      <c r="J87" s="39">
        <f>'Exp Details'!P153</f>
        <v>0</v>
      </c>
      <c r="K87" s="39">
        <f>'Exp Details'!Q153</f>
        <v>0</v>
      </c>
      <c r="L87" s="39">
        <f>'Exp Details'!R153</f>
        <v>0</v>
      </c>
      <c r="M87" s="39">
        <f>'Exp Details'!S153</f>
        <v>0</v>
      </c>
      <c r="N87" s="39">
        <f>'Exp Details'!T153</f>
        <v>0</v>
      </c>
      <c r="O87" s="39">
        <f>'Exp Details'!U153</f>
        <v>0</v>
      </c>
      <c r="P87" s="39">
        <f>'Exp Details'!V153</f>
        <v>0</v>
      </c>
      <c r="Q87" s="36"/>
      <c r="R87" s="41"/>
      <c r="S87" s="354">
        <f t="shared" si="51"/>
        <v>0</v>
      </c>
      <c r="T87" s="41"/>
      <c r="U87" s="362">
        <f t="shared" si="41"/>
        <v>0</v>
      </c>
      <c r="V87" s="41"/>
      <c r="W87" s="362">
        <v>0</v>
      </c>
      <c r="X87" s="362">
        <f t="shared" si="52"/>
        <v>0</v>
      </c>
      <c r="Y87" s="41"/>
      <c r="Z87" s="362">
        <v>0</v>
      </c>
      <c r="AA87" s="362">
        <f t="shared" si="53"/>
        <v>0</v>
      </c>
      <c r="AB87" s="41"/>
      <c r="AC87" s="248">
        <v>0</v>
      </c>
      <c r="AD87" s="248">
        <f t="shared" si="54"/>
        <v>0</v>
      </c>
    </row>
    <row r="88" spans="3:32" s="37" customFormat="1" ht="12" x14ac:dyDescent="0.2">
      <c r="C88" s="199">
        <v>6535</v>
      </c>
      <c r="D88" s="37" t="s">
        <v>236</v>
      </c>
      <c r="E88" s="39">
        <f>'Exp Details'!K159</f>
        <v>302</v>
      </c>
      <c r="F88" s="39">
        <f>'Exp Details'!L159</f>
        <v>302</v>
      </c>
      <c r="G88" s="39">
        <f>'Exp Details'!M159</f>
        <v>302</v>
      </c>
      <c r="H88" s="39">
        <f>'Exp Details'!N159</f>
        <v>302</v>
      </c>
      <c r="I88" s="39">
        <f>'Exp Details'!O159</f>
        <v>302</v>
      </c>
      <c r="J88" s="39">
        <f>'Exp Details'!P159</f>
        <v>302</v>
      </c>
      <c r="K88" s="39">
        <f>'Exp Details'!Q159</f>
        <v>302</v>
      </c>
      <c r="L88" s="39">
        <f>'Exp Details'!R159</f>
        <v>302</v>
      </c>
      <c r="M88" s="39">
        <f>'Exp Details'!S159</f>
        <v>302</v>
      </c>
      <c r="N88" s="39">
        <f>'Exp Details'!T159</f>
        <v>302</v>
      </c>
      <c r="O88" s="39">
        <f>'Exp Details'!U159</f>
        <v>302</v>
      </c>
      <c r="P88" s="39">
        <f>'Exp Details'!V159</f>
        <v>302</v>
      </c>
      <c r="Q88" s="36"/>
      <c r="R88" s="41"/>
      <c r="S88" s="354">
        <f t="shared" si="51"/>
        <v>3624</v>
      </c>
      <c r="T88" s="41"/>
      <c r="U88" s="362">
        <f t="shared" si="41"/>
        <v>2416</v>
      </c>
      <c r="V88" s="41"/>
      <c r="W88" s="362">
        <v>0</v>
      </c>
      <c r="X88" s="362">
        <f t="shared" si="52"/>
        <v>3624</v>
      </c>
      <c r="Y88" s="41"/>
      <c r="Z88" s="362">
        <v>0</v>
      </c>
      <c r="AA88" s="362">
        <f t="shared" si="53"/>
        <v>-3624</v>
      </c>
      <c r="AB88" s="41"/>
      <c r="AC88" s="248">
        <v>0</v>
      </c>
      <c r="AD88" s="248">
        <f t="shared" si="54"/>
        <v>-3624</v>
      </c>
    </row>
    <row r="89" spans="3:32" s="37" customFormat="1" ht="12" x14ac:dyDescent="0.2">
      <c r="C89" s="199">
        <v>6540</v>
      </c>
      <c r="D89" s="37" t="s">
        <v>30</v>
      </c>
      <c r="E89" s="39">
        <f>'Exp Details'!K165</f>
        <v>0</v>
      </c>
      <c r="F89" s="39">
        <f>'Exp Details'!L165</f>
        <v>0</v>
      </c>
      <c r="G89" s="39">
        <f>'Exp Details'!M165</f>
        <v>0</v>
      </c>
      <c r="H89" s="39">
        <f>'Exp Details'!N165</f>
        <v>0</v>
      </c>
      <c r="I89" s="39">
        <f>'Exp Details'!O165</f>
        <v>0</v>
      </c>
      <c r="J89" s="39">
        <f>'Exp Details'!P165</f>
        <v>0</v>
      </c>
      <c r="K89" s="39">
        <f>'Exp Details'!Q165</f>
        <v>0</v>
      </c>
      <c r="L89" s="39">
        <f>'Exp Details'!R165</f>
        <v>0</v>
      </c>
      <c r="M89" s="39">
        <f>'Exp Details'!S165</f>
        <v>0</v>
      </c>
      <c r="N89" s="39">
        <f>'Exp Details'!T165</f>
        <v>0</v>
      </c>
      <c r="O89" s="39">
        <f>'Exp Details'!U165</f>
        <v>0</v>
      </c>
      <c r="P89" s="39">
        <f>'Exp Details'!V165</f>
        <v>0</v>
      </c>
      <c r="Q89" s="36"/>
      <c r="R89" s="41"/>
      <c r="S89" s="354">
        <f t="shared" si="51"/>
        <v>0</v>
      </c>
      <c r="T89" s="41"/>
      <c r="U89" s="362">
        <f t="shared" si="41"/>
        <v>0</v>
      </c>
      <c r="V89" s="41"/>
      <c r="W89" s="362">
        <v>0</v>
      </c>
      <c r="X89" s="362">
        <f t="shared" si="52"/>
        <v>0</v>
      </c>
      <c r="Y89" s="41"/>
      <c r="Z89" s="362">
        <v>0</v>
      </c>
      <c r="AA89" s="362">
        <f t="shared" si="53"/>
        <v>0</v>
      </c>
      <c r="AB89" s="41"/>
      <c r="AC89" s="248">
        <v>0</v>
      </c>
      <c r="AD89" s="248">
        <f t="shared" si="54"/>
        <v>0</v>
      </c>
    </row>
    <row r="90" spans="3:32" s="37" customFormat="1" ht="12" x14ac:dyDescent="0.2">
      <c r="C90" s="199">
        <v>6550</v>
      </c>
      <c r="D90" s="37" t="s">
        <v>31</v>
      </c>
      <c r="E90" s="39">
        <f>'Exp Details'!K171</f>
        <v>0</v>
      </c>
      <c r="F90" s="39">
        <f>'Exp Details'!L171</f>
        <v>0</v>
      </c>
      <c r="G90" s="39">
        <f>'Exp Details'!M171</f>
        <v>0</v>
      </c>
      <c r="H90" s="39">
        <f>'Exp Details'!N171</f>
        <v>0</v>
      </c>
      <c r="I90" s="39">
        <f>'Exp Details'!O171</f>
        <v>0</v>
      </c>
      <c r="J90" s="39">
        <f>'Exp Details'!P171</f>
        <v>0</v>
      </c>
      <c r="K90" s="39">
        <f>'Exp Details'!Q171</f>
        <v>0</v>
      </c>
      <c r="L90" s="39">
        <f>'Exp Details'!R171</f>
        <v>0</v>
      </c>
      <c r="M90" s="39">
        <f>'Exp Details'!S171</f>
        <v>0</v>
      </c>
      <c r="N90" s="39">
        <f>'Exp Details'!T171</f>
        <v>0</v>
      </c>
      <c r="O90" s="39">
        <f>'Exp Details'!U171</f>
        <v>0</v>
      </c>
      <c r="P90" s="39">
        <f>'Exp Details'!V171</f>
        <v>0</v>
      </c>
      <c r="Q90" s="36"/>
      <c r="R90" s="41"/>
      <c r="S90" s="354">
        <f>SUM(E90:Q90)</f>
        <v>0</v>
      </c>
      <c r="T90" s="41"/>
      <c r="U90" s="362">
        <f t="shared" si="41"/>
        <v>0</v>
      </c>
      <c r="V90" s="41"/>
      <c r="W90" s="362">
        <v>0</v>
      </c>
      <c r="X90" s="362">
        <f t="shared" si="52"/>
        <v>0</v>
      </c>
      <c r="Y90" s="41"/>
      <c r="Z90" s="362">
        <v>0</v>
      </c>
      <c r="AA90" s="362">
        <f t="shared" si="53"/>
        <v>0</v>
      </c>
      <c r="AB90" s="41"/>
      <c r="AC90" s="248">
        <v>0</v>
      </c>
      <c r="AD90" s="248">
        <f t="shared" si="54"/>
        <v>0</v>
      </c>
    </row>
    <row r="91" spans="3:32" s="37" customFormat="1" ht="12" x14ac:dyDescent="0.2">
      <c r="C91" s="206">
        <v>6568</v>
      </c>
      <c r="D91" s="37" t="s">
        <v>187</v>
      </c>
      <c r="E91" s="39">
        <f>'Exp Details'!K179</f>
        <v>0</v>
      </c>
      <c r="F91" s="39">
        <f>'Exp Details'!L179</f>
        <v>0</v>
      </c>
      <c r="G91" s="39">
        <f>'Exp Details'!M179</f>
        <v>0</v>
      </c>
      <c r="H91" s="39">
        <f>'Exp Details'!N179</f>
        <v>0</v>
      </c>
      <c r="I91" s="39">
        <f>'Exp Details'!O179</f>
        <v>0</v>
      </c>
      <c r="J91" s="39">
        <f>'Exp Details'!P179</f>
        <v>0</v>
      </c>
      <c r="K91" s="39">
        <f>'Exp Details'!Q179</f>
        <v>0</v>
      </c>
      <c r="L91" s="39">
        <f>'Exp Details'!R179</f>
        <v>0</v>
      </c>
      <c r="M91" s="39">
        <f>'Exp Details'!S179</f>
        <v>0</v>
      </c>
      <c r="N91" s="39">
        <f>'Exp Details'!T179</f>
        <v>0</v>
      </c>
      <c r="O91" s="39">
        <f>'Exp Details'!U179</f>
        <v>0</v>
      </c>
      <c r="P91" s="39">
        <f>'Exp Details'!V179</f>
        <v>0</v>
      </c>
      <c r="Q91" s="36"/>
      <c r="R91" s="41"/>
      <c r="S91" s="354">
        <f>SUM(E91:Q91)</f>
        <v>0</v>
      </c>
      <c r="T91" s="41"/>
      <c r="U91" s="362">
        <f t="shared" si="41"/>
        <v>0</v>
      </c>
      <c r="V91" s="41"/>
      <c r="W91" s="362">
        <v>10797.299999999997</v>
      </c>
      <c r="X91" s="362">
        <f t="shared" si="52"/>
        <v>-10797.299999999997</v>
      </c>
      <c r="Y91" s="41"/>
      <c r="Z91" s="362">
        <v>23997.75</v>
      </c>
      <c r="AA91" s="362">
        <f t="shared" si="53"/>
        <v>23997.75</v>
      </c>
      <c r="AB91" s="41"/>
      <c r="AC91" s="248">
        <v>0</v>
      </c>
      <c r="AD91" s="248">
        <f t="shared" si="54"/>
        <v>0</v>
      </c>
    </row>
    <row r="92" spans="3:32" s="37" customFormat="1" ht="12" x14ac:dyDescent="0.2">
      <c r="C92" s="199">
        <v>6569</v>
      </c>
      <c r="D92" s="37" t="s">
        <v>32</v>
      </c>
      <c r="E92" s="39">
        <f>'Exp Details'!K190</f>
        <v>0</v>
      </c>
      <c r="F92" s="39">
        <f>'Exp Details'!L190</f>
        <v>0</v>
      </c>
      <c r="G92" s="39">
        <f>'Exp Details'!M190</f>
        <v>0</v>
      </c>
      <c r="H92" s="39">
        <f>'Exp Details'!N190</f>
        <v>36725</v>
      </c>
      <c r="I92" s="39">
        <f>'Exp Details'!O190</f>
        <v>48875</v>
      </c>
      <c r="J92" s="39">
        <f>'Exp Details'!P190</f>
        <v>-1000</v>
      </c>
      <c r="K92" s="39">
        <f>'Exp Details'!Q190</f>
        <v>0</v>
      </c>
      <c r="L92" s="39">
        <f>'Exp Details'!R190</f>
        <v>0</v>
      </c>
      <c r="M92" s="39">
        <f>'Exp Details'!S190</f>
        <v>42050</v>
      </c>
      <c r="N92" s="39">
        <f>'Exp Details'!T190</f>
        <v>65250</v>
      </c>
      <c r="O92" s="39">
        <f>'Exp Details'!U190</f>
        <v>-1000</v>
      </c>
      <c r="P92" s="39">
        <f>'Exp Details'!V190</f>
        <v>0</v>
      </c>
      <c r="Q92" s="36"/>
      <c r="R92" s="41"/>
      <c r="S92" s="354">
        <f>SUM(E92:Q92)</f>
        <v>190900</v>
      </c>
      <c r="T92" s="41"/>
      <c r="U92" s="362">
        <f t="shared" si="41"/>
        <v>84600</v>
      </c>
      <c r="V92" s="41"/>
      <c r="W92" s="362">
        <v>163620</v>
      </c>
      <c r="X92" s="362">
        <f t="shared" si="52"/>
        <v>27280</v>
      </c>
      <c r="Y92" s="41"/>
      <c r="Z92" s="362">
        <v>230400</v>
      </c>
      <c r="AA92" s="362">
        <f t="shared" si="53"/>
        <v>39500</v>
      </c>
      <c r="AB92" s="41"/>
      <c r="AC92" s="248">
        <v>0</v>
      </c>
      <c r="AD92" s="248">
        <f t="shared" si="54"/>
        <v>-190900</v>
      </c>
    </row>
    <row r="93" spans="3:32" s="37" customFormat="1" ht="12" x14ac:dyDescent="0.2">
      <c r="C93" s="199">
        <v>6580</v>
      </c>
      <c r="D93" s="37" t="s">
        <v>33</v>
      </c>
      <c r="E93" s="39">
        <f>'Exp Details'!K198</f>
        <v>0</v>
      </c>
      <c r="F93" s="39">
        <f>'Exp Details'!L198</f>
        <v>0</v>
      </c>
      <c r="G93" s="39">
        <f>'Exp Details'!M198</f>
        <v>0</v>
      </c>
      <c r="H93" s="39">
        <f>'Exp Details'!N198</f>
        <v>0</v>
      </c>
      <c r="I93" s="39">
        <f>'Exp Details'!O198</f>
        <v>0</v>
      </c>
      <c r="J93" s="39">
        <f>'Exp Details'!P198</f>
        <v>0</v>
      </c>
      <c r="K93" s="39">
        <f>'Exp Details'!Q198</f>
        <v>0</v>
      </c>
      <c r="L93" s="39">
        <f>'Exp Details'!R198</f>
        <v>0</v>
      </c>
      <c r="M93" s="39">
        <f>'Exp Details'!S198</f>
        <v>0</v>
      </c>
      <c r="N93" s="39">
        <f>'Exp Details'!T198</f>
        <v>0</v>
      </c>
      <c r="O93" s="39">
        <f>'Exp Details'!U198</f>
        <v>0</v>
      </c>
      <c r="P93" s="39">
        <f>'Exp Details'!V198</f>
        <v>0</v>
      </c>
      <c r="Q93" s="36"/>
      <c r="R93" s="41"/>
      <c r="S93" s="354">
        <f>SUM(E93:Q93)</f>
        <v>0</v>
      </c>
      <c r="T93" s="41"/>
      <c r="U93" s="362">
        <f t="shared" si="41"/>
        <v>0</v>
      </c>
      <c r="V93" s="41"/>
      <c r="W93" s="362">
        <v>0</v>
      </c>
      <c r="X93" s="362">
        <f t="shared" si="52"/>
        <v>0</v>
      </c>
      <c r="Y93" s="41"/>
      <c r="Z93" s="362">
        <v>2500</v>
      </c>
      <c r="AA93" s="362">
        <f t="shared" si="53"/>
        <v>2500</v>
      </c>
      <c r="AB93" s="41"/>
      <c r="AC93" s="248">
        <v>0</v>
      </c>
      <c r="AD93" s="248">
        <f t="shared" si="54"/>
        <v>0</v>
      </c>
    </row>
    <row r="94" spans="3:32" s="37" customFormat="1" ht="12" x14ac:dyDescent="0.2">
      <c r="C94" s="38"/>
      <c r="E94" s="50">
        <f t="shared" ref="E94:O94" si="55">SUBTOTAL(9,E82:E93)</f>
        <v>302</v>
      </c>
      <c r="F94" s="50">
        <f t="shared" si="55"/>
        <v>302</v>
      </c>
      <c r="G94" s="50">
        <f t="shared" si="55"/>
        <v>302</v>
      </c>
      <c r="H94" s="50">
        <f t="shared" si="55"/>
        <v>37027</v>
      </c>
      <c r="I94" s="50">
        <f t="shared" si="55"/>
        <v>49177</v>
      </c>
      <c r="J94" s="50">
        <f t="shared" si="55"/>
        <v>-698</v>
      </c>
      <c r="K94" s="50">
        <f t="shared" si="55"/>
        <v>302</v>
      </c>
      <c r="L94" s="50">
        <f t="shared" si="55"/>
        <v>302</v>
      </c>
      <c r="M94" s="50">
        <f t="shared" si="55"/>
        <v>42352</v>
      </c>
      <c r="N94" s="50">
        <f t="shared" si="55"/>
        <v>65552</v>
      </c>
      <c r="O94" s="50">
        <f t="shared" si="55"/>
        <v>-698</v>
      </c>
      <c r="P94" s="50">
        <f t="shared" ref="P94" si="56">SUBTOTAL(9,P82:P93)</f>
        <v>302</v>
      </c>
      <c r="Q94" s="51"/>
      <c r="R94" s="41"/>
      <c r="S94" s="355">
        <f t="shared" ref="S94:AA94" si="57">SUBTOTAL(9,S82:S93)</f>
        <v>194524</v>
      </c>
      <c r="T94" s="41"/>
      <c r="U94" s="363">
        <f t="shared" si="41"/>
        <v>87016</v>
      </c>
      <c r="V94" s="41"/>
      <c r="W94" s="363">
        <v>176517.3</v>
      </c>
      <c r="X94" s="363">
        <f t="shared" ref="X94" si="58">SUBTOTAL(9,X82:X93)</f>
        <v>18006.700000000004</v>
      </c>
      <c r="Y94" s="41"/>
      <c r="Z94" s="363">
        <v>258997.75</v>
      </c>
      <c r="AA94" s="363">
        <f t="shared" si="57"/>
        <v>64473.75</v>
      </c>
      <c r="AB94" s="41"/>
      <c r="AC94" s="250">
        <f t="shared" ref="AC94:AD94" si="59">SUBTOTAL(9,AC82:AC93)</f>
        <v>0</v>
      </c>
      <c r="AD94" s="250">
        <f t="shared" si="59"/>
        <v>-194524</v>
      </c>
    </row>
    <row r="95" spans="3:32" s="37" customFormat="1" ht="12" x14ac:dyDescent="0.2">
      <c r="C95" s="49" t="s">
        <v>102</v>
      </c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44"/>
      <c r="R95" s="41"/>
      <c r="S95" s="354"/>
      <c r="T95" s="41"/>
      <c r="U95" s="362">
        <f t="shared" si="41"/>
        <v>0</v>
      </c>
      <c r="V95" s="41"/>
      <c r="W95" s="362"/>
      <c r="X95" s="362"/>
      <c r="Y95" s="41"/>
      <c r="Z95" s="362"/>
      <c r="AA95" s="362"/>
      <c r="AB95" s="41"/>
      <c r="AC95" s="248"/>
      <c r="AD95" s="248"/>
    </row>
    <row r="96" spans="3:32" s="37" customFormat="1" ht="12" x14ac:dyDescent="0.2">
      <c r="C96" s="199">
        <v>6610</v>
      </c>
      <c r="D96" s="37" t="s">
        <v>34</v>
      </c>
      <c r="E96" s="39">
        <f>'Exp Details'!K209</f>
        <v>175</v>
      </c>
      <c r="F96" s="39">
        <f>'Exp Details'!L209</f>
        <v>175</v>
      </c>
      <c r="G96" s="39">
        <f>'Exp Details'!M209</f>
        <v>175</v>
      </c>
      <c r="H96" s="39">
        <f>'Exp Details'!N209</f>
        <v>367</v>
      </c>
      <c r="I96" s="39">
        <f>'Exp Details'!O209</f>
        <v>175</v>
      </c>
      <c r="J96" s="39">
        <f>'Exp Details'!P209</f>
        <v>175</v>
      </c>
      <c r="K96" s="39">
        <f>'Exp Details'!Q209</f>
        <v>175</v>
      </c>
      <c r="L96" s="39">
        <f>'Exp Details'!R209</f>
        <v>175</v>
      </c>
      <c r="M96" s="39">
        <f>'Exp Details'!S209</f>
        <v>175</v>
      </c>
      <c r="N96" s="39">
        <f>'Exp Details'!T209</f>
        <v>175</v>
      </c>
      <c r="O96" s="39">
        <f>'Exp Details'!U209</f>
        <v>175</v>
      </c>
      <c r="P96" s="39">
        <f>'Exp Details'!V209</f>
        <v>175</v>
      </c>
      <c r="Q96" s="36"/>
      <c r="R96" s="41"/>
      <c r="S96" s="354">
        <f t="shared" ref="S96:S102" si="60">SUM(E96:Q96)</f>
        <v>2292</v>
      </c>
      <c r="T96" s="41"/>
      <c r="U96" s="362">
        <f t="shared" si="41"/>
        <v>1592</v>
      </c>
      <c r="V96" s="41"/>
      <c r="W96" s="362">
        <v>2291.8199999999997</v>
      </c>
      <c r="X96" s="362">
        <f t="shared" ref="X96:X102" si="61">S96-W96</f>
        <v>0.18000000000029104</v>
      </c>
      <c r="Y96" s="41"/>
      <c r="Z96" s="362">
        <v>2225.0000000000005</v>
      </c>
      <c r="AA96" s="362">
        <f t="shared" ref="AA96:AA102" si="62">Z96-S96</f>
        <v>-66.999999999999545</v>
      </c>
      <c r="AB96" s="41"/>
      <c r="AC96" s="248">
        <v>0</v>
      </c>
      <c r="AD96" s="248">
        <f t="shared" ref="AD96:AD102" si="63">AC96-S96</f>
        <v>-2292</v>
      </c>
    </row>
    <row r="97" spans="3:30" s="37" customFormat="1" ht="12" x14ac:dyDescent="0.2">
      <c r="C97" s="199">
        <v>6612</v>
      </c>
      <c r="D97" s="37" t="s">
        <v>35</v>
      </c>
      <c r="E97" s="39">
        <f>'Exp Details'!K218</f>
        <v>0</v>
      </c>
      <c r="F97" s="39">
        <f>'Exp Details'!L218</f>
        <v>0</v>
      </c>
      <c r="G97" s="39">
        <f>'Exp Details'!M218</f>
        <v>0</v>
      </c>
      <c r="H97" s="39">
        <f>'Exp Details'!N218</f>
        <v>0</v>
      </c>
      <c r="I97" s="39">
        <f>'Exp Details'!O218</f>
        <v>0</v>
      </c>
      <c r="J97" s="39">
        <f>'Exp Details'!P218</f>
        <v>0</v>
      </c>
      <c r="K97" s="39">
        <f>'Exp Details'!Q218</f>
        <v>0</v>
      </c>
      <c r="L97" s="39">
        <f>'Exp Details'!R218</f>
        <v>0</v>
      </c>
      <c r="M97" s="39">
        <f>'Exp Details'!S218</f>
        <v>0</v>
      </c>
      <c r="N97" s="39">
        <f>'Exp Details'!T218</f>
        <v>0</v>
      </c>
      <c r="O97" s="39">
        <f>'Exp Details'!U218</f>
        <v>0</v>
      </c>
      <c r="P97" s="39">
        <f>'Exp Details'!V218</f>
        <v>0</v>
      </c>
      <c r="Q97" s="36"/>
      <c r="R97" s="41"/>
      <c r="S97" s="354">
        <f t="shared" si="60"/>
        <v>0</v>
      </c>
      <c r="T97" s="41"/>
      <c r="U97" s="362">
        <f t="shared" si="41"/>
        <v>0</v>
      </c>
      <c r="V97" s="41"/>
      <c r="W97" s="362">
        <v>0</v>
      </c>
      <c r="X97" s="362">
        <f t="shared" si="61"/>
        <v>0</v>
      </c>
      <c r="Y97" s="41"/>
      <c r="Z97" s="362">
        <v>0</v>
      </c>
      <c r="AA97" s="362">
        <f t="shared" si="62"/>
        <v>0</v>
      </c>
      <c r="AB97" s="41"/>
      <c r="AC97" s="248">
        <v>0</v>
      </c>
      <c r="AD97" s="248">
        <f t="shared" si="63"/>
        <v>0</v>
      </c>
    </row>
    <row r="98" spans="3:30" s="37" customFormat="1" ht="12" x14ac:dyDescent="0.2">
      <c r="C98" s="199">
        <v>6622</v>
      </c>
      <c r="D98" s="37" t="s">
        <v>36</v>
      </c>
      <c r="E98" s="39">
        <f>'Exp Details'!K224</f>
        <v>100</v>
      </c>
      <c r="F98" s="39">
        <f>'Exp Details'!L224</f>
        <v>100</v>
      </c>
      <c r="G98" s="39">
        <f>'Exp Details'!M224</f>
        <v>100</v>
      </c>
      <c r="H98" s="39">
        <f>'Exp Details'!N224</f>
        <v>100</v>
      </c>
      <c r="I98" s="39">
        <f>'Exp Details'!O224</f>
        <v>100</v>
      </c>
      <c r="J98" s="39">
        <f>'Exp Details'!P224</f>
        <v>100</v>
      </c>
      <c r="K98" s="39">
        <f>'Exp Details'!Q224</f>
        <v>100</v>
      </c>
      <c r="L98" s="39">
        <f>'Exp Details'!R224</f>
        <v>100</v>
      </c>
      <c r="M98" s="39">
        <f>'Exp Details'!S224</f>
        <v>100</v>
      </c>
      <c r="N98" s="39">
        <f>'Exp Details'!T224</f>
        <v>100</v>
      </c>
      <c r="O98" s="39">
        <f>'Exp Details'!U224</f>
        <v>100</v>
      </c>
      <c r="P98" s="39">
        <f>'Exp Details'!V224</f>
        <v>100</v>
      </c>
      <c r="Q98" s="36"/>
      <c r="R98" s="41"/>
      <c r="S98" s="354">
        <f t="shared" si="60"/>
        <v>1200</v>
      </c>
      <c r="T98" s="41"/>
      <c r="U98" s="362">
        <f t="shared" si="41"/>
        <v>800</v>
      </c>
      <c r="V98" s="41"/>
      <c r="W98" s="362">
        <v>1200</v>
      </c>
      <c r="X98" s="362">
        <f t="shared" si="61"/>
        <v>0</v>
      </c>
      <c r="Y98" s="41"/>
      <c r="Z98" s="362">
        <v>1200</v>
      </c>
      <c r="AA98" s="362">
        <f t="shared" si="62"/>
        <v>0</v>
      </c>
      <c r="AB98" s="41"/>
      <c r="AC98" s="248">
        <v>0</v>
      </c>
      <c r="AD98" s="248">
        <f t="shared" si="63"/>
        <v>-1200</v>
      </c>
    </row>
    <row r="99" spans="3:30" s="37" customFormat="1" ht="12" x14ac:dyDescent="0.2">
      <c r="C99" s="199">
        <v>6641</v>
      </c>
      <c r="D99" s="37" t="s">
        <v>37</v>
      </c>
      <c r="E99" s="39">
        <f>'Exp Details'!K237</f>
        <v>0</v>
      </c>
      <c r="F99" s="39">
        <f>'Exp Details'!L237</f>
        <v>0</v>
      </c>
      <c r="G99" s="39">
        <f>'Exp Details'!M237</f>
        <v>0</v>
      </c>
      <c r="H99" s="39">
        <f>'Exp Details'!N237</f>
        <v>7075</v>
      </c>
      <c r="I99" s="39">
        <f>'Exp Details'!O237</f>
        <v>3475</v>
      </c>
      <c r="J99" s="39">
        <f>'Exp Details'!P237</f>
        <v>0</v>
      </c>
      <c r="K99" s="39">
        <f>'Exp Details'!Q237</f>
        <v>0</v>
      </c>
      <c r="L99" s="39">
        <f>'Exp Details'!R237</f>
        <v>0</v>
      </c>
      <c r="M99" s="39">
        <f>'Exp Details'!S237</f>
        <v>0</v>
      </c>
      <c r="N99" s="39">
        <f>'Exp Details'!T237</f>
        <v>4262.5</v>
      </c>
      <c r="O99" s="39">
        <f>'Exp Details'!U237</f>
        <v>2307.5</v>
      </c>
      <c r="P99" s="39">
        <f>'Exp Details'!V237</f>
        <v>0</v>
      </c>
      <c r="Q99" s="36"/>
      <c r="R99" s="41"/>
      <c r="S99" s="354">
        <f>SUM(E99:Q99)</f>
        <v>17120</v>
      </c>
      <c r="T99" s="41"/>
      <c r="U99" s="362">
        <f t="shared" si="41"/>
        <v>10550</v>
      </c>
      <c r="V99" s="41"/>
      <c r="W99" s="362">
        <v>12220.000000000002</v>
      </c>
      <c r="X99" s="362">
        <f t="shared" si="61"/>
        <v>4899.9999999999982</v>
      </c>
      <c r="Y99" s="41"/>
      <c r="Z99" s="362">
        <v>23900.000000000004</v>
      </c>
      <c r="AA99" s="362">
        <f t="shared" si="62"/>
        <v>6780.0000000000036</v>
      </c>
      <c r="AB99" s="41"/>
      <c r="AC99" s="248">
        <v>0</v>
      </c>
      <c r="AD99" s="248">
        <f t="shared" si="63"/>
        <v>-17120</v>
      </c>
    </row>
    <row r="100" spans="3:30" s="37" customFormat="1" ht="12" x14ac:dyDescent="0.2">
      <c r="C100" s="199">
        <v>6642</v>
      </c>
      <c r="D100" s="37" t="s">
        <v>38</v>
      </c>
      <c r="E100" s="39">
        <f>'Exp Details'!K246</f>
        <v>0</v>
      </c>
      <c r="F100" s="39">
        <f>'Exp Details'!L246</f>
        <v>0</v>
      </c>
      <c r="G100" s="39">
        <f>'Exp Details'!M246</f>
        <v>0</v>
      </c>
      <c r="H100" s="39">
        <f>'Exp Details'!N246</f>
        <v>3550</v>
      </c>
      <c r="I100" s="39">
        <f>'Exp Details'!O246</f>
        <v>5250</v>
      </c>
      <c r="J100" s="39">
        <f>'Exp Details'!P246</f>
        <v>0</v>
      </c>
      <c r="K100" s="39">
        <f>'Exp Details'!Q246</f>
        <v>0</v>
      </c>
      <c r="L100" s="39">
        <f>'Exp Details'!R246</f>
        <v>0</v>
      </c>
      <c r="M100" s="39">
        <f>'Exp Details'!S246</f>
        <v>0</v>
      </c>
      <c r="N100" s="39">
        <f>'Exp Details'!T246</f>
        <v>7087.5</v>
      </c>
      <c r="O100" s="39">
        <f>'Exp Details'!U246</f>
        <v>4792.5</v>
      </c>
      <c r="P100" s="39">
        <f>'Exp Details'!V246</f>
        <v>0</v>
      </c>
      <c r="Q100" s="36"/>
      <c r="R100" s="41"/>
      <c r="S100" s="354">
        <f t="shared" si="60"/>
        <v>20680</v>
      </c>
      <c r="T100" s="41"/>
      <c r="U100" s="362">
        <f t="shared" si="41"/>
        <v>8800</v>
      </c>
      <c r="V100" s="41"/>
      <c r="W100" s="362">
        <v>7022.7000000000016</v>
      </c>
      <c r="X100" s="362">
        <f t="shared" si="61"/>
        <v>13657.3</v>
      </c>
      <c r="Y100" s="41"/>
      <c r="Z100" s="362">
        <v>4202.25</v>
      </c>
      <c r="AA100" s="362">
        <f t="shared" si="62"/>
        <v>-16477.75</v>
      </c>
      <c r="AB100" s="41"/>
      <c r="AC100" s="248">
        <v>0</v>
      </c>
      <c r="AD100" s="248">
        <f t="shared" si="63"/>
        <v>-20680</v>
      </c>
    </row>
    <row r="101" spans="3:30" s="37" customFormat="1" ht="12" x14ac:dyDescent="0.2">
      <c r="C101" s="199">
        <v>6651</v>
      </c>
      <c r="D101" s="37" t="s">
        <v>39</v>
      </c>
      <c r="E101" s="39">
        <f>'Exp Details'!K255</f>
        <v>0</v>
      </c>
      <c r="F101" s="39">
        <f>'Exp Details'!L255</f>
        <v>0</v>
      </c>
      <c r="G101" s="39">
        <f>'Exp Details'!M255</f>
        <v>0</v>
      </c>
      <c r="H101" s="39">
        <f>'Exp Details'!N255</f>
        <v>0</v>
      </c>
      <c r="I101" s="39">
        <f>'Exp Details'!O255</f>
        <v>0</v>
      </c>
      <c r="J101" s="39">
        <f>'Exp Details'!P255</f>
        <v>0</v>
      </c>
      <c r="K101" s="39">
        <f>'Exp Details'!Q255</f>
        <v>0</v>
      </c>
      <c r="L101" s="39">
        <f>'Exp Details'!R255</f>
        <v>0</v>
      </c>
      <c r="M101" s="39">
        <f>'Exp Details'!S255</f>
        <v>0</v>
      </c>
      <c r="N101" s="39">
        <f>'Exp Details'!T255</f>
        <v>0</v>
      </c>
      <c r="O101" s="39">
        <f>'Exp Details'!U255</f>
        <v>0</v>
      </c>
      <c r="P101" s="39">
        <f>'Exp Details'!V255</f>
        <v>0</v>
      </c>
      <c r="Q101" s="36"/>
      <c r="R101" s="41"/>
      <c r="S101" s="354">
        <f t="shared" si="60"/>
        <v>0</v>
      </c>
      <c r="T101" s="41"/>
      <c r="U101" s="362">
        <f t="shared" si="41"/>
        <v>0</v>
      </c>
      <c r="V101" s="41"/>
      <c r="W101" s="362">
        <v>0</v>
      </c>
      <c r="X101" s="362">
        <f t="shared" si="61"/>
        <v>0</v>
      </c>
      <c r="Y101" s="41"/>
      <c r="Z101" s="362">
        <v>0</v>
      </c>
      <c r="AA101" s="362">
        <f t="shared" si="62"/>
        <v>0</v>
      </c>
      <c r="AB101" s="41"/>
      <c r="AC101" s="248">
        <v>0</v>
      </c>
      <c r="AD101" s="248">
        <f t="shared" si="63"/>
        <v>0</v>
      </c>
    </row>
    <row r="102" spans="3:30" s="37" customFormat="1" ht="12" x14ac:dyDescent="0.2">
      <c r="C102" s="199">
        <v>6652</v>
      </c>
      <c r="D102" s="37" t="s">
        <v>40</v>
      </c>
      <c r="E102" s="39">
        <f>'Exp Details'!K264</f>
        <v>0</v>
      </c>
      <c r="F102" s="39">
        <f>'Exp Details'!L264</f>
        <v>0</v>
      </c>
      <c r="G102" s="39">
        <f>'Exp Details'!M264</f>
        <v>0</v>
      </c>
      <c r="H102" s="39">
        <f>'Exp Details'!N264</f>
        <v>0</v>
      </c>
      <c r="I102" s="39">
        <f>'Exp Details'!O264</f>
        <v>0</v>
      </c>
      <c r="J102" s="39">
        <f>'Exp Details'!P264</f>
        <v>0</v>
      </c>
      <c r="K102" s="39">
        <f>'Exp Details'!Q264</f>
        <v>0</v>
      </c>
      <c r="L102" s="39">
        <f>'Exp Details'!R264</f>
        <v>0</v>
      </c>
      <c r="M102" s="39">
        <f>'Exp Details'!S264</f>
        <v>0</v>
      </c>
      <c r="N102" s="39">
        <f>'Exp Details'!T264</f>
        <v>0</v>
      </c>
      <c r="O102" s="39">
        <f>'Exp Details'!U264</f>
        <v>0</v>
      </c>
      <c r="P102" s="39">
        <f>'Exp Details'!V264</f>
        <v>0</v>
      </c>
      <c r="Q102" s="36"/>
      <c r="R102" s="41"/>
      <c r="S102" s="354">
        <f t="shared" si="60"/>
        <v>0</v>
      </c>
      <c r="T102" s="41"/>
      <c r="U102" s="362">
        <f t="shared" si="41"/>
        <v>0</v>
      </c>
      <c r="V102" s="41"/>
      <c r="W102" s="362">
        <v>0</v>
      </c>
      <c r="X102" s="362">
        <f t="shared" si="61"/>
        <v>0</v>
      </c>
      <c r="Y102" s="41"/>
      <c r="Z102" s="362">
        <v>0</v>
      </c>
      <c r="AA102" s="362">
        <f t="shared" si="62"/>
        <v>0</v>
      </c>
      <c r="AB102" s="41"/>
      <c r="AC102" s="248">
        <v>0</v>
      </c>
      <c r="AD102" s="248">
        <f t="shared" si="63"/>
        <v>0</v>
      </c>
    </row>
    <row r="103" spans="3:30" s="37" customFormat="1" ht="12" x14ac:dyDescent="0.2">
      <c r="C103" s="38"/>
      <c r="E103" s="50">
        <f t="shared" ref="E103:O103" si="64">SUBTOTAL(9,E96:E102)</f>
        <v>275</v>
      </c>
      <c r="F103" s="50">
        <f t="shared" si="64"/>
        <v>275</v>
      </c>
      <c r="G103" s="50">
        <f t="shared" si="64"/>
        <v>275</v>
      </c>
      <c r="H103" s="50">
        <f t="shared" si="64"/>
        <v>11092</v>
      </c>
      <c r="I103" s="50">
        <f t="shared" si="64"/>
        <v>9000</v>
      </c>
      <c r="J103" s="50">
        <f t="shared" si="64"/>
        <v>275</v>
      </c>
      <c r="K103" s="50">
        <f t="shared" si="64"/>
        <v>275</v>
      </c>
      <c r="L103" s="50">
        <f t="shared" si="64"/>
        <v>275</v>
      </c>
      <c r="M103" s="50">
        <f t="shared" si="64"/>
        <v>275</v>
      </c>
      <c r="N103" s="50">
        <f t="shared" si="64"/>
        <v>11625</v>
      </c>
      <c r="O103" s="50">
        <f t="shared" si="64"/>
        <v>7375</v>
      </c>
      <c r="P103" s="50">
        <f t="shared" ref="P103" si="65">SUBTOTAL(9,P96:P102)</f>
        <v>275</v>
      </c>
      <c r="Q103" s="51"/>
      <c r="R103" s="41"/>
      <c r="S103" s="355">
        <f t="shared" ref="S103:AA103" si="66">SUBTOTAL(9,S96:S102)</f>
        <v>41292</v>
      </c>
      <c r="T103" s="41"/>
      <c r="U103" s="363">
        <f t="shared" si="41"/>
        <v>21742</v>
      </c>
      <c r="V103" s="41"/>
      <c r="W103" s="363">
        <v>22734.520000000004</v>
      </c>
      <c r="X103" s="363">
        <f t="shared" ref="X103" si="67">SUBTOTAL(9,X96:X102)</f>
        <v>18557.479999999996</v>
      </c>
      <c r="Y103" s="41"/>
      <c r="Z103" s="363">
        <v>31527.250000000004</v>
      </c>
      <c r="AA103" s="363">
        <f t="shared" si="66"/>
        <v>-9764.7499999999964</v>
      </c>
      <c r="AB103" s="41"/>
      <c r="AC103" s="250">
        <f t="shared" ref="AC103:AD103" si="68">SUBTOTAL(9,AC96:AC102)</f>
        <v>0</v>
      </c>
      <c r="AD103" s="250">
        <f t="shared" si="68"/>
        <v>-41292</v>
      </c>
    </row>
    <row r="104" spans="3:30" s="37" customFormat="1" ht="12" x14ac:dyDescent="0.2">
      <c r="C104" s="49" t="s">
        <v>103</v>
      </c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44"/>
      <c r="R104" s="41"/>
      <c r="S104" s="354"/>
      <c r="T104" s="41"/>
      <c r="U104" s="362">
        <f t="shared" si="41"/>
        <v>0</v>
      </c>
      <c r="V104" s="41"/>
      <c r="W104" s="362"/>
      <c r="X104" s="362"/>
      <c r="Y104" s="41"/>
      <c r="Z104" s="362"/>
      <c r="AA104" s="362"/>
      <c r="AB104" s="41"/>
      <c r="AC104" s="248"/>
      <c r="AD104" s="248"/>
    </row>
    <row r="105" spans="3:30" s="37" customFormat="1" ht="12" x14ac:dyDescent="0.2">
      <c r="C105" s="199">
        <v>6734</v>
      </c>
      <c r="D105" s="37" t="s">
        <v>41</v>
      </c>
      <c r="E105" s="39">
        <f>'Exp Details'!K274</f>
        <v>0</v>
      </c>
      <c r="F105" s="39">
        <f>'Exp Details'!L274</f>
        <v>0</v>
      </c>
      <c r="G105" s="39">
        <f>'Exp Details'!M274</f>
        <v>0</v>
      </c>
      <c r="H105" s="39">
        <f>'Exp Details'!N274</f>
        <v>0</v>
      </c>
      <c r="I105" s="39">
        <f>'Exp Details'!O274</f>
        <v>0</v>
      </c>
      <c r="J105" s="39">
        <f>'Exp Details'!P274</f>
        <v>0</v>
      </c>
      <c r="K105" s="39">
        <f>'Exp Details'!Q274</f>
        <v>0</v>
      </c>
      <c r="L105" s="39">
        <f>'Exp Details'!R274</f>
        <v>0</v>
      </c>
      <c r="M105" s="39">
        <f>'Exp Details'!S274</f>
        <v>0</v>
      </c>
      <c r="N105" s="39">
        <f>'Exp Details'!T274</f>
        <v>0</v>
      </c>
      <c r="O105" s="39">
        <f>'Exp Details'!U274</f>
        <v>0</v>
      </c>
      <c r="P105" s="39">
        <f>'Exp Details'!V274</f>
        <v>0</v>
      </c>
      <c r="Q105" s="36"/>
      <c r="R105" s="41"/>
      <c r="S105" s="354">
        <f t="shared" ref="S105" si="69">SUM(E105:Q105)</f>
        <v>0</v>
      </c>
      <c r="T105" s="41"/>
      <c r="U105" s="362">
        <f t="shared" si="41"/>
        <v>0</v>
      </c>
      <c r="V105" s="41"/>
      <c r="W105" s="362">
        <v>0</v>
      </c>
      <c r="X105" s="362">
        <f t="shared" ref="X105" si="70">S105-W105</f>
        <v>0</v>
      </c>
      <c r="Y105" s="41"/>
      <c r="Z105" s="362">
        <v>0</v>
      </c>
      <c r="AA105" s="362">
        <f>Z105-S105</f>
        <v>0</v>
      </c>
      <c r="AB105" s="41"/>
      <c r="AC105" s="248">
        <v>0</v>
      </c>
      <c r="AD105" s="248">
        <f>AC105-S105</f>
        <v>0</v>
      </c>
    </row>
    <row r="106" spans="3:30" s="37" customFormat="1" ht="12" x14ac:dyDescent="0.2">
      <c r="C106" s="38"/>
      <c r="E106" s="50">
        <f t="shared" ref="E106:O106" si="71">SUBTOTAL(9,E105)</f>
        <v>0</v>
      </c>
      <c r="F106" s="50">
        <f t="shared" si="71"/>
        <v>0</v>
      </c>
      <c r="G106" s="50">
        <f t="shared" si="71"/>
        <v>0</v>
      </c>
      <c r="H106" s="50">
        <f t="shared" si="71"/>
        <v>0</v>
      </c>
      <c r="I106" s="50">
        <f t="shared" si="71"/>
        <v>0</v>
      </c>
      <c r="J106" s="50">
        <f t="shared" si="71"/>
        <v>0</v>
      </c>
      <c r="K106" s="50">
        <f t="shared" si="71"/>
        <v>0</v>
      </c>
      <c r="L106" s="50">
        <f t="shared" si="71"/>
        <v>0</v>
      </c>
      <c r="M106" s="50">
        <f t="shared" si="71"/>
        <v>0</v>
      </c>
      <c r="N106" s="50">
        <f t="shared" si="71"/>
        <v>0</v>
      </c>
      <c r="O106" s="50">
        <f t="shared" si="71"/>
        <v>0</v>
      </c>
      <c r="P106" s="50">
        <f t="shared" ref="P106" si="72">SUBTOTAL(9,P105)</f>
        <v>0</v>
      </c>
      <c r="Q106" s="51"/>
      <c r="R106" s="41"/>
      <c r="S106" s="355">
        <f t="shared" ref="S106:AA106" si="73">SUBTOTAL(9,S105)</f>
        <v>0</v>
      </c>
      <c r="T106" s="41"/>
      <c r="U106" s="363">
        <f t="shared" si="41"/>
        <v>0</v>
      </c>
      <c r="V106" s="41"/>
      <c r="W106" s="363">
        <v>0</v>
      </c>
      <c r="X106" s="363">
        <f t="shared" ref="X106" si="74">SUBTOTAL(9,X105)</f>
        <v>0</v>
      </c>
      <c r="Y106" s="41"/>
      <c r="Z106" s="363">
        <v>0</v>
      </c>
      <c r="AA106" s="363">
        <f t="shared" si="73"/>
        <v>0</v>
      </c>
      <c r="AB106" s="41"/>
      <c r="AC106" s="250">
        <f t="shared" ref="AC106:AD106" si="75">SUBTOTAL(9,AC105)</f>
        <v>0</v>
      </c>
      <c r="AD106" s="250">
        <f t="shared" si="75"/>
        <v>0</v>
      </c>
    </row>
    <row r="107" spans="3:30" s="37" customFormat="1" ht="12" x14ac:dyDescent="0.2">
      <c r="C107" s="49" t="s">
        <v>104</v>
      </c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44"/>
      <c r="R107" s="41"/>
      <c r="S107" s="354"/>
      <c r="T107" s="41"/>
      <c r="U107" s="362">
        <f t="shared" si="41"/>
        <v>0</v>
      </c>
      <c r="V107" s="41"/>
      <c r="W107" s="362"/>
      <c r="X107" s="362"/>
      <c r="Y107" s="41"/>
      <c r="Z107" s="362"/>
      <c r="AA107" s="362"/>
      <c r="AB107" s="41"/>
      <c r="AC107" s="248"/>
      <c r="AD107" s="248"/>
    </row>
    <row r="108" spans="3:30" s="37" customFormat="1" ht="12" x14ac:dyDescent="0.2">
      <c r="C108" s="199">
        <v>6810</v>
      </c>
      <c r="D108" s="37" t="s">
        <v>42</v>
      </c>
      <c r="E108" s="39">
        <f>'Exp Details'!K284</f>
        <v>10</v>
      </c>
      <c r="F108" s="39">
        <f>'Exp Details'!L284</f>
        <v>70</v>
      </c>
      <c r="G108" s="39">
        <f>'Exp Details'!M284</f>
        <v>360</v>
      </c>
      <c r="H108" s="39">
        <f>'Exp Details'!N284</f>
        <v>10</v>
      </c>
      <c r="I108" s="39">
        <f>'Exp Details'!O284</f>
        <v>10</v>
      </c>
      <c r="J108" s="39">
        <f>'Exp Details'!P284</f>
        <v>70</v>
      </c>
      <c r="K108" s="39">
        <f>'Exp Details'!Q284</f>
        <v>10</v>
      </c>
      <c r="L108" s="39">
        <f>'Exp Details'!R284</f>
        <v>100</v>
      </c>
      <c r="M108" s="39">
        <f>'Exp Details'!S284</f>
        <v>10</v>
      </c>
      <c r="N108" s="39">
        <f>'Exp Details'!T284</f>
        <v>10</v>
      </c>
      <c r="O108" s="39">
        <f>'Exp Details'!U284</f>
        <v>10</v>
      </c>
      <c r="P108" s="39">
        <f>'Exp Details'!V284</f>
        <v>10</v>
      </c>
      <c r="Q108" s="36"/>
      <c r="R108" s="41"/>
      <c r="S108" s="354">
        <f t="shared" ref="S108" si="76">SUM(E108:Q108)</f>
        <v>680</v>
      </c>
      <c r="T108" s="41"/>
      <c r="U108" s="362">
        <f t="shared" si="41"/>
        <v>640</v>
      </c>
      <c r="V108" s="41"/>
      <c r="W108" s="362">
        <v>30522.999999999996</v>
      </c>
      <c r="X108" s="362">
        <f t="shared" ref="X108" si="77">S108-W108</f>
        <v>-29842.999999999996</v>
      </c>
      <c r="Y108" s="41"/>
      <c r="Z108" s="362">
        <v>718.00000000000011</v>
      </c>
      <c r="AA108" s="362">
        <f>Z108-S108</f>
        <v>38.000000000000114</v>
      </c>
      <c r="AB108" s="41"/>
      <c r="AC108" s="248">
        <v>0</v>
      </c>
      <c r="AD108" s="248">
        <f>AC108-S108</f>
        <v>-680</v>
      </c>
    </row>
    <row r="109" spans="3:30" s="37" customFormat="1" ht="12" x14ac:dyDescent="0.2">
      <c r="C109" s="38"/>
      <c r="E109" s="50">
        <f t="shared" ref="E109:O109" si="78">SUBTOTAL(9,E108)</f>
        <v>10</v>
      </c>
      <c r="F109" s="50">
        <f t="shared" si="78"/>
        <v>70</v>
      </c>
      <c r="G109" s="50">
        <f t="shared" si="78"/>
        <v>360</v>
      </c>
      <c r="H109" s="50">
        <f t="shared" si="78"/>
        <v>10</v>
      </c>
      <c r="I109" s="50">
        <f t="shared" si="78"/>
        <v>10</v>
      </c>
      <c r="J109" s="50">
        <f t="shared" si="78"/>
        <v>70</v>
      </c>
      <c r="K109" s="50">
        <f t="shared" si="78"/>
        <v>10</v>
      </c>
      <c r="L109" s="50">
        <f t="shared" si="78"/>
        <v>100</v>
      </c>
      <c r="M109" s="50">
        <f t="shared" si="78"/>
        <v>10</v>
      </c>
      <c r="N109" s="50">
        <f t="shared" si="78"/>
        <v>10</v>
      </c>
      <c r="O109" s="50">
        <f t="shared" si="78"/>
        <v>10</v>
      </c>
      <c r="P109" s="50">
        <f t="shared" ref="P109" si="79">SUBTOTAL(9,P108)</f>
        <v>10</v>
      </c>
      <c r="Q109" s="51"/>
      <c r="R109" s="41"/>
      <c r="S109" s="355">
        <f t="shared" ref="S109" si="80">SUBTOTAL(9,S108)</f>
        <v>680</v>
      </c>
      <c r="T109" s="41"/>
      <c r="U109" s="363">
        <f t="shared" si="41"/>
        <v>640</v>
      </c>
      <c r="V109" s="41"/>
      <c r="W109" s="363">
        <v>30522.999999999996</v>
      </c>
      <c r="X109" s="363">
        <f t="shared" ref="X109" si="81">SUBTOTAL(9,X108)</f>
        <v>-29842.999999999996</v>
      </c>
      <c r="Y109" s="41"/>
      <c r="Z109" s="363">
        <v>718.00000000000011</v>
      </c>
      <c r="AA109" s="363">
        <f t="shared" ref="AA109" si="82">SUBTOTAL(9,AA108)</f>
        <v>38.000000000000114</v>
      </c>
      <c r="AB109" s="41"/>
      <c r="AC109" s="250">
        <f t="shared" ref="AC109:AD109" si="83">SUBTOTAL(9,AC108)</f>
        <v>0</v>
      </c>
      <c r="AD109" s="250">
        <f t="shared" si="83"/>
        <v>-680</v>
      </c>
    </row>
    <row r="110" spans="3:30" s="45" customFormat="1" ht="12" x14ac:dyDescent="0.2">
      <c r="C110" s="49" t="s">
        <v>43</v>
      </c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52"/>
      <c r="R110" s="48"/>
      <c r="S110" s="356"/>
      <c r="T110" s="48"/>
      <c r="U110" s="366">
        <f t="shared" si="41"/>
        <v>0</v>
      </c>
      <c r="V110" s="48"/>
      <c r="W110" s="366"/>
      <c r="X110" s="366"/>
      <c r="Y110" s="48"/>
      <c r="Z110" s="366"/>
      <c r="AA110" s="366"/>
      <c r="AB110" s="48"/>
      <c r="AC110" s="254"/>
      <c r="AD110" s="254"/>
    </row>
    <row r="111" spans="3:30" s="37" customFormat="1" ht="12" x14ac:dyDescent="0.2">
      <c r="C111" s="199">
        <v>7306</v>
      </c>
      <c r="D111" s="37" t="s">
        <v>43</v>
      </c>
      <c r="E111" s="39">
        <f>'Exp Details'!K294</f>
        <v>0</v>
      </c>
      <c r="F111" s="39">
        <f>'Exp Details'!L294</f>
        <v>0</v>
      </c>
      <c r="G111" s="39">
        <f>'Exp Details'!M294</f>
        <v>0</v>
      </c>
      <c r="H111" s="39">
        <f>'Exp Details'!N294</f>
        <v>0</v>
      </c>
      <c r="I111" s="39">
        <f>'Exp Details'!O294</f>
        <v>0</v>
      </c>
      <c r="J111" s="39">
        <f>'Exp Details'!P294</f>
        <v>0</v>
      </c>
      <c r="K111" s="39">
        <f>'Exp Details'!Q294</f>
        <v>0</v>
      </c>
      <c r="L111" s="39">
        <f>'Exp Details'!R294</f>
        <v>0</v>
      </c>
      <c r="M111" s="39">
        <f>'Exp Details'!S294</f>
        <v>0</v>
      </c>
      <c r="N111" s="39">
        <f>'Exp Details'!T294</f>
        <v>0</v>
      </c>
      <c r="O111" s="39">
        <f>'Exp Details'!U294</f>
        <v>0</v>
      </c>
      <c r="P111" s="39">
        <f>'Exp Details'!V294</f>
        <v>0</v>
      </c>
      <c r="Q111" s="36"/>
      <c r="R111" s="41"/>
      <c r="S111" s="356">
        <f t="shared" ref="S111:S112" si="84">SUM(E111:Q111)</f>
        <v>0</v>
      </c>
      <c r="T111" s="41"/>
      <c r="U111" s="364">
        <f t="shared" si="41"/>
        <v>0</v>
      </c>
      <c r="V111" s="41"/>
      <c r="W111" s="364">
        <v>0</v>
      </c>
      <c r="X111" s="362">
        <f t="shared" ref="X111:X112" si="85">S111-W111</f>
        <v>0</v>
      </c>
      <c r="Y111" s="41"/>
      <c r="Z111" s="364">
        <v>0</v>
      </c>
      <c r="AA111" s="362">
        <f t="shared" ref="AA111:AA112" si="86">Z111-S111</f>
        <v>0</v>
      </c>
      <c r="AB111" s="41"/>
      <c r="AC111" s="251">
        <v>0</v>
      </c>
      <c r="AD111" s="248">
        <f>AC111-S111</f>
        <v>0</v>
      </c>
    </row>
    <row r="112" spans="3:30" s="37" customFormat="1" ht="12" x14ac:dyDescent="0.2">
      <c r="C112" s="38">
        <v>7901</v>
      </c>
      <c r="D112" s="37" t="s">
        <v>178</v>
      </c>
      <c r="E112" s="39">
        <f>'Exp Details'!K303</f>
        <v>0</v>
      </c>
      <c r="F112" s="39">
        <f>'Exp Details'!L303</f>
        <v>0</v>
      </c>
      <c r="G112" s="39">
        <f>'Exp Details'!M303</f>
        <v>0</v>
      </c>
      <c r="H112" s="39">
        <f>'Exp Details'!N303</f>
        <v>0</v>
      </c>
      <c r="I112" s="39">
        <f>'Exp Details'!O303</f>
        <v>0</v>
      </c>
      <c r="J112" s="39">
        <f>'Exp Details'!P303</f>
        <v>0</v>
      </c>
      <c r="K112" s="39">
        <f>'Exp Details'!Q303</f>
        <v>0</v>
      </c>
      <c r="L112" s="39">
        <f>'Exp Details'!R303</f>
        <v>0</v>
      </c>
      <c r="M112" s="39">
        <f>'Exp Details'!S303</f>
        <v>0</v>
      </c>
      <c r="N112" s="39">
        <f>'Exp Details'!T303</f>
        <v>0</v>
      </c>
      <c r="O112" s="39">
        <f>'Exp Details'!U303</f>
        <v>0</v>
      </c>
      <c r="P112" s="39">
        <f>'Exp Details'!V303</f>
        <v>0</v>
      </c>
      <c r="Q112" s="36"/>
      <c r="R112" s="41"/>
      <c r="S112" s="356">
        <f t="shared" si="84"/>
        <v>0</v>
      </c>
      <c r="T112" s="41"/>
      <c r="U112" s="364">
        <f t="shared" si="41"/>
        <v>0</v>
      </c>
      <c r="V112" s="41"/>
      <c r="W112" s="364">
        <v>0</v>
      </c>
      <c r="X112" s="362">
        <f t="shared" si="85"/>
        <v>0</v>
      </c>
      <c r="Y112" s="41"/>
      <c r="Z112" s="364">
        <v>0</v>
      </c>
      <c r="AA112" s="362">
        <f t="shared" si="86"/>
        <v>0</v>
      </c>
      <c r="AB112" s="41"/>
      <c r="AC112" s="251">
        <v>0</v>
      </c>
      <c r="AD112" s="248">
        <f>AC112-S112</f>
        <v>0</v>
      </c>
    </row>
    <row r="113" spans="1:30" s="37" customFormat="1" ht="12" x14ac:dyDescent="0.2">
      <c r="C113" s="38"/>
      <c r="E113" s="50">
        <f t="shared" ref="E113:O113" si="87">SUBTOTAL(9,E111:E112)</f>
        <v>0</v>
      </c>
      <c r="F113" s="50">
        <f t="shared" si="87"/>
        <v>0</v>
      </c>
      <c r="G113" s="50">
        <f t="shared" si="87"/>
        <v>0</v>
      </c>
      <c r="H113" s="50">
        <f t="shared" si="87"/>
        <v>0</v>
      </c>
      <c r="I113" s="50">
        <f t="shared" si="87"/>
        <v>0</v>
      </c>
      <c r="J113" s="50">
        <f t="shared" si="87"/>
        <v>0</v>
      </c>
      <c r="K113" s="50">
        <f t="shared" si="87"/>
        <v>0</v>
      </c>
      <c r="L113" s="50">
        <f t="shared" si="87"/>
        <v>0</v>
      </c>
      <c r="M113" s="50">
        <f t="shared" si="87"/>
        <v>0</v>
      </c>
      <c r="N113" s="50">
        <f t="shared" si="87"/>
        <v>0</v>
      </c>
      <c r="O113" s="50">
        <f t="shared" si="87"/>
        <v>0</v>
      </c>
      <c r="P113" s="50">
        <f t="shared" ref="P113" si="88">SUBTOTAL(9,P111:P112)</f>
        <v>0</v>
      </c>
      <c r="Q113" s="51"/>
      <c r="R113" s="41"/>
      <c r="S113" s="355">
        <f>SUBTOTAL(9,S111:S112)</f>
        <v>0</v>
      </c>
      <c r="T113" s="41"/>
      <c r="U113" s="363">
        <f t="shared" si="41"/>
        <v>0</v>
      </c>
      <c r="V113" s="41"/>
      <c r="W113" s="363">
        <v>0</v>
      </c>
      <c r="X113" s="363">
        <f>SUBTOTAL(9,X111:X112)</f>
        <v>0</v>
      </c>
      <c r="Y113" s="41"/>
      <c r="Z113" s="363">
        <v>0</v>
      </c>
      <c r="AA113" s="363">
        <f>SUBTOTAL(9,AA111:AA112)</f>
        <v>0</v>
      </c>
      <c r="AB113" s="41"/>
      <c r="AC113" s="250">
        <f>SUBTOTAL(9,AC111:AC112)</f>
        <v>0</v>
      </c>
      <c r="AD113" s="250">
        <f>SUBTOTAL(9,AD111:AD112)</f>
        <v>0</v>
      </c>
    </row>
    <row r="114" spans="1:30" s="37" customFormat="1" ht="9" customHeight="1" x14ac:dyDescent="0.2">
      <c r="C114" s="38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44"/>
      <c r="R114" s="41"/>
      <c r="S114" s="354"/>
      <c r="T114" s="41"/>
      <c r="U114" s="362">
        <f t="shared" si="41"/>
        <v>0</v>
      </c>
      <c r="V114" s="41"/>
      <c r="W114" s="362"/>
      <c r="X114" s="362"/>
      <c r="Y114" s="41"/>
      <c r="Z114" s="362"/>
      <c r="AA114" s="362"/>
      <c r="AB114" s="41"/>
      <c r="AC114" s="248"/>
      <c r="AD114" s="248"/>
    </row>
    <row r="115" spans="1:30" s="45" customFormat="1" ht="12" x14ac:dyDescent="0.2">
      <c r="A115" s="45" t="s">
        <v>107</v>
      </c>
      <c r="C115" s="46"/>
      <c r="E115" s="43">
        <f t="shared" ref="E115:O115" si="89">SUBTOTAL(9,E30:E114)</f>
        <v>19947.113121833336</v>
      </c>
      <c r="F115" s="43">
        <f t="shared" si="89"/>
        <v>21620.168121833336</v>
      </c>
      <c r="G115" s="43">
        <f t="shared" si="89"/>
        <v>22010.168121833336</v>
      </c>
      <c r="H115" s="43">
        <f t="shared" si="89"/>
        <v>68341.29312183334</v>
      </c>
      <c r="I115" s="43">
        <f t="shared" si="89"/>
        <v>77547.113121833332</v>
      </c>
      <c r="J115" s="43">
        <f t="shared" si="89"/>
        <v>19107.113121833336</v>
      </c>
      <c r="K115" s="43">
        <f t="shared" si="89"/>
        <v>20707.988121833336</v>
      </c>
      <c r="L115" s="43">
        <f t="shared" si="89"/>
        <v>21650.168121833336</v>
      </c>
      <c r="M115" s="43">
        <f t="shared" si="89"/>
        <v>63801.473121833333</v>
      </c>
      <c r="N115" s="43">
        <f t="shared" si="89"/>
        <v>96672.113121833332</v>
      </c>
      <c r="O115" s="43">
        <f t="shared" si="89"/>
        <v>27047.113121833336</v>
      </c>
      <c r="P115" s="43">
        <f t="shared" ref="P115" si="90">SUBTOTAL(9,P30:P114)</f>
        <v>20807.988121833336</v>
      </c>
      <c r="Q115" s="47"/>
      <c r="R115" s="48"/>
      <c r="S115" s="357">
        <f>SUBTOTAL(9,S30:S114)</f>
        <v>479259.81246199994</v>
      </c>
      <c r="T115" s="48"/>
      <c r="U115" s="365">
        <f t="shared" si="41"/>
        <v>270931.12497466669</v>
      </c>
      <c r="V115" s="48"/>
      <c r="W115" s="365">
        <v>657119.46167773439</v>
      </c>
      <c r="X115" s="365">
        <f>SUBTOTAL(9,X30:X114)</f>
        <v>-178509.64921573442</v>
      </c>
      <c r="Y115" s="48"/>
      <c r="Z115" s="365">
        <v>855067.36543275008</v>
      </c>
      <c r="AA115" s="365">
        <f>SUBTOTAL(9,AA30:AA114)</f>
        <v>375807.55297075008</v>
      </c>
      <c r="AB115" s="48"/>
      <c r="AC115" s="252">
        <f>SUBTOTAL(9,AC30:AC114)</f>
        <v>0</v>
      </c>
      <c r="AD115" s="252">
        <f>SUBTOTAL(9,AD30:AD114)</f>
        <v>-479259.81246199994</v>
      </c>
    </row>
    <row r="116" spans="1:30" s="37" customFormat="1" ht="12" x14ac:dyDescent="0.2">
      <c r="C116" s="38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44"/>
      <c r="R116" s="41"/>
      <c r="S116" s="354"/>
      <c r="T116" s="41"/>
      <c r="U116" s="362">
        <f t="shared" si="41"/>
        <v>0</v>
      </c>
      <c r="V116" s="41"/>
      <c r="W116" s="362"/>
      <c r="X116" s="362"/>
      <c r="Y116" s="41"/>
      <c r="Z116" s="362"/>
      <c r="AA116" s="362"/>
      <c r="AB116" s="41"/>
      <c r="AC116" s="248"/>
      <c r="AD116" s="248"/>
    </row>
    <row r="117" spans="1:30" s="45" customFormat="1" ht="12.75" thickBot="1" x14ac:dyDescent="0.25">
      <c r="A117" s="45" t="s">
        <v>108</v>
      </c>
      <c r="C117" s="46"/>
      <c r="E117" s="181">
        <f t="shared" ref="E117:O117" si="91">E27-E115</f>
        <v>17012.886878166657</v>
      </c>
      <c r="F117" s="181">
        <f t="shared" si="91"/>
        <v>15339.831878166657</v>
      </c>
      <c r="G117" s="181">
        <f t="shared" si="91"/>
        <v>14949.831878166657</v>
      </c>
      <c r="H117" s="181">
        <f t="shared" si="91"/>
        <v>-31381.293121833347</v>
      </c>
      <c r="I117" s="181">
        <f t="shared" si="91"/>
        <v>-40587.113121833339</v>
      </c>
      <c r="J117" s="181">
        <f t="shared" si="91"/>
        <v>17852.886878166657</v>
      </c>
      <c r="K117" s="181">
        <f t="shared" si="91"/>
        <v>36652.011878166653</v>
      </c>
      <c r="L117" s="181">
        <f t="shared" si="91"/>
        <v>15309.831878166657</v>
      </c>
      <c r="M117" s="181">
        <f t="shared" si="91"/>
        <v>-26649.47312183334</v>
      </c>
      <c r="N117" s="181">
        <f t="shared" si="91"/>
        <v>-59712.113121833339</v>
      </c>
      <c r="O117" s="181">
        <f t="shared" si="91"/>
        <v>40512.886878166668</v>
      </c>
      <c r="P117" s="181">
        <f t="shared" ref="P117" si="92">P27-P115</f>
        <v>16152.011878166657</v>
      </c>
      <c r="Q117" s="190"/>
      <c r="R117" s="191"/>
      <c r="S117" s="358">
        <f>S27-S115</f>
        <v>15452.187537999998</v>
      </c>
      <c r="T117" s="48"/>
      <c r="U117" s="367">
        <f t="shared" si="41"/>
        <v>45148.875025333255</v>
      </c>
      <c r="V117" s="191"/>
      <c r="W117" s="367">
        <v>23740.158322265605</v>
      </c>
      <c r="X117" s="367">
        <f>X27+X115</f>
        <v>-364657.26921573444</v>
      </c>
      <c r="Y117" s="48"/>
      <c r="Z117" s="367">
        <v>28649.134567249916</v>
      </c>
      <c r="AA117" s="367">
        <f>AA27+AA115</f>
        <v>-13196.947029249917</v>
      </c>
      <c r="AB117" s="48"/>
      <c r="AC117" s="255">
        <f>AC27-AC115</f>
        <v>0</v>
      </c>
      <c r="AD117" s="255">
        <f>AD27+AD115</f>
        <v>15452.187537999998</v>
      </c>
    </row>
    <row r="118" spans="1:30" s="37" customFormat="1" ht="12.75" thickTop="1" x14ac:dyDescent="0.2">
      <c r="C118" s="38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44"/>
      <c r="R118" s="41"/>
      <c r="S118" s="354"/>
      <c r="T118" s="41"/>
      <c r="U118" s="362"/>
      <c r="V118" s="41"/>
      <c r="W118" s="362"/>
      <c r="X118" s="362"/>
      <c r="Y118" s="41"/>
      <c r="Z118" s="362"/>
      <c r="AA118" s="362"/>
      <c r="AB118" s="41"/>
      <c r="AC118" s="39"/>
      <c r="AD118" s="39"/>
    </row>
    <row r="119" spans="1:30" s="37" customFormat="1" ht="12" x14ac:dyDescent="0.2">
      <c r="A119" s="53" t="s">
        <v>109</v>
      </c>
      <c r="B119" s="54"/>
      <c r="C119" s="54"/>
      <c r="D119" s="54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44"/>
      <c r="R119" s="41"/>
      <c r="S119" s="354"/>
      <c r="T119" s="41"/>
      <c r="U119" s="362"/>
      <c r="V119" s="41"/>
      <c r="W119" s="362"/>
      <c r="X119" s="362"/>
      <c r="Y119" s="41"/>
      <c r="Z119" s="362"/>
      <c r="AA119" s="362"/>
      <c r="AB119" s="41"/>
      <c r="AC119" s="39"/>
      <c r="AD119" s="39"/>
    </row>
    <row r="120" spans="1:30" s="37" customFormat="1" ht="12" x14ac:dyDescent="0.2">
      <c r="A120" s="53"/>
      <c r="B120" s="53"/>
      <c r="C120" s="54" t="s">
        <v>110</v>
      </c>
      <c r="D120" s="54"/>
      <c r="E120" s="39">
        <f>E117</f>
        <v>17012.886878166657</v>
      </c>
      <c r="F120" s="39">
        <f t="shared" ref="F120:P120" si="93">F117</f>
        <v>15339.831878166657</v>
      </c>
      <c r="G120" s="39">
        <f t="shared" si="93"/>
        <v>14949.831878166657</v>
      </c>
      <c r="H120" s="39">
        <f t="shared" si="93"/>
        <v>-31381.293121833347</v>
      </c>
      <c r="I120" s="39">
        <f t="shared" si="93"/>
        <v>-40587.113121833339</v>
      </c>
      <c r="J120" s="39">
        <f t="shared" si="93"/>
        <v>17852.886878166657</v>
      </c>
      <c r="K120" s="39">
        <f t="shared" si="93"/>
        <v>36652.011878166653</v>
      </c>
      <c r="L120" s="39">
        <f t="shared" si="93"/>
        <v>15309.831878166657</v>
      </c>
      <c r="M120" s="39">
        <f t="shared" si="93"/>
        <v>-26649.47312183334</v>
      </c>
      <c r="N120" s="39">
        <f t="shared" si="93"/>
        <v>-59712.113121833339</v>
      </c>
      <c r="O120" s="39">
        <f t="shared" si="93"/>
        <v>40512.886878166668</v>
      </c>
      <c r="P120" s="39">
        <f t="shared" si="93"/>
        <v>16152.011878166657</v>
      </c>
      <c r="Q120" s="44"/>
      <c r="R120" s="41"/>
      <c r="S120" s="354">
        <f t="shared" ref="S120:S136" si="94">SUM(E120:Q120)</f>
        <v>15452.1875379999</v>
      </c>
      <c r="T120" s="41"/>
      <c r="U120" s="362"/>
      <c r="V120" s="41"/>
      <c r="W120" s="362"/>
      <c r="X120" s="362"/>
      <c r="Y120" s="41"/>
      <c r="Z120" s="362"/>
      <c r="AA120" s="362"/>
      <c r="AB120" s="41"/>
      <c r="AC120" s="39"/>
      <c r="AD120" s="39"/>
    </row>
    <row r="121" spans="1:30" s="37" customFormat="1" ht="12" x14ac:dyDescent="0.2">
      <c r="A121" s="54"/>
      <c r="B121" s="54" t="s">
        <v>111</v>
      </c>
      <c r="C121" s="54" t="s">
        <v>112</v>
      </c>
      <c r="D121" s="54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44"/>
      <c r="R121" s="41"/>
      <c r="S121" s="354"/>
      <c r="T121" s="41"/>
      <c r="U121" s="362"/>
      <c r="V121" s="41"/>
      <c r="W121" s="362"/>
      <c r="X121" s="362"/>
      <c r="Y121" s="41"/>
      <c r="Z121" s="362"/>
      <c r="AA121" s="362"/>
      <c r="AB121" s="41"/>
      <c r="AC121" s="39"/>
      <c r="AD121" s="39"/>
    </row>
    <row r="122" spans="1:30" s="37" customFormat="1" ht="12" x14ac:dyDescent="0.2">
      <c r="A122" s="54"/>
      <c r="B122" s="54" t="s">
        <v>111</v>
      </c>
      <c r="C122" s="54"/>
      <c r="D122" s="55" t="s">
        <v>113</v>
      </c>
      <c r="E122" s="39">
        <f>E112</f>
        <v>0</v>
      </c>
      <c r="F122" s="39">
        <f t="shared" ref="F122:P122" si="95">F112</f>
        <v>0</v>
      </c>
      <c r="G122" s="39">
        <f t="shared" si="95"/>
        <v>0</v>
      </c>
      <c r="H122" s="39">
        <f t="shared" si="95"/>
        <v>0</v>
      </c>
      <c r="I122" s="39">
        <f t="shared" si="95"/>
        <v>0</v>
      </c>
      <c r="J122" s="39">
        <f t="shared" si="95"/>
        <v>0</v>
      </c>
      <c r="K122" s="39">
        <f t="shared" si="95"/>
        <v>0</v>
      </c>
      <c r="L122" s="39">
        <f t="shared" si="95"/>
        <v>0</v>
      </c>
      <c r="M122" s="39">
        <f t="shared" si="95"/>
        <v>0</v>
      </c>
      <c r="N122" s="39">
        <f t="shared" si="95"/>
        <v>0</v>
      </c>
      <c r="O122" s="39">
        <f t="shared" si="95"/>
        <v>0</v>
      </c>
      <c r="P122" s="39">
        <f t="shared" si="95"/>
        <v>0</v>
      </c>
      <c r="Q122" s="44"/>
      <c r="R122" s="41"/>
      <c r="S122" s="354">
        <f t="shared" si="94"/>
        <v>0</v>
      </c>
      <c r="T122" s="41"/>
      <c r="U122" s="362"/>
      <c r="V122" s="41"/>
      <c r="W122" s="362"/>
      <c r="X122" s="362"/>
      <c r="Y122" s="41"/>
      <c r="Z122" s="362"/>
      <c r="AA122" s="362"/>
      <c r="AB122" s="41"/>
      <c r="AC122" s="39"/>
      <c r="AD122" s="39"/>
    </row>
    <row r="123" spans="1:30" s="37" customFormat="1" ht="12" x14ac:dyDescent="0.2">
      <c r="A123" s="54"/>
      <c r="B123" s="54" t="s">
        <v>111</v>
      </c>
      <c r="C123" s="54"/>
      <c r="D123" s="55" t="s">
        <v>114</v>
      </c>
      <c r="E123" s="39">
        <v>0</v>
      </c>
      <c r="F123" s="39">
        <v>0</v>
      </c>
      <c r="G123" s="39">
        <v>0</v>
      </c>
      <c r="H123" s="39">
        <v>0</v>
      </c>
      <c r="I123" s="39">
        <v>0</v>
      </c>
      <c r="J123" s="39">
        <v>0</v>
      </c>
      <c r="K123" s="39">
        <v>0</v>
      </c>
      <c r="L123" s="39">
        <v>0</v>
      </c>
      <c r="M123" s="39">
        <v>0</v>
      </c>
      <c r="N123" s="39">
        <v>0</v>
      </c>
      <c r="O123" s="39">
        <v>0</v>
      </c>
      <c r="P123" s="39">
        <v>0</v>
      </c>
      <c r="Q123" s="44"/>
      <c r="R123" s="41"/>
      <c r="S123" s="354">
        <f t="shared" si="94"/>
        <v>0</v>
      </c>
      <c r="T123" s="41"/>
      <c r="U123" s="362"/>
      <c r="V123" s="41"/>
      <c r="W123" s="362"/>
      <c r="X123" s="362"/>
      <c r="Y123" s="41"/>
      <c r="Z123" s="362"/>
      <c r="AA123" s="362"/>
      <c r="AB123" s="41"/>
      <c r="AC123" s="39"/>
      <c r="AD123" s="39"/>
    </row>
    <row r="124" spans="1:30" s="37" customFormat="1" ht="12" x14ac:dyDescent="0.2">
      <c r="A124" s="54"/>
      <c r="B124" s="54" t="s">
        <v>111</v>
      </c>
      <c r="C124" s="54"/>
      <c r="D124" s="55" t="s">
        <v>115</v>
      </c>
      <c r="E124" s="39">
        <v>0</v>
      </c>
      <c r="F124" s="39">
        <v>0</v>
      </c>
      <c r="G124" s="39">
        <v>0</v>
      </c>
      <c r="H124" s="39">
        <v>0</v>
      </c>
      <c r="I124" s="39">
        <v>0</v>
      </c>
      <c r="J124" s="39">
        <v>0</v>
      </c>
      <c r="K124" s="39">
        <v>0</v>
      </c>
      <c r="L124" s="39">
        <v>0</v>
      </c>
      <c r="M124" s="39">
        <v>0</v>
      </c>
      <c r="N124" s="39">
        <v>0</v>
      </c>
      <c r="O124" s="39">
        <v>0</v>
      </c>
      <c r="P124" s="39">
        <v>0</v>
      </c>
      <c r="Q124" s="44"/>
      <c r="R124" s="41"/>
      <c r="S124" s="354">
        <f t="shared" si="94"/>
        <v>0</v>
      </c>
      <c r="T124" s="41"/>
      <c r="U124" s="362"/>
      <c r="V124" s="41"/>
      <c r="W124" s="362"/>
      <c r="X124" s="362"/>
      <c r="Y124" s="41"/>
      <c r="Z124" s="362"/>
      <c r="AA124" s="362"/>
      <c r="AB124" s="41"/>
      <c r="AC124" s="39"/>
      <c r="AD124" s="39"/>
    </row>
    <row r="125" spans="1:30" s="37" customFormat="1" ht="12" x14ac:dyDescent="0.2">
      <c r="A125" s="54"/>
      <c r="B125" s="54" t="s">
        <v>111</v>
      </c>
      <c r="C125" s="54"/>
      <c r="D125" s="55" t="s">
        <v>116</v>
      </c>
      <c r="E125" s="39">
        <v>0</v>
      </c>
      <c r="F125" s="39">
        <v>0</v>
      </c>
      <c r="G125" s="39">
        <v>0</v>
      </c>
      <c r="H125" s="39">
        <v>0</v>
      </c>
      <c r="I125" s="39">
        <v>0</v>
      </c>
      <c r="J125" s="39">
        <v>0</v>
      </c>
      <c r="K125" s="39">
        <v>0</v>
      </c>
      <c r="L125" s="39">
        <v>0</v>
      </c>
      <c r="M125" s="39">
        <v>0</v>
      </c>
      <c r="N125" s="39">
        <v>0</v>
      </c>
      <c r="O125" s="39">
        <v>0</v>
      </c>
      <c r="P125" s="39">
        <v>0</v>
      </c>
      <c r="Q125" s="44"/>
      <c r="R125" s="41"/>
      <c r="S125" s="354">
        <f t="shared" si="94"/>
        <v>0</v>
      </c>
      <c r="T125" s="41"/>
      <c r="U125" s="362"/>
      <c r="V125" s="41"/>
      <c r="W125" s="362"/>
      <c r="X125" s="362"/>
      <c r="Y125" s="41"/>
      <c r="Z125" s="362"/>
      <c r="AA125" s="362"/>
      <c r="AB125" s="41"/>
      <c r="AC125" s="39"/>
      <c r="AD125" s="39"/>
    </row>
    <row r="126" spans="1:30" s="37" customFormat="1" ht="12" x14ac:dyDescent="0.2">
      <c r="A126" s="54"/>
      <c r="B126" s="54" t="s">
        <v>111</v>
      </c>
      <c r="C126" s="54"/>
      <c r="D126" s="55" t="s">
        <v>117</v>
      </c>
      <c r="E126" s="39">
        <v>0</v>
      </c>
      <c r="F126" s="39">
        <v>0</v>
      </c>
      <c r="G126" s="39">
        <v>0</v>
      </c>
      <c r="H126" s="39">
        <v>0</v>
      </c>
      <c r="I126" s="39">
        <v>0</v>
      </c>
      <c r="J126" s="39">
        <v>0</v>
      </c>
      <c r="K126" s="39">
        <v>0</v>
      </c>
      <c r="L126" s="39">
        <v>0</v>
      </c>
      <c r="M126" s="39">
        <v>0</v>
      </c>
      <c r="N126" s="39">
        <v>0</v>
      </c>
      <c r="O126" s="39">
        <v>0</v>
      </c>
      <c r="P126" s="39">
        <v>0</v>
      </c>
      <c r="Q126" s="44"/>
      <c r="R126" s="41"/>
      <c r="S126" s="354">
        <f t="shared" si="94"/>
        <v>0</v>
      </c>
      <c r="T126" s="41"/>
      <c r="U126" s="362"/>
      <c r="V126" s="41"/>
      <c r="W126" s="362"/>
      <c r="X126" s="362"/>
      <c r="Y126" s="41"/>
      <c r="Z126" s="362"/>
      <c r="AA126" s="362"/>
      <c r="AB126" s="41"/>
      <c r="AC126" s="39"/>
      <c r="AD126" s="39"/>
    </row>
    <row r="127" spans="1:30" s="37" customFormat="1" ht="12" x14ac:dyDescent="0.2">
      <c r="A127" s="54"/>
      <c r="B127" s="54" t="s">
        <v>111</v>
      </c>
      <c r="C127" s="54"/>
      <c r="D127" s="55" t="s">
        <v>118</v>
      </c>
      <c r="E127" s="39">
        <v>0</v>
      </c>
      <c r="F127" s="39">
        <v>0</v>
      </c>
      <c r="G127" s="39">
        <v>0</v>
      </c>
      <c r="H127" s="39">
        <v>0</v>
      </c>
      <c r="I127" s="39">
        <v>0</v>
      </c>
      <c r="J127" s="39">
        <v>0</v>
      </c>
      <c r="K127" s="39">
        <v>0</v>
      </c>
      <c r="L127" s="39">
        <v>0</v>
      </c>
      <c r="M127" s="39">
        <v>0</v>
      </c>
      <c r="N127" s="39">
        <v>0</v>
      </c>
      <c r="O127" s="39">
        <v>0</v>
      </c>
      <c r="P127" s="39">
        <v>0</v>
      </c>
      <c r="Q127" s="44"/>
      <c r="R127" s="41"/>
      <c r="S127" s="354">
        <f t="shared" si="94"/>
        <v>0</v>
      </c>
      <c r="T127" s="41"/>
      <c r="U127" s="362"/>
      <c r="V127" s="41"/>
      <c r="W127" s="362"/>
      <c r="X127" s="362"/>
      <c r="Y127" s="41"/>
      <c r="Z127" s="362"/>
      <c r="AA127" s="362"/>
      <c r="AB127" s="41"/>
      <c r="AC127" s="39"/>
      <c r="AD127" s="39"/>
    </row>
    <row r="128" spans="1:30" s="37" customFormat="1" ht="12" x14ac:dyDescent="0.2">
      <c r="A128" s="54"/>
      <c r="B128" s="54" t="s">
        <v>111</v>
      </c>
      <c r="C128" s="54"/>
      <c r="D128" s="55" t="s">
        <v>119</v>
      </c>
      <c r="E128" s="39">
        <v>0</v>
      </c>
      <c r="F128" s="39">
        <v>0</v>
      </c>
      <c r="G128" s="39">
        <v>0</v>
      </c>
      <c r="H128" s="39">
        <v>0</v>
      </c>
      <c r="I128" s="39">
        <v>0</v>
      </c>
      <c r="J128" s="39">
        <v>0</v>
      </c>
      <c r="K128" s="39">
        <v>0</v>
      </c>
      <c r="L128" s="39">
        <v>0</v>
      </c>
      <c r="M128" s="39">
        <v>0</v>
      </c>
      <c r="N128" s="39">
        <v>0</v>
      </c>
      <c r="O128" s="39">
        <v>0</v>
      </c>
      <c r="P128" s="39">
        <v>0</v>
      </c>
      <c r="Q128" s="44"/>
      <c r="R128" s="41"/>
      <c r="S128" s="354">
        <f t="shared" si="94"/>
        <v>0</v>
      </c>
      <c r="T128" s="41"/>
      <c r="U128" s="362"/>
      <c r="V128" s="41"/>
      <c r="W128" s="362"/>
      <c r="X128" s="362"/>
      <c r="Y128" s="41"/>
      <c r="Z128" s="362"/>
      <c r="AA128" s="362"/>
      <c r="AB128" s="41"/>
      <c r="AC128" s="39"/>
      <c r="AD128" s="39"/>
    </row>
    <row r="129" spans="1:30" s="37" customFormat="1" ht="12" x14ac:dyDescent="0.2">
      <c r="A129" s="54"/>
      <c r="B129" s="54" t="s">
        <v>111</v>
      </c>
      <c r="C129" s="54"/>
      <c r="D129" s="55" t="s">
        <v>120</v>
      </c>
      <c r="E129" s="39">
        <v>0</v>
      </c>
      <c r="F129" s="39">
        <v>0</v>
      </c>
      <c r="G129" s="39">
        <v>0</v>
      </c>
      <c r="H129" s="39">
        <v>0</v>
      </c>
      <c r="I129" s="39">
        <v>0</v>
      </c>
      <c r="J129" s="39">
        <v>0</v>
      </c>
      <c r="K129" s="39">
        <v>0</v>
      </c>
      <c r="L129" s="39">
        <v>0</v>
      </c>
      <c r="M129" s="39">
        <v>0</v>
      </c>
      <c r="N129" s="39">
        <v>0</v>
      </c>
      <c r="O129" s="39">
        <v>0</v>
      </c>
      <c r="P129" s="39">
        <v>0</v>
      </c>
      <c r="Q129" s="44"/>
      <c r="R129" s="41"/>
      <c r="S129" s="354">
        <f t="shared" si="94"/>
        <v>0</v>
      </c>
      <c r="T129" s="41"/>
      <c r="U129" s="362"/>
      <c r="V129" s="41"/>
      <c r="W129" s="362"/>
      <c r="X129" s="362"/>
      <c r="Y129" s="41"/>
      <c r="Z129" s="362"/>
      <c r="AA129" s="362"/>
      <c r="AB129" s="41"/>
      <c r="AC129" s="39"/>
      <c r="AD129" s="39"/>
    </row>
    <row r="130" spans="1:30" s="37" customFormat="1" ht="12" x14ac:dyDescent="0.2">
      <c r="A130" s="54"/>
      <c r="B130" s="54" t="s">
        <v>111</v>
      </c>
      <c r="C130" s="54"/>
      <c r="D130" s="55" t="s">
        <v>121</v>
      </c>
      <c r="E130" s="39">
        <v>0</v>
      </c>
      <c r="F130" s="39">
        <v>0</v>
      </c>
      <c r="G130" s="39">
        <v>0</v>
      </c>
      <c r="H130" s="39">
        <v>0</v>
      </c>
      <c r="I130" s="39">
        <v>0</v>
      </c>
      <c r="J130" s="39">
        <v>0</v>
      </c>
      <c r="K130" s="39">
        <v>0</v>
      </c>
      <c r="L130" s="39">
        <v>0</v>
      </c>
      <c r="M130" s="39">
        <v>0</v>
      </c>
      <c r="N130" s="39">
        <v>0</v>
      </c>
      <c r="O130" s="39">
        <v>0</v>
      </c>
      <c r="P130" s="39">
        <v>0</v>
      </c>
      <c r="Q130" s="44"/>
      <c r="R130" s="41"/>
      <c r="S130" s="354">
        <f t="shared" si="94"/>
        <v>0</v>
      </c>
      <c r="T130" s="41"/>
      <c r="U130" s="362"/>
      <c r="V130" s="41"/>
      <c r="W130" s="362"/>
      <c r="X130" s="362"/>
      <c r="Y130" s="41"/>
      <c r="Z130" s="362"/>
      <c r="AA130" s="362"/>
      <c r="AB130" s="41"/>
      <c r="AC130" s="39"/>
      <c r="AD130" s="39"/>
    </row>
    <row r="131" spans="1:30" s="37" customFormat="1" ht="12" x14ac:dyDescent="0.2">
      <c r="A131" s="54"/>
      <c r="B131" s="54" t="s">
        <v>111</v>
      </c>
      <c r="C131" s="54" t="s">
        <v>122</v>
      </c>
      <c r="D131" s="55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44"/>
      <c r="R131" s="41"/>
      <c r="S131" s="354"/>
      <c r="T131" s="41"/>
      <c r="U131" s="362"/>
      <c r="V131" s="41"/>
      <c r="W131" s="362"/>
      <c r="X131" s="362"/>
      <c r="Y131" s="41"/>
      <c r="Z131" s="362"/>
      <c r="AA131" s="362"/>
      <c r="AB131" s="41"/>
      <c r="AC131" s="39"/>
      <c r="AD131" s="39"/>
    </row>
    <row r="132" spans="1:30" s="37" customFormat="1" ht="12" x14ac:dyDescent="0.2">
      <c r="A132" s="54"/>
      <c r="B132" s="54" t="s">
        <v>111</v>
      </c>
      <c r="C132" s="54"/>
      <c r="D132" s="55" t="s">
        <v>123</v>
      </c>
      <c r="E132" s="39">
        <v>0</v>
      </c>
      <c r="F132" s="39">
        <v>0</v>
      </c>
      <c r="G132" s="39">
        <v>0</v>
      </c>
      <c r="H132" s="39">
        <v>0</v>
      </c>
      <c r="I132" s="39">
        <v>0</v>
      </c>
      <c r="J132" s="39">
        <v>0</v>
      </c>
      <c r="K132" s="39">
        <v>0</v>
      </c>
      <c r="L132" s="39">
        <v>0</v>
      </c>
      <c r="M132" s="39">
        <v>0</v>
      </c>
      <c r="N132" s="39">
        <v>0</v>
      </c>
      <c r="O132" s="39">
        <v>0</v>
      </c>
      <c r="P132" s="39">
        <v>0</v>
      </c>
      <c r="Q132" s="44"/>
      <c r="R132" s="41"/>
      <c r="S132" s="354">
        <f t="shared" si="94"/>
        <v>0</v>
      </c>
      <c r="T132" s="41"/>
      <c r="U132" s="362"/>
      <c r="V132" s="41"/>
      <c r="W132" s="362"/>
      <c r="X132" s="362"/>
      <c r="Y132" s="41"/>
      <c r="Z132" s="362"/>
      <c r="AA132" s="362"/>
      <c r="AB132" s="41"/>
      <c r="AC132" s="39"/>
      <c r="AD132" s="39"/>
    </row>
    <row r="133" spans="1:30" s="37" customFormat="1" ht="12" x14ac:dyDescent="0.2">
      <c r="A133" s="54"/>
      <c r="B133" s="54"/>
      <c r="C133" s="54"/>
      <c r="D133" s="54" t="s">
        <v>124</v>
      </c>
      <c r="E133" s="39">
        <v>0</v>
      </c>
      <c r="F133" s="39">
        <v>0</v>
      </c>
      <c r="G133" s="39">
        <v>0</v>
      </c>
      <c r="H133" s="39">
        <v>0</v>
      </c>
      <c r="I133" s="39">
        <v>0</v>
      </c>
      <c r="J133" s="39">
        <v>0</v>
      </c>
      <c r="K133" s="39">
        <v>0</v>
      </c>
      <c r="L133" s="39">
        <v>0</v>
      </c>
      <c r="M133" s="39">
        <v>0</v>
      </c>
      <c r="N133" s="39">
        <v>0</v>
      </c>
      <c r="O133" s="39">
        <v>0</v>
      </c>
      <c r="P133" s="39">
        <v>0</v>
      </c>
      <c r="Q133" s="44"/>
      <c r="R133" s="41"/>
      <c r="S133" s="354">
        <f t="shared" si="94"/>
        <v>0</v>
      </c>
      <c r="T133" s="41"/>
      <c r="U133" s="362"/>
      <c r="V133" s="41"/>
      <c r="W133" s="362"/>
      <c r="X133" s="362"/>
      <c r="Y133" s="41"/>
      <c r="Z133" s="362"/>
      <c r="AA133" s="362"/>
      <c r="AB133" s="41"/>
      <c r="AC133" s="39"/>
      <c r="AD133" s="39"/>
    </row>
    <row r="134" spans="1:30" s="37" customFormat="1" ht="12" x14ac:dyDescent="0.2">
      <c r="A134" s="54"/>
      <c r="B134" s="54"/>
      <c r="C134" s="54" t="s">
        <v>125</v>
      </c>
      <c r="D134" s="54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44"/>
      <c r="R134" s="41"/>
      <c r="S134" s="354"/>
      <c r="T134" s="41"/>
      <c r="U134" s="362"/>
      <c r="V134" s="41"/>
      <c r="W134" s="362"/>
      <c r="X134" s="362"/>
      <c r="Y134" s="41"/>
      <c r="Z134" s="362"/>
      <c r="AA134" s="362"/>
      <c r="AB134" s="41"/>
      <c r="AC134" s="39"/>
      <c r="AD134" s="39"/>
    </row>
    <row r="135" spans="1:30" s="37" customFormat="1" ht="12" x14ac:dyDescent="0.2">
      <c r="A135" s="54"/>
      <c r="B135" s="54"/>
      <c r="C135" s="54"/>
      <c r="D135" s="54" t="s">
        <v>129</v>
      </c>
      <c r="E135" s="39">
        <v>0</v>
      </c>
      <c r="F135" s="39">
        <v>0</v>
      </c>
      <c r="G135" s="39">
        <v>0</v>
      </c>
      <c r="H135" s="39">
        <v>0</v>
      </c>
      <c r="I135" s="39">
        <v>0</v>
      </c>
      <c r="J135" s="39">
        <v>0</v>
      </c>
      <c r="K135" s="39">
        <v>0</v>
      </c>
      <c r="L135" s="39">
        <v>0</v>
      </c>
      <c r="M135" s="39">
        <v>0</v>
      </c>
      <c r="N135" s="39">
        <v>0</v>
      </c>
      <c r="O135" s="39">
        <v>0</v>
      </c>
      <c r="P135" s="39">
        <v>0</v>
      </c>
      <c r="Q135" s="44"/>
      <c r="R135" s="41"/>
      <c r="S135" s="354">
        <f t="shared" si="94"/>
        <v>0</v>
      </c>
      <c r="T135" s="41"/>
      <c r="U135" s="362"/>
      <c r="V135" s="41"/>
      <c r="W135" s="362"/>
      <c r="X135" s="362"/>
      <c r="Y135" s="41"/>
      <c r="Z135" s="362"/>
      <c r="AA135" s="362"/>
      <c r="AB135" s="41"/>
      <c r="AC135" s="39"/>
      <c r="AD135" s="39"/>
    </row>
    <row r="136" spans="1:30" s="37" customFormat="1" ht="12" x14ac:dyDescent="0.2">
      <c r="A136" s="54"/>
      <c r="B136" s="54"/>
      <c r="C136" s="54"/>
      <c r="D136" s="54" t="s">
        <v>130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  <c r="P136" s="42">
        <v>0</v>
      </c>
      <c r="Q136" s="47"/>
      <c r="R136" s="41"/>
      <c r="S136" s="354">
        <f t="shared" si="94"/>
        <v>0</v>
      </c>
      <c r="T136" s="41"/>
      <c r="U136" s="362"/>
      <c r="V136" s="41"/>
      <c r="W136" s="362"/>
      <c r="X136" s="362"/>
      <c r="Y136" s="41"/>
      <c r="Z136" s="362"/>
      <c r="AA136" s="362"/>
      <c r="AB136" s="41"/>
      <c r="AC136" s="39"/>
      <c r="AD136" s="39"/>
    </row>
    <row r="137" spans="1:30" s="37" customFormat="1" ht="12" x14ac:dyDescent="0.2">
      <c r="A137" s="54"/>
      <c r="B137" s="54"/>
      <c r="C137" s="54"/>
      <c r="D137" s="54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41"/>
      <c r="S137" s="278"/>
      <c r="T137" s="41"/>
      <c r="U137" s="362"/>
      <c r="V137" s="41"/>
      <c r="W137" s="362"/>
      <c r="X137" s="362"/>
      <c r="Y137" s="41"/>
      <c r="Z137" s="362"/>
      <c r="AA137" s="362"/>
      <c r="AB137" s="41"/>
      <c r="AC137" s="39"/>
      <c r="AD137" s="39"/>
    </row>
    <row r="138" spans="1:30" s="37" customFormat="1" ht="12" x14ac:dyDescent="0.2">
      <c r="A138" s="54"/>
      <c r="B138" s="54" t="s">
        <v>126</v>
      </c>
      <c r="C138" s="54"/>
      <c r="D138" s="54"/>
      <c r="E138" s="39">
        <f>SUM(E120:E136)</f>
        <v>17012.886878166657</v>
      </c>
      <c r="F138" s="39">
        <f>SUM(F120:F136)</f>
        <v>15339.831878166657</v>
      </c>
      <c r="G138" s="39">
        <f t="shared" ref="G138:O138" si="96">SUM(G120:G136)</f>
        <v>14949.831878166657</v>
      </c>
      <c r="H138" s="39">
        <f t="shared" si="96"/>
        <v>-31381.293121833347</v>
      </c>
      <c r="I138" s="39">
        <f t="shared" si="96"/>
        <v>-40587.113121833339</v>
      </c>
      <c r="J138" s="39">
        <f t="shared" si="96"/>
        <v>17852.886878166657</v>
      </c>
      <c r="K138" s="39">
        <f t="shared" si="96"/>
        <v>36652.011878166653</v>
      </c>
      <c r="L138" s="39">
        <f t="shared" si="96"/>
        <v>15309.831878166657</v>
      </c>
      <c r="M138" s="39">
        <f t="shared" si="96"/>
        <v>-26649.47312183334</v>
      </c>
      <c r="N138" s="39">
        <f t="shared" si="96"/>
        <v>-59712.113121833339</v>
      </c>
      <c r="O138" s="39">
        <f t="shared" si="96"/>
        <v>40512.886878166668</v>
      </c>
      <c r="P138" s="39">
        <f>SUM(P120:P136)</f>
        <v>16152.011878166657</v>
      </c>
      <c r="Q138" s="39"/>
      <c r="R138" s="41"/>
      <c r="S138" s="278"/>
      <c r="T138" s="41"/>
      <c r="U138" s="362"/>
      <c r="V138" s="41"/>
      <c r="W138" s="362"/>
      <c r="X138" s="362"/>
      <c r="Y138" s="41"/>
      <c r="Z138" s="362"/>
      <c r="AA138" s="362"/>
      <c r="AB138" s="41"/>
      <c r="AC138" s="39"/>
      <c r="AD138" s="39"/>
    </row>
    <row r="139" spans="1:30" s="37" customFormat="1" ht="12" x14ac:dyDescent="0.2">
      <c r="A139" s="54"/>
      <c r="B139" s="54" t="s">
        <v>127</v>
      </c>
      <c r="C139" s="54"/>
      <c r="D139" s="54"/>
      <c r="E139" s="42">
        <v>0</v>
      </c>
      <c r="F139" s="42">
        <f>E141</f>
        <v>17012.886878166657</v>
      </c>
      <c r="G139" s="42">
        <f t="shared" ref="G139:P139" si="97">F141</f>
        <v>32352.718756333314</v>
      </c>
      <c r="H139" s="42">
        <f t="shared" si="97"/>
        <v>47302.550634499974</v>
      </c>
      <c r="I139" s="42">
        <f t="shared" si="97"/>
        <v>15921.257512666627</v>
      </c>
      <c r="J139" s="42">
        <f t="shared" si="97"/>
        <v>-24665.855609166712</v>
      </c>
      <c r="K139" s="42">
        <f t="shared" si="97"/>
        <v>-6812.9687310000554</v>
      </c>
      <c r="L139" s="42">
        <f t="shared" si="97"/>
        <v>29839.043147166598</v>
      </c>
      <c r="M139" s="42">
        <f t="shared" si="97"/>
        <v>45148.875025333255</v>
      </c>
      <c r="N139" s="42">
        <f t="shared" si="97"/>
        <v>18499.401903499915</v>
      </c>
      <c r="O139" s="42">
        <f t="shared" si="97"/>
        <v>-41212.711218333425</v>
      </c>
      <c r="P139" s="42">
        <f t="shared" si="97"/>
        <v>-699.82434016675688</v>
      </c>
      <c r="Q139" s="39"/>
      <c r="R139" s="41"/>
      <c r="S139" s="278"/>
      <c r="T139" s="41"/>
      <c r="U139" s="362"/>
      <c r="V139" s="41"/>
      <c r="W139" s="362"/>
      <c r="X139" s="362"/>
      <c r="Y139" s="41"/>
      <c r="Z139" s="362"/>
      <c r="AA139" s="362"/>
      <c r="AB139" s="41"/>
      <c r="AC139" s="39"/>
      <c r="AD139" s="39"/>
    </row>
    <row r="140" spans="1:30" s="37" customFormat="1" ht="12" x14ac:dyDescent="0.2">
      <c r="A140" s="54"/>
      <c r="B140" s="54"/>
      <c r="C140" s="54"/>
      <c r="D140" s="54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41"/>
      <c r="S140" s="278"/>
      <c r="T140" s="41"/>
      <c r="U140" s="362"/>
      <c r="V140" s="41"/>
      <c r="W140" s="362"/>
      <c r="X140" s="362"/>
      <c r="Y140" s="41"/>
      <c r="Z140" s="362"/>
      <c r="AA140" s="362"/>
      <c r="AB140" s="41"/>
      <c r="AC140" s="39"/>
      <c r="AD140" s="39"/>
    </row>
    <row r="141" spans="1:30" s="37" customFormat="1" ht="12.75" thickBot="1" x14ac:dyDescent="0.25">
      <c r="A141" s="53"/>
      <c r="B141" s="53" t="s">
        <v>128</v>
      </c>
      <c r="C141" s="53"/>
      <c r="D141" s="53"/>
      <c r="E141" s="194">
        <f t="shared" ref="E141:O141" si="98">SUM(E138:E140)</f>
        <v>17012.886878166657</v>
      </c>
      <c r="F141" s="194">
        <f t="shared" si="98"/>
        <v>32352.718756333314</v>
      </c>
      <c r="G141" s="194">
        <f t="shared" si="98"/>
        <v>47302.550634499974</v>
      </c>
      <c r="H141" s="194">
        <f t="shared" si="98"/>
        <v>15921.257512666627</v>
      </c>
      <c r="I141" s="194">
        <f>SUM(I138:I140)</f>
        <v>-24665.855609166712</v>
      </c>
      <c r="J141" s="194">
        <f t="shared" si="98"/>
        <v>-6812.9687310000554</v>
      </c>
      <c r="K141" s="194">
        <f>SUM(K138:K140)</f>
        <v>29839.043147166598</v>
      </c>
      <c r="L141" s="194">
        <f t="shared" si="98"/>
        <v>45148.875025333255</v>
      </c>
      <c r="M141" s="194">
        <f t="shared" si="98"/>
        <v>18499.401903499915</v>
      </c>
      <c r="N141" s="194">
        <f t="shared" si="98"/>
        <v>-41212.711218333425</v>
      </c>
      <c r="O141" s="194">
        <f t="shared" si="98"/>
        <v>-699.82434016675688</v>
      </c>
      <c r="P141" s="194">
        <f>SUM(P138:P140)</f>
        <v>15452.1875379999</v>
      </c>
      <c r="Q141" s="39"/>
      <c r="R141" s="41"/>
      <c r="S141" s="278"/>
      <c r="T141" s="41"/>
      <c r="U141" s="362"/>
      <c r="V141" s="41"/>
      <c r="W141" s="362"/>
      <c r="X141" s="362"/>
      <c r="Y141" s="41"/>
      <c r="Z141" s="362"/>
      <c r="AA141" s="362"/>
      <c r="AB141" s="41"/>
      <c r="AC141" s="39"/>
      <c r="AD141" s="39"/>
    </row>
    <row r="142" spans="1:30" s="37" customFormat="1" ht="12.75" thickTop="1" x14ac:dyDescent="0.2">
      <c r="B142" s="37" t="s">
        <v>542</v>
      </c>
      <c r="C142" s="38"/>
      <c r="E142" s="641">
        <f>$S$115*0.1</f>
        <v>47925.981246199997</v>
      </c>
      <c r="F142" s="641">
        <f t="shared" ref="F142:P142" si="99">$S$115*0.1</f>
        <v>47925.981246199997</v>
      </c>
      <c r="G142" s="641">
        <f t="shared" si="99"/>
        <v>47925.981246199997</v>
      </c>
      <c r="H142" s="641">
        <f t="shared" si="99"/>
        <v>47925.981246199997</v>
      </c>
      <c r="I142" s="641">
        <f t="shared" si="99"/>
        <v>47925.981246199997</v>
      </c>
      <c r="J142" s="641">
        <f t="shared" si="99"/>
        <v>47925.981246199997</v>
      </c>
      <c r="K142" s="641">
        <f t="shared" si="99"/>
        <v>47925.981246199997</v>
      </c>
      <c r="L142" s="641">
        <f t="shared" si="99"/>
        <v>47925.981246199997</v>
      </c>
      <c r="M142" s="641">
        <f t="shared" si="99"/>
        <v>47925.981246199997</v>
      </c>
      <c r="N142" s="641">
        <f t="shared" si="99"/>
        <v>47925.981246199997</v>
      </c>
      <c r="O142" s="641">
        <f t="shared" si="99"/>
        <v>47925.981246199997</v>
      </c>
      <c r="P142" s="641">
        <f t="shared" si="99"/>
        <v>47925.981246199997</v>
      </c>
      <c r="Q142" s="39"/>
      <c r="R142" s="41"/>
      <c r="S142" s="278"/>
      <c r="T142" s="41"/>
      <c r="U142" s="362"/>
      <c r="V142" s="41"/>
      <c r="W142" s="362"/>
      <c r="X142" s="362"/>
      <c r="Y142" s="41"/>
      <c r="Z142" s="362"/>
      <c r="AA142" s="362"/>
      <c r="AB142" s="41"/>
      <c r="AC142" s="39"/>
      <c r="AD142" s="39"/>
    </row>
    <row r="143" spans="1:30" s="37" customFormat="1" ht="12" x14ac:dyDescent="0.2">
      <c r="C143" s="38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41"/>
      <c r="S143" s="278"/>
      <c r="T143" s="41"/>
      <c r="U143" s="362"/>
      <c r="V143" s="41"/>
      <c r="W143" s="362"/>
      <c r="X143" s="362"/>
      <c r="Y143" s="41"/>
      <c r="Z143" s="362"/>
      <c r="AA143" s="362"/>
      <c r="AB143" s="41"/>
      <c r="AC143" s="39"/>
      <c r="AD143" s="39"/>
    </row>
    <row r="144" spans="1:30" s="37" customFormat="1" ht="12" x14ac:dyDescent="0.2">
      <c r="C144" s="38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41"/>
      <c r="S144" s="278"/>
      <c r="T144" s="41"/>
      <c r="U144" s="362"/>
      <c r="V144" s="41"/>
      <c r="W144" s="362"/>
      <c r="X144" s="362"/>
      <c r="Y144" s="41"/>
      <c r="Z144" s="362"/>
      <c r="AA144" s="362"/>
      <c r="AB144" s="41"/>
      <c r="AC144" s="39"/>
      <c r="AD144" s="39"/>
    </row>
    <row r="145" spans="3:30" s="37" customFormat="1" ht="12" x14ac:dyDescent="0.2">
      <c r="C145" s="38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41"/>
      <c r="S145" s="278"/>
      <c r="T145" s="41"/>
      <c r="U145" s="362"/>
      <c r="V145" s="41"/>
      <c r="W145" s="362"/>
      <c r="X145" s="362"/>
      <c r="Y145" s="41"/>
      <c r="Z145" s="362"/>
      <c r="AA145" s="362"/>
      <c r="AB145" s="41"/>
      <c r="AC145" s="39"/>
      <c r="AD145" s="39"/>
    </row>
    <row r="146" spans="3:30" s="37" customFormat="1" ht="12" x14ac:dyDescent="0.2">
      <c r="C146" s="38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41"/>
      <c r="S146" s="278"/>
      <c r="T146" s="41"/>
      <c r="U146" s="362"/>
      <c r="V146" s="41"/>
      <c r="W146" s="362"/>
      <c r="X146" s="362"/>
      <c r="Y146" s="41"/>
      <c r="Z146" s="362"/>
      <c r="AA146" s="362"/>
      <c r="AB146" s="41"/>
      <c r="AC146" s="39"/>
      <c r="AD146" s="39"/>
    </row>
    <row r="147" spans="3:30" s="37" customFormat="1" ht="12" x14ac:dyDescent="0.2">
      <c r="C147" s="38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41"/>
      <c r="S147" s="278"/>
      <c r="T147" s="41"/>
      <c r="U147" s="362"/>
      <c r="V147" s="41"/>
      <c r="W147" s="362"/>
      <c r="X147" s="362"/>
      <c r="Y147" s="41"/>
      <c r="Z147" s="362"/>
      <c r="AA147" s="362"/>
      <c r="AB147" s="41"/>
      <c r="AC147" s="39"/>
      <c r="AD147" s="39"/>
    </row>
    <row r="148" spans="3:30" s="37" customFormat="1" ht="12" x14ac:dyDescent="0.2">
      <c r="C148" s="38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41"/>
      <c r="S148" s="278"/>
      <c r="T148" s="41"/>
      <c r="U148" s="362"/>
      <c r="V148" s="41"/>
      <c r="W148" s="362"/>
      <c r="X148" s="362"/>
      <c r="Y148" s="41"/>
      <c r="Z148" s="362"/>
      <c r="AA148" s="362"/>
      <c r="AB148" s="41"/>
      <c r="AC148" s="39"/>
      <c r="AD148" s="39"/>
    </row>
    <row r="149" spans="3:30" s="37" customFormat="1" ht="12" x14ac:dyDescent="0.2">
      <c r="C149" s="38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41"/>
      <c r="S149" s="278"/>
      <c r="T149" s="41"/>
      <c r="U149" s="362"/>
      <c r="V149" s="41"/>
      <c r="W149" s="362"/>
      <c r="X149" s="362"/>
      <c r="Y149" s="41"/>
      <c r="Z149" s="362"/>
      <c r="AA149" s="362"/>
      <c r="AB149" s="41"/>
      <c r="AC149" s="39"/>
      <c r="AD149" s="39"/>
    </row>
    <row r="150" spans="3:30" s="37" customFormat="1" ht="12" x14ac:dyDescent="0.2">
      <c r="C150" s="38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41"/>
      <c r="S150" s="278"/>
      <c r="T150" s="41"/>
      <c r="U150" s="362"/>
      <c r="V150" s="41"/>
      <c r="W150" s="362"/>
      <c r="X150" s="362"/>
      <c r="Y150" s="41"/>
      <c r="Z150" s="362"/>
      <c r="AA150" s="362"/>
      <c r="AB150" s="41"/>
      <c r="AC150" s="39"/>
      <c r="AD150" s="39"/>
    </row>
    <row r="151" spans="3:30" s="37" customFormat="1" ht="12" x14ac:dyDescent="0.2">
      <c r="C151" s="38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41"/>
      <c r="S151" s="278"/>
      <c r="T151" s="41"/>
      <c r="U151" s="362"/>
      <c r="V151" s="41"/>
      <c r="W151" s="362"/>
      <c r="X151" s="362"/>
      <c r="Y151" s="41"/>
      <c r="Z151" s="362"/>
      <c r="AA151" s="362"/>
      <c r="AB151" s="41"/>
      <c r="AC151" s="39"/>
      <c r="AD151" s="39"/>
    </row>
    <row r="152" spans="3:30" s="37" customFormat="1" ht="12" x14ac:dyDescent="0.2">
      <c r="C152" s="38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41"/>
      <c r="S152" s="278"/>
      <c r="T152" s="41"/>
      <c r="U152" s="362"/>
      <c r="V152" s="41"/>
      <c r="W152" s="362"/>
      <c r="X152" s="362"/>
      <c r="Y152" s="41"/>
      <c r="Z152" s="362"/>
      <c r="AA152" s="362"/>
      <c r="AB152" s="41"/>
      <c r="AC152" s="39"/>
      <c r="AD152" s="39"/>
    </row>
    <row r="153" spans="3:30" s="37" customFormat="1" ht="12" x14ac:dyDescent="0.2">
      <c r="C153" s="38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41"/>
      <c r="S153" s="278"/>
      <c r="T153" s="41"/>
      <c r="U153" s="362"/>
      <c r="V153" s="41"/>
      <c r="W153" s="362"/>
      <c r="X153" s="362"/>
      <c r="Y153" s="41"/>
      <c r="Z153" s="362"/>
      <c r="AA153" s="362"/>
      <c r="AB153" s="41"/>
      <c r="AC153" s="39"/>
      <c r="AD153" s="39"/>
    </row>
    <row r="154" spans="3:30" s="37" customFormat="1" ht="12" x14ac:dyDescent="0.2">
      <c r="C154" s="38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41"/>
      <c r="S154" s="278"/>
      <c r="T154" s="41"/>
      <c r="U154" s="362"/>
      <c r="V154" s="41"/>
      <c r="W154" s="362"/>
      <c r="X154" s="362"/>
      <c r="Y154" s="41"/>
      <c r="Z154" s="362"/>
      <c r="AA154" s="362"/>
      <c r="AB154" s="41"/>
      <c r="AC154" s="39"/>
      <c r="AD154" s="39"/>
    </row>
    <row r="155" spans="3:30" s="37" customFormat="1" ht="12" x14ac:dyDescent="0.2">
      <c r="C155" s="38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41"/>
      <c r="S155" s="278"/>
      <c r="T155" s="41"/>
      <c r="U155" s="362"/>
      <c r="V155" s="41"/>
      <c r="W155" s="362"/>
      <c r="X155" s="362"/>
      <c r="Y155" s="41"/>
      <c r="Z155" s="362"/>
      <c r="AA155" s="362"/>
      <c r="AB155" s="41"/>
      <c r="AC155" s="39"/>
      <c r="AD155" s="39"/>
    </row>
    <row r="156" spans="3:30" s="37" customFormat="1" ht="12" x14ac:dyDescent="0.2">
      <c r="C156" s="38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41"/>
      <c r="S156" s="278"/>
      <c r="T156" s="41"/>
      <c r="U156" s="362"/>
      <c r="V156" s="41"/>
      <c r="W156" s="362"/>
      <c r="X156" s="362"/>
      <c r="Y156" s="41"/>
      <c r="Z156" s="362"/>
      <c r="AA156" s="362"/>
      <c r="AB156" s="41"/>
      <c r="AC156" s="39"/>
      <c r="AD156" s="39"/>
    </row>
    <row r="157" spans="3:30" s="37" customFormat="1" ht="12" x14ac:dyDescent="0.2">
      <c r="C157" s="38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41"/>
      <c r="S157" s="278"/>
      <c r="T157" s="41"/>
      <c r="U157" s="362"/>
      <c r="V157" s="41"/>
      <c r="W157" s="362"/>
      <c r="X157" s="362"/>
      <c r="Y157" s="41"/>
      <c r="Z157" s="362"/>
      <c r="AA157" s="362"/>
      <c r="AB157" s="41"/>
      <c r="AC157" s="39"/>
      <c r="AD157" s="39"/>
    </row>
    <row r="158" spans="3:30" s="37" customFormat="1" ht="12" x14ac:dyDescent="0.2">
      <c r="C158" s="38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41"/>
      <c r="S158" s="278"/>
      <c r="T158" s="41"/>
      <c r="U158" s="362"/>
      <c r="V158" s="41"/>
      <c r="W158" s="362"/>
      <c r="X158" s="362"/>
      <c r="Y158" s="41"/>
      <c r="Z158" s="362"/>
      <c r="AA158" s="362"/>
      <c r="AB158" s="41"/>
      <c r="AC158" s="39"/>
      <c r="AD158" s="39"/>
    </row>
    <row r="159" spans="3:30" s="37" customFormat="1" ht="12" x14ac:dyDescent="0.2">
      <c r="C159" s="38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41"/>
      <c r="S159" s="278"/>
      <c r="T159" s="41"/>
      <c r="U159" s="362"/>
      <c r="V159" s="41"/>
      <c r="W159" s="362"/>
      <c r="X159" s="362"/>
      <c r="Y159" s="41"/>
      <c r="Z159" s="362"/>
      <c r="AA159" s="362"/>
      <c r="AB159" s="41"/>
      <c r="AC159" s="39"/>
      <c r="AD159" s="39"/>
    </row>
    <row r="160" spans="3:30" s="37" customFormat="1" ht="12" x14ac:dyDescent="0.2">
      <c r="C160" s="38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41"/>
      <c r="S160" s="278"/>
      <c r="T160" s="41"/>
      <c r="U160" s="362"/>
      <c r="V160" s="41"/>
      <c r="W160" s="362"/>
      <c r="X160" s="362"/>
      <c r="Y160" s="41"/>
      <c r="Z160" s="362"/>
      <c r="AA160" s="362"/>
      <c r="AB160" s="41"/>
      <c r="AC160" s="39"/>
      <c r="AD160" s="39"/>
    </row>
    <row r="161" spans="3:30" s="37" customFormat="1" ht="12" x14ac:dyDescent="0.2">
      <c r="C161" s="38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41"/>
      <c r="S161" s="278"/>
      <c r="T161" s="41"/>
      <c r="U161" s="362"/>
      <c r="V161" s="41"/>
      <c r="W161" s="362"/>
      <c r="X161" s="362"/>
      <c r="Y161" s="41"/>
      <c r="Z161" s="362"/>
      <c r="AA161" s="362"/>
      <c r="AB161" s="41"/>
      <c r="AC161" s="39"/>
      <c r="AD161" s="39"/>
    </row>
    <row r="162" spans="3:30" s="37" customFormat="1" ht="12" x14ac:dyDescent="0.2">
      <c r="C162" s="38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41"/>
      <c r="S162" s="278"/>
      <c r="T162" s="41"/>
      <c r="U162" s="362"/>
      <c r="V162" s="41"/>
      <c r="W162" s="362"/>
      <c r="X162" s="362"/>
      <c r="Y162" s="41"/>
      <c r="Z162" s="362"/>
      <c r="AA162" s="362"/>
      <c r="AB162" s="41"/>
      <c r="AC162" s="39"/>
      <c r="AD162" s="39"/>
    </row>
    <row r="163" spans="3:30" s="37" customFormat="1" ht="12" x14ac:dyDescent="0.2">
      <c r="C163" s="38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41"/>
      <c r="S163" s="278"/>
      <c r="T163" s="41"/>
      <c r="U163" s="362"/>
      <c r="V163" s="41"/>
      <c r="W163" s="362"/>
      <c r="X163" s="362"/>
      <c r="Y163" s="41"/>
      <c r="Z163" s="362"/>
      <c r="AA163" s="362"/>
      <c r="AB163" s="41"/>
      <c r="AC163" s="39"/>
      <c r="AD163" s="39"/>
    </row>
    <row r="164" spans="3:30" s="37" customFormat="1" ht="12" x14ac:dyDescent="0.2">
      <c r="C164" s="38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41"/>
      <c r="S164" s="278"/>
      <c r="T164" s="41"/>
      <c r="U164" s="362"/>
      <c r="V164" s="41"/>
      <c r="W164" s="362"/>
      <c r="X164" s="362"/>
      <c r="Y164" s="41"/>
      <c r="Z164" s="362"/>
      <c r="AA164" s="362"/>
      <c r="AB164" s="41"/>
      <c r="AC164" s="39"/>
      <c r="AD164" s="39"/>
    </row>
    <row r="165" spans="3:30" s="37" customFormat="1" ht="12" x14ac:dyDescent="0.2">
      <c r="C165" s="38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41"/>
      <c r="S165" s="278"/>
      <c r="T165" s="41"/>
      <c r="U165" s="362"/>
      <c r="V165" s="41"/>
      <c r="W165" s="362"/>
      <c r="X165" s="362"/>
      <c r="Y165" s="41"/>
      <c r="Z165" s="362"/>
      <c r="AA165" s="362"/>
      <c r="AB165" s="41"/>
      <c r="AC165" s="39"/>
      <c r="AD165" s="39"/>
    </row>
    <row r="166" spans="3:30" s="37" customFormat="1" ht="12" x14ac:dyDescent="0.2">
      <c r="C166" s="38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41"/>
      <c r="S166" s="278"/>
      <c r="T166" s="41"/>
      <c r="U166" s="362"/>
      <c r="V166" s="41"/>
      <c r="W166" s="362"/>
      <c r="X166" s="362"/>
      <c r="Y166" s="41"/>
      <c r="Z166" s="362"/>
      <c r="AA166" s="362"/>
      <c r="AB166" s="41"/>
      <c r="AC166" s="39"/>
      <c r="AD166" s="39"/>
    </row>
    <row r="167" spans="3:30" s="37" customFormat="1" ht="12" x14ac:dyDescent="0.2">
      <c r="C167" s="38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41"/>
      <c r="S167" s="278"/>
      <c r="T167" s="41"/>
      <c r="U167" s="362"/>
      <c r="V167" s="41"/>
      <c r="W167" s="362"/>
      <c r="X167" s="362"/>
      <c r="Y167" s="41"/>
      <c r="Z167" s="362"/>
      <c r="AA167" s="362"/>
      <c r="AB167" s="41"/>
      <c r="AC167" s="39"/>
      <c r="AD167" s="39"/>
    </row>
    <row r="168" spans="3:30" s="37" customFormat="1" ht="12" x14ac:dyDescent="0.2">
      <c r="C168" s="38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41"/>
      <c r="S168" s="278"/>
      <c r="T168" s="41"/>
      <c r="U168" s="362"/>
      <c r="V168" s="41"/>
      <c r="W168" s="362"/>
      <c r="X168" s="362"/>
      <c r="Y168" s="41"/>
      <c r="Z168" s="362"/>
      <c r="AA168" s="362"/>
      <c r="AB168" s="41"/>
      <c r="AC168" s="39"/>
      <c r="AD168" s="39"/>
    </row>
    <row r="169" spans="3:30" s="37" customFormat="1" ht="12" x14ac:dyDescent="0.2">
      <c r="C169" s="38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41"/>
      <c r="S169" s="278"/>
      <c r="T169" s="41"/>
      <c r="U169" s="362"/>
      <c r="V169" s="41"/>
      <c r="W169" s="362"/>
      <c r="X169" s="362"/>
      <c r="Y169" s="41"/>
      <c r="Z169" s="362"/>
      <c r="AA169" s="362"/>
      <c r="AB169" s="41"/>
      <c r="AC169" s="39"/>
      <c r="AD169" s="39"/>
    </row>
    <row r="170" spans="3:30" s="37" customFormat="1" ht="12" x14ac:dyDescent="0.2">
      <c r="C170" s="38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41"/>
      <c r="S170" s="278"/>
      <c r="T170" s="41"/>
      <c r="U170" s="362"/>
      <c r="V170" s="41"/>
      <c r="W170" s="362"/>
      <c r="X170" s="362"/>
      <c r="Y170" s="41"/>
      <c r="Z170" s="362"/>
      <c r="AA170" s="362"/>
      <c r="AB170" s="41"/>
      <c r="AC170" s="39"/>
      <c r="AD170" s="39"/>
    </row>
    <row r="171" spans="3:30" s="37" customFormat="1" ht="12" x14ac:dyDescent="0.2">
      <c r="C171" s="38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41"/>
      <c r="S171" s="278"/>
      <c r="T171" s="41"/>
      <c r="U171" s="362"/>
      <c r="V171" s="41"/>
      <c r="W171" s="362"/>
      <c r="X171" s="362"/>
      <c r="Y171" s="41"/>
      <c r="Z171" s="362"/>
      <c r="AA171" s="362"/>
      <c r="AB171" s="41"/>
      <c r="AC171" s="39"/>
      <c r="AD171" s="39"/>
    </row>
    <row r="172" spans="3:30" s="37" customFormat="1" ht="12" x14ac:dyDescent="0.2">
      <c r="C172" s="38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41"/>
      <c r="S172" s="278"/>
      <c r="T172" s="41"/>
      <c r="U172" s="362"/>
      <c r="V172" s="41"/>
      <c r="W172" s="362"/>
      <c r="X172" s="362"/>
      <c r="Y172" s="41"/>
      <c r="Z172" s="362"/>
      <c r="AA172" s="362"/>
      <c r="AB172" s="41"/>
      <c r="AC172" s="39"/>
      <c r="AD172" s="39"/>
    </row>
    <row r="173" spans="3:30" s="37" customFormat="1" ht="12" x14ac:dyDescent="0.2">
      <c r="C173" s="38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41"/>
      <c r="S173" s="278"/>
      <c r="T173" s="41"/>
      <c r="U173" s="362"/>
      <c r="V173" s="41"/>
      <c r="W173" s="362"/>
      <c r="X173" s="362"/>
      <c r="Y173" s="41"/>
      <c r="Z173" s="362"/>
      <c r="AA173" s="362"/>
      <c r="AB173" s="41"/>
      <c r="AC173" s="39"/>
      <c r="AD173" s="39"/>
    </row>
    <row r="174" spans="3:30" s="37" customFormat="1" ht="12" x14ac:dyDescent="0.2">
      <c r="C174" s="38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41"/>
      <c r="S174" s="278"/>
      <c r="T174" s="41"/>
      <c r="U174" s="362"/>
      <c r="V174" s="41"/>
      <c r="W174" s="362"/>
      <c r="X174" s="362"/>
      <c r="Y174" s="41"/>
      <c r="Z174" s="362"/>
      <c r="AA174" s="362"/>
      <c r="AB174" s="41"/>
      <c r="AC174" s="39"/>
      <c r="AD174" s="39"/>
    </row>
    <row r="175" spans="3:30" s="37" customFormat="1" ht="12" x14ac:dyDescent="0.2">
      <c r="C175" s="38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41"/>
      <c r="S175" s="278"/>
      <c r="T175" s="41"/>
      <c r="U175" s="362"/>
      <c r="V175" s="41"/>
      <c r="W175" s="362"/>
      <c r="X175" s="362"/>
      <c r="Y175" s="41"/>
      <c r="Z175" s="362"/>
      <c r="AA175" s="362"/>
      <c r="AB175" s="41"/>
      <c r="AC175" s="39"/>
      <c r="AD175" s="39"/>
    </row>
    <row r="176" spans="3:30" s="37" customFormat="1" ht="12" x14ac:dyDescent="0.2">
      <c r="C176" s="38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41"/>
      <c r="S176" s="278"/>
      <c r="T176" s="41"/>
      <c r="U176" s="362"/>
      <c r="V176" s="41"/>
      <c r="W176" s="362"/>
      <c r="X176" s="362"/>
      <c r="Y176" s="41"/>
      <c r="Z176" s="362"/>
      <c r="AA176" s="362"/>
      <c r="AB176" s="41"/>
      <c r="AC176" s="39"/>
      <c r="AD176" s="39"/>
    </row>
    <row r="177" spans="3:30" s="37" customFormat="1" ht="12" x14ac:dyDescent="0.2">
      <c r="C177" s="38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41"/>
      <c r="S177" s="278"/>
      <c r="T177" s="41"/>
      <c r="U177" s="362"/>
      <c r="V177" s="41"/>
      <c r="W177" s="362"/>
      <c r="X177" s="362"/>
      <c r="Y177" s="41"/>
      <c r="Z177" s="362"/>
      <c r="AA177" s="362"/>
      <c r="AB177" s="41"/>
      <c r="AC177" s="39"/>
      <c r="AD177" s="39"/>
    </row>
    <row r="178" spans="3:30" s="37" customFormat="1" ht="12" x14ac:dyDescent="0.2">
      <c r="C178" s="38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41"/>
      <c r="S178" s="278"/>
      <c r="T178" s="41"/>
      <c r="U178" s="362"/>
      <c r="V178" s="41"/>
      <c r="W178" s="362"/>
      <c r="X178" s="362"/>
      <c r="Y178" s="41"/>
      <c r="Z178" s="362"/>
      <c r="AA178" s="362"/>
      <c r="AB178" s="41"/>
      <c r="AC178" s="39"/>
      <c r="AD178" s="39"/>
    </row>
    <row r="179" spans="3:30" s="37" customFormat="1" ht="12" x14ac:dyDescent="0.2">
      <c r="C179" s="38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41"/>
      <c r="S179" s="278"/>
      <c r="T179" s="41"/>
      <c r="U179" s="362"/>
      <c r="V179" s="41"/>
      <c r="W179" s="362"/>
      <c r="X179" s="362"/>
      <c r="Y179" s="41"/>
      <c r="Z179" s="362"/>
      <c r="AA179" s="362"/>
      <c r="AB179" s="41"/>
      <c r="AC179" s="39"/>
      <c r="AD179" s="39"/>
    </row>
    <row r="180" spans="3:30" s="37" customFormat="1" ht="12" x14ac:dyDescent="0.2">
      <c r="C180" s="38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41"/>
      <c r="S180" s="278"/>
      <c r="T180" s="41"/>
      <c r="U180" s="362"/>
      <c r="V180" s="41"/>
      <c r="W180" s="362"/>
      <c r="X180" s="362"/>
      <c r="Y180" s="41"/>
      <c r="Z180" s="362"/>
      <c r="AA180" s="362"/>
      <c r="AB180" s="41"/>
      <c r="AC180" s="39"/>
      <c r="AD180" s="39"/>
    </row>
    <row r="181" spans="3:30" s="37" customFormat="1" ht="12" x14ac:dyDescent="0.2">
      <c r="C181" s="38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41"/>
      <c r="S181" s="278"/>
      <c r="T181" s="41"/>
      <c r="U181" s="362"/>
      <c r="V181" s="41"/>
      <c r="W181" s="362"/>
      <c r="X181" s="362"/>
      <c r="Y181" s="41"/>
      <c r="Z181" s="362"/>
      <c r="AA181" s="362"/>
      <c r="AB181" s="41"/>
      <c r="AC181" s="39"/>
      <c r="AD181" s="39"/>
    </row>
    <row r="182" spans="3:30" s="37" customFormat="1" ht="12" x14ac:dyDescent="0.2">
      <c r="C182" s="38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41"/>
      <c r="S182" s="278"/>
      <c r="T182" s="41"/>
      <c r="U182" s="362"/>
      <c r="V182" s="41"/>
      <c r="W182" s="362"/>
      <c r="X182" s="362"/>
      <c r="Y182" s="41"/>
      <c r="Z182" s="362"/>
      <c r="AA182" s="362"/>
      <c r="AB182" s="41"/>
      <c r="AC182" s="39"/>
      <c r="AD182" s="39"/>
    </row>
    <row r="183" spans="3:30" s="37" customFormat="1" ht="12" x14ac:dyDescent="0.2">
      <c r="C183" s="38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41"/>
      <c r="S183" s="278"/>
      <c r="T183" s="41"/>
      <c r="U183" s="362"/>
      <c r="V183" s="41"/>
      <c r="W183" s="362"/>
      <c r="X183" s="362"/>
      <c r="Y183" s="41"/>
      <c r="Z183" s="362"/>
      <c r="AA183" s="362"/>
      <c r="AB183" s="41"/>
      <c r="AC183" s="39"/>
      <c r="AD183" s="39"/>
    </row>
    <row r="184" spans="3:30" s="37" customFormat="1" ht="12" x14ac:dyDescent="0.2">
      <c r="C184" s="38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41"/>
      <c r="S184" s="278"/>
      <c r="T184" s="41"/>
      <c r="U184" s="362"/>
      <c r="V184" s="41"/>
      <c r="W184" s="362"/>
      <c r="X184" s="362"/>
      <c r="Y184" s="41"/>
      <c r="Z184" s="362"/>
      <c r="AA184" s="362"/>
      <c r="AB184" s="41"/>
      <c r="AC184" s="39"/>
      <c r="AD184" s="39"/>
    </row>
    <row r="185" spans="3:30" s="37" customFormat="1" ht="12" x14ac:dyDescent="0.2">
      <c r="C185" s="38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41"/>
      <c r="S185" s="278"/>
      <c r="T185" s="41"/>
      <c r="U185" s="362"/>
      <c r="V185" s="41"/>
      <c r="W185" s="362"/>
      <c r="X185" s="362"/>
      <c r="Y185" s="41"/>
      <c r="Z185" s="362"/>
      <c r="AA185" s="362"/>
      <c r="AB185" s="41"/>
      <c r="AC185" s="39"/>
      <c r="AD185" s="39"/>
    </row>
    <row r="186" spans="3:30" s="37" customFormat="1" ht="12" x14ac:dyDescent="0.2">
      <c r="C186" s="38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41"/>
      <c r="S186" s="278"/>
      <c r="T186" s="41"/>
      <c r="U186" s="362"/>
      <c r="V186" s="41"/>
      <c r="W186" s="362"/>
      <c r="X186" s="362"/>
      <c r="Y186" s="41"/>
      <c r="Z186" s="362"/>
      <c r="AA186" s="362"/>
      <c r="AB186" s="41"/>
      <c r="AC186" s="39"/>
      <c r="AD186" s="39"/>
    </row>
    <row r="187" spans="3:30" s="37" customFormat="1" ht="12" x14ac:dyDescent="0.2">
      <c r="C187" s="38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41"/>
      <c r="S187" s="278"/>
      <c r="T187" s="41"/>
      <c r="U187" s="362"/>
      <c r="V187" s="41"/>
      <c r="W187" s="362"/>
      <c r="X187" s="362"/>
      <c r="Y187" s="41"/>
      <c r="Z187" s="362"/>
      <c r="AA187" s="362"/>
      <c r="AB187" s="41"/>
      <c r="AC187" s="39"/>
      <c r="AD187" s="39"/>
    </row>
    <row r="188" spans="3:30" s="37" customFormat="1" ht="12" x14ac:dyDescent="0.2">
      <c r="C188" s="38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41"/>
      <c r="S188" s="278"/>
      <c r="T188" s="41"/>
      <c r="U188" s="362"/>
      <c r="V188" s="41"/>
      <c r="W188" s="362"/>
      <c r="X188" s="362"/>
      <c r="Y188" s="41"/>
      <c r="Z188" s="362"/>
      <c r="AA188" s="362"/>
      <c r="AB188" s="41"/>
      <c r="AC188" s="39"/>
      <c r="AD188" s="39"/>
    </row>
    <row r="189" spans="3:30" s="37" customFormat="1" ht="12" x14ac:dyDescent="0.2">
      <c r="C189" s="38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41"/>
      <c r="S189" s="278"/>
      <c r="T189" s="41"/>
      <c r="U189" s="362"/>
      <c r="V189" s="41"/>
      <c r="W189" s="362"/>
      <c r="X189" s="362"/>
      <c r="Y189" s="41"/>
      <c r="Z189" s="362"/>
      <c r="AA189" s="362"/>
      <c r="AB189" s="41"/>
      <c r="AC189" s="39"/>
      <c r="AD189" s="39"/>
    </row>
    <row r="190" spans="3:30" s="37" customFormat="1" ht="12" x14ac:dyDescent="0.2">
      <c r="C190" s="38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41"/>
      <c r="S190" s="278"/>
      <c r="T190" s="41"/>
      <c r="U190" s="362"/>
      <c r="V190" s="41"/>
      <c r="W190" s="362"/>
      <c r="X190" s="362"/>
      <c r="Y190" s="41"/>
      <c r="Z190" s="362"/>
      <c r="AA190" s="362"/>
      <c r="AB190" s="41"/>
      <c r="AC190" s="39"/>
      <c r="AD190" s="39"/>
    </row>
    <row r="191" spans="3:30" s="37" customFormat="1" ht="12" x14ac:dyDescent="0.2">
      <c r="C191" s="38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41"/>
      <c r="S191" s="278"/>
      <c r="T191" s="41"/>
      <c r="U191" s="362"/>
      <c r="V191" s="41"/>
      <c r="W191" s="362"/>
      <c r="X191" s="362"/>
      <c r="Y191" s="41"/>
      <c r="Z191" s="362"/>
      <c r="AA191" s="362"/>
      <c r="AB191" s="41"/>
      <c r="AC191" s="39"/>
      <c r="AD191" s="39"/>
    </row>
    <row r="192" spans="3:30" s="37" customFormat="1" ht="12" x14ac:dyDescent="0.2">
      <c r="C192" s="38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41"/>
      <c r="S192" s="278"/>
      <c r="T192" s="41"/>
      <c r="U192" s="362"/>
      <c r="V192" s="41"/>
      <c r="W192" s="362"/>
      <c r="X192" s="362"/>
      <c r="Y192" s="41"/>
      <c r="Z192" s="362"/>
      <c r="AA192" s="362"/>
      <c r="AB192" s="41"/>
      <c r="AC192" s="39"/>
      <c r="AD192" s="39"/>
    </row>
    <row r="193" spans="3:30" s="37" customFormat="1" ht="12" x14ac:dyDescent="0.2">
      <c r="C193" s="38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41"/>
      <c r="S193" s="278"/>
      <c r="T193" s="41"/>
      <c r="U193" s="362"/>
      <c r="V193" s="41"/>
      <c r="W193" s="362"/>
      <c r="X193" s="362"/>
      <c r="Y193" s="41"/>
      <c r="Z193" s="362"/>
      <c r="AA193" s="362"/>
      <c r="AB193" s="41"/>
      <c r="AC193" s="39"/>
      <c r="AD193" s="39"/>
    </row>
    <row r="194" spans="3:30" s="37" customFormat="1" ht="12" x14ac:dyDescent="0.2">
      <c r="C194" s="38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41"/>
      <c r="S194" s="278"/>
      <c r="T194" s="41"/>
      <c r="U194" s="362"/>
      <c r="V194" s="41"/>
      <c r="W194" s="362"/>
      <c r="X194" s="362"/>
      <c r="Y194" s="41"/>
      <c r="Z194" s="362"/>
      <c r="AA194" s="362"/>
      <c r="AB194" s="41"/>
      <c r="AC194" s="39"/>
      <c r="AD194" s="39"/>
    </row>
    <row r="195" spans="3:30" s="37" customFormat="1" ht="12" x14ac:dyDescent="0.2">
      <c r="C195" s="38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41"/>
      <c r="S195" s="278"/>
      <c r="T195" s="41"/>
      <c r="U195" s="362"/>
      <c r="V195" s="41"/>
      <c r="W195" s="362"/>
      <c r="X195" s="362"/>
      <c r="Y195" s="41"/>
      <c r="Z195" s="362"/>
      <c r="AA195" s="362"/>
      <c r="AB195" s="41"/>
      <c r="AC195" s="39"/>
      <c r="AD195" s="39"/>
    </row>
    <row r="196" spans="3:30" s="37" customFormat="1" ht="12" x14ac:dyDescent="0.2">
      <c r="C196" s="38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41"/>
      <c r="S196" s="278"/>
      <c r="T196" s="41"/>
      <c r="U196" s="362"/>
      <c r="V196" s="41"/>
      <c r="W196" s="362"/>
      <c r="X196" s="362"/>
      <c r="Y196" s="41"/>
      <c r="Z196" s="362"/>
      <c r="AA196" s="362"/>
      <c r="AB196" s="41"/>
      <c r="AC196" s="39"/>
      <c r="AD196" s="39"/>
    </row>
    <row r="197" spans="3:30" s="37" customFormat="1" ht="12" x14ac:dyDescent="0.2">
      <c r="C197" s="38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41"/>
      <c r="S197" s="278"/>
      <c r="T197" s="41"/>
      <c r="U197" s="362"/>
      <c r="V197" s="41"/>
      <c r="W197" s="362"/>
      <c r="X197" s="362"/>
      <c r="Y197" s="41"/>
      <c r="Z197" s="362"/>
      <c r="AA197" s="362"/>
      <c r="AB197" s="41"/>
      <c r="AC197" s="39"/>
      <c r="AD197" s="39"/>
    </row>
    <row r="198" spans="3:30" s="37" customFormat="1" ht="12" x14ac:dyDescent="0.2">
      <c r="C198" s="38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41"/>
      <c r="S198" s="278"/>
      <c r="T198" s="41"/>
      <c r="U198" s="362"/>
      <c r="V198" s="41"/>
      <c r="W198" s="362"/>
      <c r="X198" s="362"/>
      <c r="Y198" s="41"/>
      <c r="Z198" s="362"/>
      <c r="AA198" s="362"/>
      <c r="AB198" s="41"/>
      <c r="AC198" s="39"/>
      <c r="AD198" s="39"/>
    </row>
    <row r="199" spans="3:30" s="37" customFormat="1" ht="12" x14ac:dyDescent="0.2">
      <c r="C199" s="38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41"/>
      <c r="S199" s="278"/>
      <c r="T199" s="41"/>
      <c r="U199" s="362"/>
      <c r="V199" s="41"/>
      <c r="W199" s="362"/>
      <c r="X199" s="362"/>
      <c r="Y199" s="41"/>
      <c r="Z199" s="362"/>
      <c r="AA199" s="362"/>
      <c r="AB199" s="41"/>
      <c r="AC199" s="39"/>
      <c r="AD199" s="39"/>
    </row>
    <row r="200" spans="3:30" s="37" customFormat="1" ht="12" x14ac:dyDescent="0.2">
      <c r="C200" s="38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41"/>
      <c r="S200" s="278"/>
      <c r="T200" s="41"/>
      <c r="U200" s="362"/>
      <c r="V200" s="41"/>
      <c r="W200" s="362"/>
      <c r="X200" s="362"/>
      <c r="Y200" s="41"/>
      <c r="Z200" s="362"/>
      <c r="AA200" s="362"/>
      <c r="AB200" s="41"/>
      <c r="AC200" s="39"/>
      <c r="AD200" s="39"/>
    </row>
    <row r="201" spans="3:30" s="37" customFormat="1" ht="12" x14ac:dyDescent="0.2">
      <c r="C201" s="38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41"/>
      <c r="S201" s="278"/>
      <c r="T201" s="41"/>
      <c r="U201" s="362"/>
      <c r="V201" s="41"/>
      <c r="W201" s="362"/>
      <c r="X201" s="362"/>
      <c r="Y201" s="41"/>
      <c r="Z201" s="362"/>
      <c r="AA201" s="362"/>
      <c r="AB201" s="41"/>
      <c r="AC201" s="39"/>
      <c r="AD201" s="39"/>
    </row>
    <row r="202" spans="3:30" s="37" customFormat="1" ht="12" x14ac:dyDescent="0.2">
      <c r="C202" s="38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41"/>
      <c r="S202" s="278"/>
      <c r="T202" s="41"/>
      <c r="U202" s="362"/>
      <c r="V202" s="41"/>
      <c r="W202" s="362"/>
      <c r="X202" s="362"/>
      <c r="Y202" s="41"/>
      <c r="Z202" s="362"/>
      <c r="AA202" s="362"/>
      <c r="AB202" s="41"/>
      <c r="AC202" s="39"/>
      <c r="AD202" s="39"/>
    </row>
    <row r="203" spans="3:30" s="37" customFormat="1" ht="12" x14ac:dyDescent="0.2">
      <c r="C203" s="38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41"/>
      <c r="S203" s="278"/>
      <c r="T203" s="41"/>
      <c r="U203" s="362"/>
      <c r="V203" s="41"/>
      <c r="W203" s="362"/>
      <c r="X203" s="362"/>
      <c r="Y203" s="41"/>
      <c r="Z203" s="362"/>
      <c r="AA203" s="362"/>
      <c r="AB203" s="41"/>
      <c r="AC203" s="39"/>
      <c r="AD203" s="39"/>
    </row>
    <row r="204" spans="3:30" s="37" customFormat="1" ht="12" x14ac:dyDescent="0.2">
      <c r="C204" s="38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41"/>
      <c r="S204" s="278"/>
      <c r="T204" s="41"/>
      <c r="U204" s="362"/>
      <c r="V204" s="41"/>
      <c r="W204" s="362"/>
      <c r="X204" s="362"/>
      <c r="Y204" s="41"/>
      <c r="Z204" s="362"/>
      <c r="AA204" s="362"/>
      <c r="AB204" s="41"/>
      <c r="AC204" s="39"/>
      <c r="AD204" s="39"/>
    </row>
    <row r="205" spans="3:30" s="37" customFormat="1" ht="12" x14ac:dyDescent="0.2">
      <c r="C205" s="38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41"/>
      <c r="S205" s="278"/>
      <c r="T205" s="41"/>
      <c r="U205" s="362"/>
      <c r="V205" s="41"/>
      <c r="W205" s="362"/>
      <c r="X205" s="362"/>
      <c r="Y205" s="41"/>
      <c r="Z205" s="362"/>
      <c r="AA205" s="362"/>
      <c r="AB205" s="41"/>
      <c r="AC205" s="39"/>
      <c r="AD205" s="39"/>
    </row>
    <row r="206" spans="3:30" s="37" customFormat="1" ht="12" x14ac:dyDescent="0.2">
      <c r="C206" s="38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41"/>
      <c r="S206" s="278"/>
      <c r="T206" s="41"/>
      <c r="U206" s="362"/>
      <c r="V206" s="41"/>
      <c r="W206" s="362"/>
      <c r="X206" s="362"/>
      <c r="Y206" s="41"/>
      <c r="Z206" s="362"/>
      <c r="AA206" s="362"/>
      <c r="AB206" s="41"/>
      <c r="AC206" s="39"/>
      <c r="AD206" s="39"/>
    </row>
    <row r="207" spans="3:30" s="37" customFormat="1" ht="12" x14ac:dyDescent="0.2">
      <c r="C207" s="38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41"/>
      <c r="S207" s="278"/>
      <c r="T207" s="41"/>
      <c r="U207" s="362"/>
      <c r="V207" s="41"/>
      <c r="W207" s="362"/>
      <c r="X207" s="362"/>
      <c r="Y207" s="41"/>
      <c r="Z207" s="362"/>
      <c r="AA207" s="362"/>
      <c r="AB207" s="41"/>
      <c r="AC207" s="39"/>
      <c r="AD207" s="39"/>
    </row>
    <row r="208" spans="3:30" s="37" customFormat="1" ht="12" x14ac:dyDescent="0.2">
      <c r="C208" s="38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41"/>
      <c r="S208" s="278"/>
      <c r="T208" s="41"/>
      <c r="U208" s="362"/>
      <c r="V208" s="41"/>
      <c r="W208" s="362"/>
      <c r="X208" s="362"/>
      <c r="Y208" s="41"/>
      <c r="Z208" s="362"/>
      <c r="AA208" s="362"/>
      <c r="AB208" s="41"/>
      <c r="AC208" s="39"/>
      <c r="AD208" s="39"/>
    </row>
    <row r="209" spans="3:30" s="37" customFormat="1" ht="12" x14ac:dyDescent="0.2">
      <c r="C209" s="38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41"/>
      <c r="S209" s="278"/>
      <c r="T209" s="41"/>
      <c r="U209" s="362"/>
      <c r="V209" s="41"/>
      <c r="W209" s="362"/>
      <c r="X209" s="362"/>
      <c r="Y209" s="41"/>
      <c r="Z209" s="362"/>
      <c r="AA209" s="362"/>
      <c r="AB209" s="41"/>
      <c r="AC209" s="39"/>
      <c r="AD209" s="39"/>
    </row>
    <row r="210" spans="3:30" s="37" customFormat="1" ht="12" x14ac:dyDescent="0.2">
      <c r="C210" s="38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41"/>
      <c r="S210" s="278"/>
      <c r="T210" s="41"/>
      <c r="U210" s="362"/>
      <c r="V210" s="41"/>
      <c r="W210" s="362"/>
      <c r="X210" s="362"/>
      <c r="Y210" s="41"/>
      <c r="Z210" s="362"/>
      <c r="AA210" s="362"/>
      <c r="AB210" s="41"/>
      <c r="AC210" s="39"/>
      <c r="AD210" s="39"/>
    </row>
    <row r="211" spans="3:30" s="37" customFormat="1" ht="12" x14ac:dyDescent="0.2">
      <c r="C211" s="38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41"/>
      <c r="S211" s="278"/>
      <c r="T211" s="41"/>
      <c r="U211" s="362"/>
      <c r="V211" s="41"/>
      <c r="W211" s="362"/>
      <c r="X211" s="362"/>
      <c r="Y211" s="41"/>
      <c r="Z211" s="362"/>
      <c r="AA211" s="362"/>
      <c r="AB211" s="41"/>
      <c r="AC211" s="39"/>
      <c r="AD211" s="39"/>
    </row>
    <row r="212" spans="3:30" s="37" customFormat="1" ht="12" x14ac:dyDescent="0.2">
      <c r="C212" s="38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41"/>
      <c r="S212" s="278"/>
      <c r="T212" s="41"/>
      <c r="U212" s="362"/>
      <c r="V212" s="41"/>
      <c r="W212" s="362"/>
      <c r="X212" s="362"/>
      <c r="Y212" s="41"/>
      <c r="Z212" s="362"/>
      <c r="AA212" s="362"/>
      <c r="AB212" s="41"/>
      <c r="AC212" s="39"/>
      <c r="AD212" s="39"/>
    </row>
    <row r="213" spans="3:30" s="37" customFormat="1" ht="12" x14ac:dyDescent="0.2">
      <c r="C213" s="38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41"/>
      <c r="S213" s="278"/>
      <c r="T213" s="41"/>
      <c r="U213" s="362"/>
      <c r="V213" s="41"/>
      <c r="W213" s="362"/>
      <c r="X213" s="362"/>
      <c r="Y213" s="41"/>
      <c r="Z213" s="362"/>
      <c r="AA213" s="362"/>
      <c r="AB213" s="41"/>
      <c r="AC213" s="39"/>
      <c r="AD213" s="39"/>
    </row>
    <row r="214" spans="3:30" s="37" customFormat="1" ht="12" x14ac:dyDescent="0.2">
      <c r="C214" s="38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41"/>
      <c r="S214" s="278"/>
      <c r="T214" s="41"/>
      <c r="U214" s="362"/>
      <c r="V214" s="41"/>
      <c r="W214" s="362"/>
      <c r="X214" s="362"/>
      <c r="Y214" s="41"/>
      <c r="Z214" s="362"/>
      <c r="AA214" s="362"/>
      <c r="AB214" s="41"/>
      <c r="AC214" s="39"/>
      <c r="AD214" s="39"/>
    </row>
    <row r="215" spans="3:30" s="37" customFormat="1" ht="12" x14ac:dyDescent="0.2">
      <c r="C215" s="38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41"/>
      <c r="S215" s="278"/>
      <c r="T215" s="41"/>
      <c r="U215" s="362"/>
      <c r="V215" s="41"/>
      <c r="W215" s="362"/>
      <c r="X215" s="362"/>
      <c r="Y215" s="41"/>
      <c r="Z215" s="362"/>
      <c r="AA215" s="362"/>
      <c r="AB215" s="41"/>
      <c r="AC215" s="39"/>
      <c r="AD215" s="39"/>
    </row>
    <row r="216" spans="3:30" s="37" customFormat="1" ht="12" x14ac:dyDescent="0.2">
      <c r="C216" s="38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41"/>
      <c r="S216" s="278"/>
      <c r="T216" s="41"/>
      <c r="U216" s="362"/>
      <c r="V216" s="41"/>
      <c r="W216" s="362"/>
      <c r="X216" s="362"/>
      <c r="Y216" s="41"/>
      <c r="Z216" s="362"/>
      <c r="AA216" s="362"/>
      <c r="AB216" s="41"/>
      <c r="AC216" s="39"/>
      <c r="AD216" s="39"/>
    </row>
    <row r="217" spans="3:30" s="37" customFormat="1" ht="12" x14ac:dyDescent="0.2">
      <c r="C217" s="38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41"/>
      <c r="S217" s="278"/>
      <c r="T217" s="41"/>
      <c r="U217" s="362"/>
      <c r="V217" s="41"/>
      <c r="W217" s="362"/>
      <c r="X217" s="362"/>
      <c r="Y217" s="41"/>
      <c r="Z217" s="362"/>
      <c r="AA217" s="362"/>
      <c r="AB217" s="41"/>
      <c r="AC217" s="39"/>
      <c r="AD217" s="39"/>
    </row>
    <row r="218" spans="3:30" s="37" customFormat="1" ht="12" x14ac:dyDescent="0.2">
      <c r="C218" s="38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41"/>
      <c r="S218" s="278"/>
      <c r="T218" s="41"/>
      <c r="U218" s="362"/>
      <c r="V218" s="41"/>
      <c r="W218" s="362"/>
      <c r="X218" s="362"/>
      <c r="Y218" s="41"/>
      <c r="Z218" s="362"/>
      <c r="AA218" s="362"/>
      <c r="AB218" s="41"/>
      <c r="AC218" s="39"/>
      <c r="AD218" s="39"/>
    </row>
    <row r="219" spans="3:30" s="37" customFormat="1" ht="12" x14ac:dyDescent="0.2">
      <c r="C219" s="38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41"/>
      <c r="S219" s="278"/>
      <c r="T219" s="41"/>
      <c r="U219" s="362"/>
      <c r="V219" s="41"/>
      <c r="W219" s="362"/>
      <c r="X219" s="362"/>
      <c r="Y219" s="41"/>
      <c r="Z219" s="362"/>
      <c r="AA219" s="362"/>
      <c r="AB219" s="41"/>
      <c r="AC219" s="39"/>
      <c r="AD219" s="39"/>
    </row>
    <row r="220" spans="3:30" s="37" customFormat="1" ht="12" x14ac:dyDescent="0.2">
      <c r="C220" s="38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41"/>
      <c r="S220" s="278"/>
      <c r="T220" s="41"/>
      <c r="U220" s="362"/>
      <c r="V220" s="41"/>
      <c r="W220" s="362"/>
      <c r="X220" s="362"/>
      <c r="Y220" s="41"/>
      <c r="Z220" s="362"/>
      <c r="AA220" s="362"/>
      <c r="AB220" s="41"/>
      <c r="AC220" s="39"/>
      <c r="AD220" s="39"/>
    </row>
    <row r="221" spans="3:30" s="37" customFormat="1" ht="12" x14ac:dyDescent="0.2">
      <c r="C221" s="38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41"/>
      <c r="S221" s="278"/>
      <c r="T221" s="41"/>
      <c r="U221" s="362"/>
      <c r="V221" s="41"/>
      <c r="W221" s="362"/>
      <c r="X221" s="362"/>
      <c r="Y221" s="41"/>
      <c r="Z221" s="362"/>
      <c r="AA221" s="362"/>
      <c r="AB221" s="41"/>
      <c r="AC221" s="39"/>
      <c r="AD221" s="39"/>
    </row>
    <row r="222" spans="3:30" s="37" customFormat="1" ht="12" x14ac:dyDescent="0.2">
      <c r="C222" s="38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41"/>
      <c r="S222" s="278"/>
      <c r="T222" s="41"/>
      <c r="U222" s="362"/>
      <c r="V222" s="41"/>
      <c r="W222" s="362"/>
      <c r="X222" s="362"/>
      <c r="Y222" s="41"/>
      <c r="Z222" s="362"/>
      <c r="AA222" s="362"/>
      <c r="AB222" s="41"/>
      <c r="AC222" s="39"/>
      <c r="AD222" s="39"/>
    </row>
    <row r="223" spans="3:30" s="37" customFormat="1" ht="12" x14ac:dyDescent="0.2">
      <c r="C223" s="38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41"/>
      <c r="S223" s="278"/>
      <c r="T223" s="41"/>
      <c r="U223" s="362"/>
      <c r="V223" s="41"/>
      <c r="W223" s="362"/>
      <c r="X223" s="362"/>
      <c r="Y223" s="41"/>
      <c r="Z223" s="362"/>
      <c r="AA223" s="362"/>
      <c r="AB223" s="41"/>
      <c r="AC223" s="39"/>
      <c r="AD223" s="39"/>
    </row>
    <row r="224" spans="3:30" s="37" customFormat="1" ht="12" x14ac:dyDescent="0.2">
      <c r="C224" s="38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41"/>
      <c r="S224" s="278"/>
      <c r="T224" s="41"/>
      <c r="U224" s="362"/>
      <c r="V224" s="41"/>
      <c r="W224" s="362"/>
      <c r="X224" s="362"/>
      <c r="Y224" s="41"/>
      <c r="Z224" s="362"/>
      <c r="AA224" s="362"/>
      <c r="AB224" s="41"/>
      <c r="AC224" s="39"/>
      <c r="AD224" s="39"/>
    </row>
    <row r="225" spans="3:30" s="37" customFormat="1" ht="12" x14ac:dyDescent="0.2">
      <c r="C225" s="38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41"/>
      <c r="S225" s="278"/>
      <c r="T225" s="41"/>
      <c r="U225" s="362"/>
      <c r="V225" s="41"/>
      <c r="W225" s="362"/>
      <c r="X225" s="362"/>
      <c r="Y225" s="41"/>
      <c r="Z225" s="362"/>
      <c r="AA225" s="362"/>
      <c r="AB225" s="41"/>
      <c r="AC225" s="39"/>
      <c r="AD225" s="39"/>
    </row>
    <row r="226" spans="3:30" s="37" customFormat="1" ht="12" x14ac:dyDescent="0.2">
      <c r="C226" s="38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41"/>
      <c r="S226" s="278"/>
      <c r="T226" s="41"/>
      <c r="U226" s="362"/>
      <c r="V226" s="41"/>
      <c r="W226" s="362"/>
      <c r="X226" s="362"/>
      <c r="Y226" s="41"/>
      <c r="Z226" s="362"/>
      <c r="AA226" s="362"/>
      <c r="AB226" s="41"/>
      <c r="AC226" s="39"/>
      <c r="AD226" s="39"/>
    </row>
    <row r="227" spans="3:30" s="37" customFormat="1" ht="12" x14ac:dyDescent="0.2">
      <c r="C227" s="38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41"/>
      <c r="S227" s="278"/>
      <c r="T227" s="41"/>
      <c r="U227" s="362"/>
      <c r="V227" s="41"/>
      <c r="W227" s="362"/>
      <c r="X227" s="362"/>
      <c r="Y227" s="41"/>
      <c r="Z227" s="362"/>
      <c r="AA227" s="362"/>
      <c r="AB227" s="41"/>
      <c r="AC227" s="39"/>
      <c r="AD227" s="39"/>
    </row>
    <row r="228" spans="3:30" s="37" customFormat="1" ht="12" x14ac:dyDescent="0.2">
      <c r="C228" s="38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41"/>
      <c r="S228" s="278"/>
      <c r="T228" s="41"/>
      <c r="U228" s="362"/>
      <c r="V228" s="41"/>
      <c r="W228" s="362"/>
      <c r="X228" s="362"/>
      <c r="Y228" s="41"/>
      <c r="Z228" s="362"/>
      <c r="AA228" s="362"/>
      <c r="AB228" s="41"/>
      <c r="AC228" s="39"/>
      <c r="AD228" s="39"/>
    </row>
    <row r="229" spans="3:30" s="37" customFormat="1" ht="12" x14ac:dyDescent="0.2">
      <c r="C229" s="38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41"/>
      <c r="S229" s="278"/>
      <c r="T229" s="41"/>
      <c r="U229" s="362"/>
      <c r="V229" s="41"/>
      <c r="W229" s="362"/>
      <c r="X229" s="362"/>
      <c r="Y229" s="41"/>
      <c r="Z229" s="362"/>
      <c r="AA229" s="362"/>
      <c r="AB229" s="41"/>
      <c r="AC229" s="39"/>
      <c r="AD229" s="39"/>
    </row>
    <row r="230" spans="3:30" s="37" customFormat="1" ht="12" x14ac:dyDescent="0.2">
      <c r="C230" s="38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41"/>
      <c r="S230" s="278"/>
      <c r="T230" s="41"/>
      <c r="U230" s="362"/>
      <c r="V230" s="41"/>
      <c r="W230" s="362"/>
      <c r="X230" s="362"/>
      <c r="Y230" s="41"/>
      <c r="Z230" s="362"/>
      <c r="AA230" s="362"/>
      <c r="AB230" s="41"/>
      <c r="AC230" s="39"/>
      <c r="AD230" s="39"/>
    </row>
    <row r="231" spans="3:30" s="37" customFormat="1" ht="12" x14ac:dyDescent="0.2">
      <c r="C231" s="38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41"/>
      <c r="S231" s="278"/>
      <c r="T231" s="41"/>
      <c r="U231" s="362"/>
      <c r="V231" s="41"/>
      <c r="W231" s="362"/>
      <c r="X231" s="362"/>
      <c r="Y231" s="41"/>
      <c r="Z231" s="362"/>
      <c r="AA231" s="362"/>
      <c r="AB231" s="41"/>
      <c r="AC231" s="39"/>
      <c r="AD231" s="39"/>
    </row>
    <row r="232" spans="3:30" s="37" customFormat="1" ht="12" x14ac:dyDescent="0.2">
      <c r="C232" s="38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41"/>
      <c r="S232" s="278"/>
      <c r="T232" s="41"/>
      <c r="U232" s="362"/>
      <c r="V232" s="41"/>
      <c r="W232" s="362"/>
      <c r="X232" s="362"/>
      <c r="Y232" s="41"/>
      <c r="Z232" s="362"/>
      <c r="AA232" s="362"/>
      <c r="AB232" s="41"/>
      <c r="AC232" s="39"/>
      <c r="AD232" s="39"/>
    </row>
    <row r="233" spans="3:30" s="37" customFormat="1" ht="12" x14ac:dyDescent="0.2">
      <c r="C233" s="38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41"/>
      <c r="S233" s="278"/>
      <c r="T233" s="41"/>
      <c r="U233" s="362"/>
      <c r="V233" s="41"/>
      <c r="W233" s="362"/>
      <c r="X233" s="362"/>
      <c r="Y233" s="41"/>
      <c r="Z233" s="362"/>
      <c r="AA233" s="362"/>
      <c r="AB233" s="41"/>
      <c r="AC233" s="39"/>
      <c r="AD233" s="39"/>
    </row>
    <row r="234" spans="3:30" s="37" customFormat="1" ht="12" x14ac:dyDescent="0.2">
      <c r="C234" s="38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41"/>
      <c r="S234" s="278"/>
      <c r="T234" s="41"/>
      <c r="U234" s="362"/>
      <c r="V234" s="41"/>
      <c r="W234" s="362"/>
      <c r="X234" s="362"/>
      <c r="Y234" s="41"/>
      <c r="Z234" s="362"/>
      <c r="AA234" s="362"/>
      <c r="AB234" s="41"/>
      <c r="AC234" s="39"/>
      <c r="AD234" s="39"/>
    </row>
    <row r="235" spans="3:30" s="37" customFormat="1" ht="12" x14ac:dyDescent="0.2">
      <c r="C235" s="38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41"/>
      <c r="S235" s="278"/>
      <c r="T235" s="41"/>
      <c r="U235" s="362"/>
      <c r="V235" s="41"/>
      <c r="W235" s="362"/>
      <c r="X235" s="362"/>
      <c r="Y235" s="41"/>
      <c r="Z235" s="362"/>
      <c r="AA235" s="362"/>
      <c r="AB235" s="41"/>
      <c r="AC235" s="39"/>
      <c r="AD235" s="39"/>
    </row>
    <row r="236" spans="3:30" s="37" customFormat="1" ht="12" x14ac:dyDescent="0.2">
      <c r="C236" s="38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41"/>
      <c r="S236" s="278"/>
      <c r="T236" s="41"/>
      <c r="U236" s="362"/>
      <c r="V236" s="41"/>
      <c r="W236" s="362"/>
      <c r="X236" s="362"/>
      <c r="Y236" s="41"/>
      <c r="Z236" s="362"/>
      <c r="AA236" s="362"/>
      <c r="AB236" s="41"/>
      <c r="AC236" s="39"/>
      <c r="AD236" s="39"/>
    </row>
    <row r="237" spans="3:30" s="37" customFormat="1" ht="12" x14ac:dyDescent="0.2">
      <c r="C237" s="38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41"/>
      <c r="S237" s="278"/>
      <c r="T237" s="41"/>
      <c r="U237" s="362"/>
      <c r="V237" s="41"/>
      <c r="W237" s="362"/>
      <c r="X237" s="362"/>
      <c r="Y237" s="41"/>
      <c r="Z237" s="362"/>
      <c r="AA237" s="362"/>
      <c r="AB237" s="41"/>
      <c r="AC237" s="39"/>
      <c r="AD237" s="39"/>
    </row>
    <row r="238" spans="3:30" s="37" customFormat="1" ht="12" x14ac:dyDescent="0.2">
      <c r="C238" s="38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41"/>
      <c r="S238" s="278"/>
      <c r="T238" s="41"/>
      <c r="U238" s="362"/>
      <c r="V238" s="41"/>
      <c r="W238" s="362"/>
      <c r="X238" s="362"/>
      <c r="Y238" s="41"/>
      <c r="Z238" s="362"/>
      <c r="AA238" s="362"/>
      <c r="AB238" s="41"/>
      <c r="AC238" s="39"/>
      <c r="AD238" s="39"/>
    </row>
    <row r="239" spans="3:30" s="37" customFormat="1" ht="12" x14ac:dyDescent="0.2">
      <c r="C239" s="38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41"/>
      <c r="S239" s="278"/>
      <c r="T239" s="41"/>
      <c r="U239" s="362"/>
      <c r="V239" s="41"/>
      <c r="W239" s="362"/>
      <c r="X239" s="362"/>
      <c r="Y239" s="41"/>
      <c r="Z239" s="362"/>
      <c r="AA239" s="362"/>
      <c r="AB239" s="41"/>
      <c r="AC239" s="39"/>
      <c r="AD239" s="39"/>
    </row>
    <row r="240" spans="3:30" s="37" customFormat="1" ht="12" x14ac:dyDescent="0.2">
      <c r="C240" s="38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41"/>
      <c r="S240" s="278"/>
      <c r="T240" s="41"/>
      <c r="U240" s="362"/>
      <c r="V240" s="41"/>
      <c r="W240" s="362"/>
      <c r="X240" s="362"/>
      <c r="Y240" s="41"/>
      <c r="Z240" s="362"/>
      <c r="AA240" s="362"/>
      <c r="AB240" s="41"/>
      <c r="AC240" s="39"/>
      <c r="AD240" s="39"/>
    </row>
    <row r="241" spans="3:30" s="37" customFormat="1" ht="12" x14ac:dyDescent="0.2">
      <c r="C241" s="38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41"/>
      <c r="S241" s="278"/>
      <c r="T241" s="41"/>
      <c r="U241" s="362"/>
      <c r="V241" s="41"/>
      <c r="W241" s="362"/>
      <c r="X241" s="362"/>
      <c r="Y241" s="41"/>
      <c r="Z241" s="362"/>
      <c r="AA241" s="362"/>
      <c r="AB241" s="41"/>
      <c r="AC241" s="39"/>
      <c r="AD241" s="39"/>
    </row>
    <row r="242" spans="3:30" s="37" customFormat="1" ht="12" x14ac:dyDescent="0.2">
      <c r="C242" s="38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41"/>
      <c r="S242" s="278"/>
      <c r="T242" s="41"/>
      <c r="U242" s="362"/>
      <c r="V242" s="41"/>
      <c r="W242" s="362"/>
      <c r="X242" s="362"/>
      <c r="Y242" s="41"/>
      <c r="Z242" s="362"/>
      <c r="AA242" s="362"/>
      <c r="AB242" s="41"/>
      <c r="AC242" s="39"/>
      <c r="AD242" s="39"/>
    </row>
    <row r="243" spans="3:30" s="37" customFormat="1" ht="12" x14ac:dyDescent="0.2">
      <c r="C243" s="38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41"/>
      <c r="S243" s="278"/>
      <c r="T243" s="41"/>
      <c r="U243" s="362"/>
      <c r="V243" s="41"/>
      <c r="W243" s="362"/>
      <c r="X243" s="362"/>
      <c r="Y243" s="41"/>
      <c r="Z243" s="362"/>
      <c r="AA243" s="362"/>
      <c r="AB243" s="41"/>
      <c r="AC243" s="39"/>
      <c r="AD243" s="39"/>
    </row>
    <row r="244" spans="3:30" s="37" customFormat="1" ht="12" x14ac:dyDescent="0.2">
      <c r="C244" s="38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41"/>
      <c r="S244" s="278"/>
      <c r="T244" s="41"/>
      <c r="U244" s="362"/>
      <c r="V244" s="41"/>
      <c r="W244" s="362"/>
      <c r="X244" s="362"/>
      <c r="Y244" s="41"/>
      <c r="Z244" s="362"/>
      <c r="AA244" s="362"/>
      <c r="AB244" s="41"/>
      <c r="AC244" s="39"/>
      <c r="AD244" s="39"/>
    </row>
    <row r="245" spans="3:30" s="37" customFormat="1" ht="12" x14ac:dyDescent="0.2">
      <c r="C245" s="38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41"/>
      <c r="S245" s="278"/>
      <c r="T245" s="41"/>
      <c r="U245" s="362"/>
      <c r="V245" s="41"/>
      <c r="W245" s="362"/>
      <c r="X245" s="362"/>
      <c r="Y245" s="41"/>
      <c r="Z245" s="362"/>
      <c r="AA245" s="362"/>
      <c r="AB245" s="41"/>
      <c r="AC245" s="39"/>
      <c r="AD245" s="39"/>
    </row>
    <row r="246" spans="3:30" s="37" customFormat="1" ht="12" x14ac:dyDescent="0.2">
      <c r="C246" s="38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41"/>
      <c r="S246" s="278"/>
      <c r="T246" s="41"/>
      <c r="U246" s="362"/>
      <c r="V246" s="41"/>
      <c r="W246" s="362"/>
      <c r="X246" s="362"/>
      <c r="Y246" s="41"/>
      <c r="Z246" s="362"/>
      <c r="AA246" s="362"/>
      <c r="AB246" s="41"/>
      <c r="AC246" s="39"/>
      <c r="AD246" s="39"/>
    </row>
    <row r="247" spans="3:30" s="37" customFormat="1" ht="12" x14ac:dyDescent="0.2">
      <c r="C247" s="38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41"/>
      <c r="S247" s="278"/>
      <c r="T247" s="41"/>
      <c r="U247" s="362"/>
      <c r="V247" s="41"/>
      <c r="W247" s="362"/>
      <c r="X247" s="362"/>
      <c r="Y247" s="41"/>
      <c r="Z247" s="362"/>
      <c r="AA247" s="362"/>
      <c r="AB247" s="41"/>
      <c r="AC247" s="39"/>
      <c r="AD247" s="39"/>
    </row>
    <row r="248" spans="3:30" s="37" customFormat="1" ht="12" x14ac:dyDescent="0.2">
      <c r="C248" s="38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41"/>
      <c r="S248" s="278"/>
      <c r="T248" s="41"/>
      <c r="U248" s="362"/>
      <c r="V248" s="41"/>
      <c r="W248" s="362"/>
      <c r="X248" s="362"/>
      <c r="Y248" s="41"/>
      <c r="Z248" s="362"/>
      <c r="AA248" s="362"/>
      <c r="AB248" s="41"/>
      <c r="AC248" s="39"/>
      <c r="AD248" s="39"/>
    </row>
    <row r="249" spans="3:30" s="37" customFormat="1" ht="12" x14ac:dyDescent="0.2">
      <c r="C249" s="38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41"/>
      <c r="S249" s="278"/>
      <c r="T249" s="41"/>
      <c r="U249" s="362"/>
      <c r="V249" s="41"/>
      <c r="W249" s="362"/>
      <c r="X249" s="362"/>
      <c r="Y249" s="41"/>
      <c r="Z249" s="362"/>
      <c r="AA249" s="362"/>
      <c r="AB249" s="41"/>
      <c r="AC249" s="39"/>
      <c r="AD249" s="39"/>
    </row>
    <row r="250" spans="3:30" s="37" customFormat="1" ht="12" x14ac:dyDescent="0.2">
      <c r="C250" s="38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41"/>
      <c r="S250" s="278"/>
      <c r="T250" s="41"/>
      <c r="U250" s="362"/>
      <c r="V250" s="41"/>
      <c r="W250" s="362"/>
      <c r="X250" s="362"/>
      <c r="Y250" s="41"/>
      <c r="Z250" s="362"/>
      <c r="AA250" s="362"/>
      <c r="AB250" s="41"/>
      <c r="AC250" s="39"/>
      <c r="AD250" s="39"/>
    </row>
    <row r="251" spans="3:30" s="37" customFormat="1" ht="12" x14ac:dyDescent="0.2">
      <c r="C251" s="38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41"/>
      <c r="S251" s="278"/>
      <c r="T251" s="41"/>
      <c r="U251" s="362"/>
      <c r="V251" s="41"/>
      <c r="W251" s="362"/>
      <c r="X251" s="362"/>
      <c r="Y251" s="41"/>
      <c r="Z251" s="362"/>
      <c r="AA251" s="362"/>
      <c r="AB251" s="41"/>
      <c r="AC251" s="39"/>
      <c r="AD251" s="39"/>
    </row>
    <row r="252" spans="3:30" s="37" customFormat="1" ht="12" x14ac:dyDescent="0.2">
      <c r="C252" s="38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41"/>
      <c r="S252" s="278"/>
      <c r="T252" s="41"/>
      <c r="U252" s="362"/>
      <c r="V252" s="41"/>
      <c r="W252" s="362"/>
      <c r="X252" s="362"/>
      <c r="Y252" s="41"/>
      <c r="Z252" s="362"/>
      <c r="AA252" s="362"/>
      <c r="AB252" s="41"/>
      <c r="AC252" s="39"/>
      <c r="AD252" s="39"/>
    </row>
    <row r="253" spans="3:30" s="37" customFormat="1" ht="12" x14ac:dyDescent="0.2">
      <c r="C253" s="38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41"/>
      <c r="S253" s="278"/>
      <c r="T253" s="41"/>
      <c r="U253" s="362"/>
      <c r="V253" s="41"/>
      <c r="W253" s="362"/>
      <c r="X253" s="362"/>
      <c r="Y253" s="41"/>
      <c r="Z253" s="362"/>
      <c r="AA253" s="362"/>
      <c r="AB253" s="41"/>
      <c r="AC253" s="39"/>
      <c r="AD253" s="39"/>
    </row>
    <row r="254" spans="3:30" s="37" customFormat="1" ht="12" x14ac:dyDescent="0.2">
      <c r="C254" s="38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41"/>
      <c r="S254" s="278"/>
      <c r="T254" s="41"/>
      <c r="U254" s="362"/>
      <c r="V254" s="41"/>
      <c r="W254" s="362"/>
      <c r="X254" s="362"/>
      <c r="Y254" s="41"/>
      <c r="Z254" s="362"/>
      <c r="AA254" s="362"/>
      <c r="AB254" s="41"/>
      <c r="AC254" s="39"/>
      <c r="AD254" s="39"/>
    </row>
    <row r="255" spans="3:30" s="37" customFormat="1" ht="12" x14ac:dyDescent="0.2">
      <c r="C255" s="38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41"/>
      <c r="S255" s="278"/>
      <c r="T255" s="41"/>
      <c r="U255" s="362"/>
      <c r="V255" s="41"/>
      <c r="W255" s="362"/>
      <c r="X255" s="362"/>
      <c r="Y255" s="41"/>
      <c r="Z255" s="362"/>
      <c r="AA255" s="362"/>
      <c r="AB255" s="41"/>
      <c r="AC255" s="39"/>
      <c r="AD255" s="39"/>
    </row>
    <row r="256" spans="3:30" s="37" customFormat="1" ht="12" x14ac:dyDescent="0.2">
      <c r="C256" s="38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41"/>
      <c r="S256" s="278"/>
      <c r="T256" s="41"/>
      <c r="U256" s="362"/>
      <c r="V256" s="41"/>
      <c r="W256" s="362"/>
      <c r="X256" s="362"/>
      <c r="Y256" s="41"/>
      <c r="Z256" s="362"/>
      <c r="AA256" s="362"/>
      <c r="AB256" s="41"/>
      <c r="AC256" s="39"/>
      <c r="AD256" s="39"/>
    </row>
    <row r="257" spans="3:30" s="37" customFormat="1" ht="12" x14ac:dyDescent="0.2">
      <c r="C257" s="38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41"/>
      <c r="S257" s="278"/>
      <c r="T257" s="41"/>
      <c r="U257" s="362"/>
      <c r="V257" s="41"/>
      <c r="W257" s="362"/>
      <c r="X257" s="362"/>
      <c r="Y257" s="41"/>
      <c r="Z257" s="362"/>
      <c r="AA257" s="362"/>
      <c r="AB257" s="41"/>
      <c r="AC257" s="39"/>
      <c r="AD257" s="39"/>
    </row>
    <row r="258" spans="3:30" s="37" customFormat="1" ht="12" x14ac:dyDescent="0.2">
      <c r="C258" s="38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41"/>
      <c r="S258" s="278"/>
      <c r="T258" s="41"/>
      <c r="U258" s="362"/>
      <c r="V258" s="41"/>
      <c r="W258" s="362"/>
      <c r="X258" s="362"/>
      <c r="Y258" s="41"/>
      <c r="Z258" s="362"/>
      <c r="AA258" s="362"/>
      <c r="AB258" s="41"/>
      <c r="AC258" s="39"/>
      <c r="AD258" s="39"/>
    </row>
    <row r="259" spans="3:30" s="37" customFormat="1" ht="12" x14ac:dyDescent="0.2">
      <c r="C259" s="38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41"/>
      <c r="S259" s="278"/>
      <c r="T259" s="41"/>
      <c r="U259" s="362"/>
      <c r="V259" s="41"/>
      <c r="W259" s="362"/>
      <c r="X259" s="362"/>
      <c r="Y259" s="41"/>
      <c r="Z259" s="362"/>
      <c r="AA259" s="362"/>
      <c r="AB259" s="41"/>
      <c r="AC259" s="39"/>
      <c r="AD259" s="39"/>
    </row>
    <row r="260" spans="3:30" s="37" customFormat="1" ht="12" x14ac:dyDescent="0.2">
      <c r="C260" s="38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41"/>
      <c r="S260" s="278"/>
      <c r="T260" s="41"/>
      <c r="U260" s="362"/>
      <c r="V260" s="41"/>
      <c r="W260" s="362"/>
      <c r="X260" s="362"/>
      <c r="Y260" s="41"/>
      <c r="Z260" s="362"/>
      <c r="AA260" s="362"/>
      <c r="AB260" s="41"/>
      <c r="AC260" s="39"/>
      <c r="AD260" s="39"/>
    </row>
    <row r="261" spans="3:30" s="37" customFormat="1" ht="12" x14ac:dyDescent="0.2">
      <c r="C261" s="38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41"/>
      <c r="S261" s="278"/>
      <c r="T261" s="41"/>
      <c r="U261" s="362"/>
      <c r="V261" s="41"/>
      <c r="W261" s="362"/>
      <c r="X261" s="362"/>
      <c r="Y261" s="41"/>
      <c r="Z261" s="362"/>
      <c r="AA261" s="362"/>
      <c r="AB261" s="41"/>
      <c r="AC261" s="39"/>
      <c r="AD261" s="39"/>
    </row>
    <row r="262" spans="3:30" s="37" customFormat="1" ht="12" x14ac:dyDescent="0.2">
      <c r="C262" s="38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41"/>
      <c r="S262" s="278"/>
      <c r="T262" s="41"/>
      <c r="U262" s="362"/>
      <c r="V262" s="41"/>
      <c r="W262" s="362"/>
      <c r="X262" s="362"/>
      <c r="Y262" s="41"/>
      <c r="Z262" s="362"/>
      <c r="AA262" s="362"/>
      <c r="AB262" s="41"/>
      <c r="AC262" s="39"/>
      <c r="AD262" s="39"/>
    </row>
    <row r="263" spans="3:30" s="37" customFormat="1" ht="12" x14ac:dyDescent="0.2">
      <c r="C263" s="38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41"/>
      <c r="S263" s="278"/>
      <c r="T263" s="41"/>
      <c r="U263" s="362"/>
      <c r="V263" s="41"/>
      <c r="W263" s="362"/>
      <c r="X263" s="362"/>
      <c r="Y263" s="41"/>
      <c r="Z263" s="362"/>
      <c r="AA263" s="362"/>
      <c r="AB263" s="41"/>
      <c r="AC263" s="39"/>
      <c r="AD263" s="39"/>
    </row>
    <row r="264" spans="3:30" s="37" customFormat="1" ht="12" x14ac:dyDescent="0.2">
      <c r="C264" s="38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41"/>
      <c r="S264" s="278"/>
      <c r="T264" s="41"/>
      <c r="U264" s="362"/>
      <c r="V264" s="41"/>
      <c r="W264" s="362"/>
      <c r="X264" s="362"/>
      <c r="Y264" s="41"/>
      <c r="Z264" s="362"/>
      <c r="AA264" s="362"/>
      <c r="AB264" s="41"/>
      <c r="AC264" s="39"/>
      <c r="AD264" s="39"/>
    </row>
    <row r="265" spans="3:30" s="37" customFormat="1" ht="12" x14ac:dyDescent="0.2">
      <c r="C265" s="38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41"/>
      <c r="S265" s="278"/>
      <c r="T265" s="41"/>
      <c r="U265" s="362"/>
      <c r="V265" s="41"/>
      <c r="W265" s="362"/>
      <c r="X265" s="362"/>
      <c r="Y265" s="41"/>
      <c r="Z265" s="362"/>
      <c r="AA265" s="362"/>
      <c r="AB265" s="41"/>
      <c r="AC265" s="39"/>
      <c r="AD265" s="39"/>
    </row>
    <row r="266" spans="3:30" s="37" customFormat="1" ht="12" x14ac:dyDescent="0.2">
      <c r="C266" s="38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41"/>
      <c r="S266" s="278"/>
      <c r="T266" s="41"/>
      <c r="U266" s="362"/>
      <c r="V266" s="41"/>
      <c r="W266" s="362"/>
      <c r="X266" s="362"/>
      <c r="Y266" s="41"/>
      <c r="Z266" s="362"/>
      <c r="AA266" s="362"/>
      <c r="AB266" s="41"/>
      <c r="AC266" s="39"/>
      <c r="AD266" s="39"/>
    </row>
    <row r="267" spans="3:30" s="37" customFormat="1" ht="12" x14ac:dyDescent="0.2">
      <c r="C267" s="38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41"/>
      <c r="S267" s="278"/>
      <c r="T267" s="41"/>
      <c r="U267" s="362"/>
      <c r="V267" s="41"/>
      <c r="W267" s="362"/>
      <c r="X267" s="362"/>
      <c r="Y267" s="41"/>
      <c r="Z267" s="362"/>
      <c r="AA267" s="362"/>
      <c r="AB267" s="41"/>
      <c r="AC267" s="39"/>
      <c r="AD267" s="39"/>
    </row>
    <row r="268" spans="3:30" s="37" customFormat="1" ht="12" x14ac:dyDescent="0.2">
      <c r="C268" s="38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41"/>
      <c r="S268" s="278"/>
      <c r="T268" s="41"/>
      <c r="U268" s="362"/>
      <c r="V268" s="41"/>
      <c r="W268" s="362"/>
      <c r="X268" s="362"/>
      <c r="Y268" s="41"/>
      <c r="Z268" s="362"/>
      <c r="AA268" s="362"/>
      <c r="AB268" s="41"/>
      <c r="AC268" s="39"/>
      <c r="AD268" s="39"/>
    </row>
    <row r="269" spans="3:30" s="37" customFormat="1" ht="12" x14ac:dyDescent="0.2">
      <c r="C269" s="38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41"/>
      <c r="S269" s="278"/>
      <c r="T269" s="41"/>
      <c r="U269" s="362"/>
      <c r="V269" s="41"/>
      <c r="W269" s="362"/>
      <c r="X269" s="362"/>
      <c r="Y269" s="41"/>
      <c r="Z269" s="362"/>
      <c r="AA269" s="362"/>
      <c r="AB269" s="41"/>
      <c r="AC269" s="39"/>
      <c r="AD269" s="39"/>
    </row>
    <row r="270" spans="3:30" s="37" customFormat="1" ht="12" x14ac:dyDescent="0.2">
      <c r="C270" s="38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41"/>
      <c r="S270" s="278"/>
      <c r="T270" s="41"/>
      <c r="U270" s="362"/>
      <c r="V270" s="41"/>
      <c r="W270" s="362"/>
      <c r="X270" s="362"/>
      <c r="Y270" s="41"/>
      <c r="Z270" s="362"/>
      <c r="AA270" s="362"/>
      <c r="AB270" s="41"/>
      <c r="AC270" s="39"/>
      <c r="AD270" s="39"/>
    </row>
    <row r="271" spans="3:30" s="37" customFormat="1" ht="12" x14ac:dyDescent="0.2">
      <c r="C271" s="38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41"/>
      <c r="S271" s="278"/>
      <c r="T271" s="41"/>
      <c r="U271" s="362"/>
      <c r="V271" s="41"/>
      <c r="W271" s="362"/>
      <c r="X271" s="362"/>
      <c r="Y271" s="41"/>
      <c r="Z271" s="362"/>
      <c r="AA271" s="362"/>
      <c r="AB271" s="41"/>
      <c r="AC271" s="39"/>
      <c r="AD271" s="39"/>
    </row>
    <row r="272" spans="3:30" s="37" customFormat="1" ht="12" x14ac:dyDescent="0.2">
      <c r="C272" s="38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41"/>
      <c r="S272" s="278"/>
      <c r="T272" s="41"/>
      <c r="U272" s="362"/>
      <c r="V272" s="41"/>
      <c r="W272" s="362"/>
      <c r="X272" s="362"/>
      <c r="Y272" s="41"/>
      <c r="Z272" s="362"/>
      <c r="AA272" s="362"/>
      <c r="AB272" s="41"/>
      <c r="AC272" s="39"/>
      <c r="AD272" s="39"/>
    </row>
    <row r="273" spans="3:30" s="37" customFormat="1" ht="12" x14ac:dyDescent="0.2">
      <c r="C273" s="38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41"/>
      <c r="S273" s="278"/>
      <c r="T273" s="41"/>
      <c r="U273" s="362"/>
      <c r="V273" s="41"/>
      <c r="W273" s="362"/>
      <c r="X273" s="362"/>
      <c r="Y273" s="41"/>
      <c r="Z273" s="362"/>
      <c r="AA273" s="362"/>
      <c r="AB273" s="41"/>
      <c r="AC273" s="39"/>
      <c r="AD273" s="39"/>
    </row>
    <row r="274" spans="3:30" s="37" customFormat="1" ht="12" x14ac:dyDescent="0.2">
      <c r="C274" s="38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41"/>
      <c r="S274" s="278"/>
      <c r="T274" s="41"/>
      <c r="U274" s="362"/>
      <c r="V274" s="41"/>
      <c r="W274" s="362"/>
      <c r="X274" s="362"/>
      <c r="Y274" s="41"/>
      <c r="Z274" s="362"/>
      <c r="AA274" s="362"/>
      <c r="AB274" s="41"/>
      <c r="AC274" s="39"/>
      <c r="AD274" s="39"/>
    </row>
    <row r="275" spans="3:30" s="37" customFormat="1" ht="12" x14ac:dyDescent="0.2">
      <c r="C275" s="38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41"/>
      <c r="S275" s="278"/>
      <c r="T275" s="41"/>
      <c r="U275" s="362"/>
      <c r="V275" s="41"/>
      <c r="W275" s="362"/>
      <c r="X275" s="362"/>
      <c r="Y275" s="41"/>
      <c r="Z275" s="362"/>
      <c r="AA275" s="362"/>
      <c r="AB275" s="41"/>
      <c r="AC275" s="39"/>
      <c r="AD275" s="39"/>
    </row>
    <row r="276" spans="3:30" s="37" customFormat="1" ht="12" x14ac:dyDescent="0.2">
      <c r="C276" s="38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41"/>
      <c r="S276" s="278"/>
      <c r="T276" s="41"/>
      <c r="U276" s="362"/>
      <c r="V276" s="41"/>
      <c r="W276" s="362"/>
      <c r="X276" s="362"/>
      <c r="Y276" s="41"/>
      <c r="Z276" s="362"/>
      <c r="AA276" s="362"/>
      <c r="AB276" s="41"/>
      <c r="AC276" s="39"/>
      <c r="AD276" s="39"/>
    </row>
    <row r="277" spans="3:30" x14ac:dyDescent="0.25"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R277" s="27"/>
      <c r="T277" s="27"/>
      <c r="V277" s="27"/>
      <c r="Y277" s="27"/>
      <c r="AB277" s="27"/>
      <c r="AC277" s="22"/>
      <c r="AD277" s="22"/>
    </row>
  </sheetData>
  <sheetProtection algorithmName="SHA-512" hashValue="dFJ/4QIe1iNcqtC+rgQLKVUSLoUVXIwdoObuP74HNRyHofnBReYoc4rMEWea24h7L1WDO0CeVx/jTzDLKPfq4w==" saltValue="cM4WZrMuuJqyWAxibHREOw==" spinCount="100000" sheet="1" objects="1" scenarios="1" selectLockedCells="1"/>
  <pageMargins left="0.7" right="0.7" top="0.75" bottom="0.75" header="0.3" footer="0.3"/>
  <pageSetup scale="10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/>
  </sheetPr>
  <dimension ref="A1:W277"/>
  <sheetViews>
    <sheetView workbookViewId="0">
      <selection activeCell="A23" sqref="A1:XFD1048576"/>
    </sheetView>
  </sheetViews>
  <sheetFormatPr defaultColWidth="8.85546875" defaultRowHeight="15" x14ac:dyDescent="0.25"/>
  <cols>
    <col min="1" max="2" width="3.140625" style="14" customWidth="1"/>
    <col min="3" max="3" width="7.85546875" style="20" customWidth="1"/>
    <col min="4" max="4" width="31.85546875" style="14" customWidth="1"/>
    <col min="5" max="5" width="9.85546875" style="14" bestFit="1" customWidth="1"/>
    <col min="6" max="16" width="8.85546875" style="14"/>
    <col min="17" max="17" width="8.85546875" style="22"/>
    <col min="18" max="18" width="2.140625" style="28" customWidth="1"/>
    <col min="19" max="19" width="9.85546875" style="21" bestFit="1" customWidth="1"/>
    <col min="20" max="20" width="2.140625" style="28" customWidth="1"/>
    <col min="21" max="16384" width="8.85546875" style="14"/>
  </cols>
  <sheetData>
    <row r="1" spans="1:23" s="1" customFormat="1" ht="21" x14ac:dyDescent="0.35">
      <c r="A1" s="11" t="str">
        <f>'Rev &amp; Enroll'!$F$5</f>
        <v>Nevada State High School (Northwest)</v>
      </c>
      <c r="B1" s="11"/>
      <c r="C1" s="17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4"/>
      <c r="R1" s="24"/>
      <c r="S1" s="3"/>
      <c r="T1" s="29"/>
      <c r="U1" s="2"/>
      <c r="V1" s="2"/>
    </row>
    <row r="2" spans="1:23" s="1" customFormat="1" x14ac:dyDescent="0.25">
      <c r="A2" s="12" t="str">
        <f>CONCATENATE("Monthly Cash Flow/Budget"," ",MYP!G4)</f>
        <v>Monthly Cash Flow/Budget FY22</v>
      </c>
      <c r="B2" s="12"/>
      <c r="C2" s="17"/>
      <c r="D2" s="13"/>
      <c r="E2" s="2"/>
      <c r="F2" s="2"/>
      <c r="G2" s="2"/>
      <c r="H2" s="2"/>
      <c r="I2" s="2"/>
      <c r="J2" s="2"/>
      <c r="M2" s="2"/>
      <c r="N2" s="2"/>
      <c r="O2" s="2"/>
      <c r="Q2" s="8"/>
      <c r="R2" s="25"/>
      <c r="S2" s="2"/>
      <c r="T2" s="29"/>
      <c r="U2" s="4"/>
      <c r="V2" s="4"/>
    </row>
    <row r="3" spans="1:23" s="6" customFormat="1" ht="13.5" customHeight="1" x14ac:dyDescent="0.2">
      <c r="A3" s="5" t="str">
        <f>'FY21'!A3</f>
        <v>Board Approved: Proposed: 4/16/2020</v>
      </c>
      <c r="B3" s="5"/>
      <c r="C3" s="1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8"/>
      <c r="R3" s="25"/>
      <c r="S3" s="7"/>
      <c r="T3" s="31"/>
      <c r="U3" s="7"/>
      <c r="V3" s="7"/>
    </row>
    <row r="4" spans="1:23" s="9" customFormat="1" ht="29.45" customHeight="1" x14ac:dyDescent="0.25">
      <c r="C4" s="19"/>
      <c r="D4" s="10"/>
      <c r="E4" s="33">
        <f>'FY21'!E4+(365*1)</f>
        <v>44378</v>
      </c>
      <c r="F4" s="33">
        <f t="shared" ref="F4:P4" si="0">E4+31</f>
        <v>44409</v>
      </c>
      <c r="G4" s="33">
        <f t="shared" si="0"/>
        <v>44440</v>
      </c>
      <c r="H4" s="33">
        <f t="shared" si="0"/>
        <v>44471</v>
      </c>
      <c r="I4" s="33">
        <f t="shared" si="0"/>
        <v>44502</v>
      </c>
      <c r="J4" s="33">
        <f t="shared" si="0"/>
        <v>44533</v>
      </c>
      <c r="K4" s="33">
        <f t="shared" si="0"/>
        <v>44564</v>
      </c>
      <c r="L4" s="33">
        <f t="shared" si="0"/>
        <v>44595</v>
      </c>
      <c r="M4" s="33">
        <f t="shared" si="0"/>
        <v>44626</v>
      </c>
      <c r="N4" s="33">
        <f t="shared" si="0"/>
        <v>44657</v>
      </c>
      <c r="O4" s="33">
        <f t="shared" si="0"/>
        <v>44688</v>
      </c>
      <c r="P4" s="56">
        <f t="shared" si="0"/>
        <v>44719</v>
      </c>
      <c r="Q4" s="35" t="s">
        <v>54</v>
      </c>
      <c r="R4" s="26"/>
      <c r="S4" s="58" t="s">
        <v>55</v>
      </c>
      <c r="T4" s="32"/>
      <c r="U4" s="33" t="s">
        <v>57</v>
      </c>
      <c r="V4" s="33" t="s">
        <v>56</v>
      </c>
    </row>
    <row r="5" spans="1:23" s="9" customFormat="1" ht="12" x14ac:dyDescent="0.2">
      <c r="C5" s="19"/>
      <c r="D5" s="208" t="s">
        <v>185</v>
      </c>
      <c r="E5" s="327">
        <f>IF(('Rev &amp; Enroll'!$F37*'Rev &amp; Enroll'!$F24)&gt;500000,0.08333,0)</f>
        <v>0</v>
      </c>
      <c r="F5" s="327">
        <f>IF(('Rev &amp; Enroll'!$F37*'Rev &amp; Enroll'!$F24)&gt;500000,0.08333,0.25)</f>
        <v>0.25</v>
      </c>
      <c r="G5" s="327">
        <f>IF(('Rev &amp; Enroll'!$F37*'Rev &amp; Enroll'!$F24)&gt;500000,0.08333,0)</f>
        <v>0</v>
      </c>
      <c r="H5" s="327">
        <f>IF(('Rev &amp; Enroll'!$F37*'Rev &amp; Enroll'!$F24)&gt;500000,0.08333,0)</f>
        <v>0</v>
      </c>
      <c r="I5" s="327">
        <f>IF(('Rev &amp; Enroll'!$F37*'Rev &amp; Enroll'!$F24)&gt;500000,0.08333,0.25)</f>
        <v>0.25</v>
      </c>
      <c r="J5" s="327">
        <f>IF(('Rev &amp; Enroll'!$F37*'Rev &amp; Enroll'!$F24)&gt;500000,0.08333,0)</f>
        <v>0</v>
      </c>
      <c r="K5" s="327">
        <f>IF(('Rev &amp; Enroll'!$F37*'Rev &amp; Enroll'!$F24)&gt;500000,0.08333,0)</f>
        <v>0</v>
      </c>
      <c r="L5" s="327">
        <f>IF(('Rev &amp; Enroll'!$F37*'Rev &amp; Enroll'!$F24)&gt;500000,0.08333,0.25)</f>
        <v>0.25</v>
      </c>
      <c r="M5" s="327">
        <f>IF(('Rev &amp; Enroll'!$F37*'Rev &amp; Enroll'!$F24)&gt;500000,0.08333,0)</f>
        <v>0</v>
      </c>
      <c r="N5" s="327">
        <f>IF(('Rev &amp; Enroll'!$F37*'Rev &amp; Enroll'!$F24)&gt;500000,0.08333,0)</f>
        <v>0</v>
      </c>
      <c r="O5" s="327">
        <f>IF(('Rev &amp; Enroll'!$F37*'Rev &amp; Enroll'!$F24)&gt;500000,0.08333,0.25)</f>
        <v>0.25</v>
      </c>
      <c r="P5" s="327">
        <f>IF(('Rev &amp; Enroll'!$F37*'Rev &amp; Enroll'!$F24)&gt;500000,0.08333,0)</f>
        <v>0</v>
      </c>
      <c r="Q5" s="222">
        <f>1-SUM(E5:P5)</f>
        <v>0</v>
      </c>
      <c r="R5" s="41"/>
      <c r="S5" s="59"/>
      <c r="T5" s="41"/>
      <c r="U5" s="39"/>
      <c r="V5" s="39"/>
      <c r="W5" s="32"/>
    </row>
    <row r="6" spans="1:23" s="37" customFormat="1" ht="11.45" customHeight="1" x14ac:dyDescent="0.2">
      <c r="A6" s="45" t="s">
        <v>58</v>
      </c>
      <c r="C6" s="38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6"/>
      <c r="R6" s="41"/>
      <c r="S6" s="59"/>
      <c r="T6" s="41"/>
      <c r="U6" s="39"/>
      <c r="V6" s="39"/>
      <c r="W6" s="39"/>
    </row>
    <row r="7" spans="1:23" s="37" customFormat="1" ht="12" x14ac:dyDescent="0.2">
      <c r="A7" s="45"/>
      <c r="C7" s="49" t="s">
        <v>172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6"/>
      <c r="R7" s="41"/>
      <c r="S7" s="59"/>
      <c r="T7" s="41"/>
      <c r="U7" s="39"/>
      <c r="V7" s="39"/>
      <c r="W7" s="39"/>
    </row>
    <row r="8" spans="1:23" s="37" customFormat="1" ht="12" x14ac:dyDescent="0.2">
      <c r="A8" s="45"/>
      <c r="C8" s="199">
        <v>1110</v>
      </c>
      <c r="D8" s="37" t="s">
        <v>0</v>
      </c>
      <c r="E8" s="180">
        <f>+'FY21'!E8*(1+MYP!$G$8)</f>
        <v>11221.055999999997</v>
      </c>
      <c r="F8" s="180">
        <f>+'FY21'!F8*(1+MYP!$G$8)</f>
        <v>11221.055999999997</v>
      </c>
      <c r="G8" s="180">
        <f>+'FY21'!G8*(1+MYP!$G$8)</f>
        <v>11221.055999999997</v>
      </c>
      <c r="H8" s="180">
        <f>+'FY21'!H8*(1+MYP!$G$8)</f>
        <v>11221.055999999997</v>
      </c>
      <c r="I8" s="180">
        <f>+'FY21'!I8*(1+MYP!$G$8)</f>
        <v>11221.055999999997</v>
      </c>
      <c r="J8" s="180">
        <f>+'FY21'!J8*(1+MYP!$G$8)</f>
        <v>11221.055999999997</v>
      </c>
      <c r="K8" s="180">
        <f>+'FY21'!K8*(1+MYP!$G$8)</f>
        <v>11221.055999999997</v>
      </c>
      <c r="L8" s="180">
        <f>+'FY21'!L8*(1+MYP!$G$8)</f>
        <v>11221.055999999997</v>
      </c>
      <c r="M8" s="180">
        <f>+'FY21'!M8*(1+MYP!$G$8)</f>
        <v>11221.055999999997</v>
      </c>
      <c r="N8" s="180">
        <f>+'FY21'!N8*(1+MYP!$G$8)</f>
        <v>11221.055999999997</v>
      </c>
      <c r="O8" s="180">
        <f>+'FY21'!O8*(1+MYP!$G$8)</f>
        <v>11221.055999999997</v>
      </c>
      <c r="P8" s="180">
        <f>+'FY21'!P8*(1+MYP!$G$8)</f>
        <v>11221.055999999997</v>
      </c>
      <c r="Q8" s="185"/>
      <c r="R8" s="186"/>
      <c r="S8" s="187">
        <f>SUM(E8:Q8)</f>
        <v>134652.67199999996</v>
      </c>
      <c r="T8" s="186"/>
      <c r="U8" s="180">
        <f>'FY21'!S8</f>
        <v>117089.28000000001</v>
      </c>
      <c r="V8" s="180">
        <f t="shared" ref="V8:V20" si="1">S8-U8</f>
        <v>17563.391999999949</v>
      </c>
      <c r="W8" s="39"/>
    </row>
    <row r="9" spans="1:23" s="37" customFormat="1" ht="12" x14ac:dyDescent="0.2">
      <c r="A9" s="45"/>
      <c r="C9" s="199">
        <v>1120</v>
      </c>
      <c r="D9" s="37" t="s">
        <v>1</v>
      </c>
      <c r="E9" s="362">
        <f>+'FY21'!E9*(1+MYP!$G$8)</f>
        <v>12326.159999999996</v>
      </c>
      <c r="F9" s="362">
        <f>+'FY21'!F9*(1+MYP!$G$8)</f>
        <v>12326.159999999996</v>
      </c>
      <c r="G9" s="362">
        <f>+'FY21'!G9*(1+MYP!$G$8)</f>
        <v>12326.159999999996</v>
      </c>
      <c r="H9" s="362">
        <f>+'FY21'!H9*(1+MYP!$G$8)</f>
        <v>12326.159999999996</v>
      </c>
      <c r="I9" s="362">
        <f>+'FY21'!I9*(1+MYP!$G$8)</f>
        <v>12326.159999999996</v>
      </c>
      <c r="J9" s="362">
        <f>+'FY21'!J9*(1+MYP!$G$8)</f>
        <v>12326.159999999996</v>
      </c>
      <c r="K9" s="362">
        <f>+'FY21'!K9*(1+MYP!$G$8)</f>
        <v>12326.159999999996</v>
      </c>
      <c r="L9" s="362">
        <f>+'FY21'!L9*(1+MYP!$G$8)</f>
        <v>12326.159999999996</v>
      </c>
      <c r="M9" s="362">
        <f>+'FY21'!M9*(1+MYP!$G$8)</f>
        <v>12326.159999999996</v>
      </c>
      <c r="N9" s="362">
        <f>+'FY21'!N9*(1+MYP!$G$8)</f>
        <v>12326.159999999996</v>
      </c>
      <c r="O9" s="362">
        <f>+'FY21'!O9*(1+MYP!$G$8)</f>
        <v>12326.159999999996</v>
      </c>
      <c r="P9" s="362">
        <f>+'FY21'!P9*(1+MYP!$G$8)</f>
        <v>12326.159999999996</v>
      </c>
      <c r="Q9" s="36"/>
      <c r="R9" s="41"/>
      <c r="S9" s="59">
        <f t="shared" ref="S9:S20" si="2">SUM(E9:Q9)</f>
        <v>147913.91999999998</v>
      </c>
      <c r="T9" s="41"/>
      <c r="U9" s="39">
        <f>'FY21'!S9</f>
        <v>128620.79999999994</v>
      </c>
      <c r="V9" s="39">
        <f t="shared" si="1"/>
        <v>19293.120000000039</v>
      </c>
      <c r="W9" s="39"/>
    </row>
    <row r="10" spans="1:23" s="37" customFormat="1" ht="12" x14ac:dyDescent="0.2">
      <c r="A10" s="45"/>
      <c r="C10" s="199">
        <v>1191</v>
      </c>
      <c r="D10" s="37" t="s">
        <v>2</v>
      </c>
      <c r="E10" s="362">
        <f>+'FY21'!E10*(1+MYP!$G$8)</f>
        <v>42.503999999999991</v>
      </c>
      <c r="F10" s="362">
        <f>+'FY21'!F10*(1+MYP!$G$8)</f>
        <v>42.503999999999991</v>
      </c>
      <c r="G10" s="362">
        <f>+'FY21'!G10*(1+MYP!$G$8)</f>
        <v>42.503999999999991</v>
      </c>
      <c r="H10" s="362">
        <f>+'FY21'!H10*(1+MYP!$G$8)</f>
        <v>42.503999999999991</v>
      </c>
      <c r="I10" s="362">
        <f>+'FY21'!I10*(1+MYP!$G$8)</f>
        <v>42.503999999999991</v>
      </c>
      <c r="J10" s="362">
        <f>+'FY21'!J10*(1+MYP!$G$8)</f>
        <v>42.503999999999991</v>
      </c>
      <c r="K10" s="362">
        <f>+'FY21'!K10*(1+MYP!$G$8)</f>
        <v>42.503999999999991</v>
      </c>
      <c r="L10" s="362">
        <f>+'FY21'!L10*(1+MYP!$G$8)</f>
        <v>42.503999999999991</v>
      </c>
      <c r="M10" s="362">
        <f>+'FY21'!M10*(1+MYP!$G$8)</f>
        <v>42.503999999999991</v>
      </c>
      <c r="N10" s="362">
        <f>+'FY21'!N10*(1+MYP!$G$8)</f>
        <v>42.503999999999991</v>
      </c>
      <c r="O10" s="362">
        <f>+'FY21'!O10*(1+MYP!$G$8)</f>
        <v>42.503999999999991</v>
      </c>
      <c r="P10" s="362">
        <f>+'FY21'!P10*(1+MYP!$G$8)</f>
        <v>42.503999999999991</v>
      </c>
      <c r="Q10" s="36"/>
      <c r="R10" s="41"/>
      <c r="S10" s="59">
        <f t="shared" si="2"/>
        <v>510.048</v>
      </c>
      <c r="T10" s="41"/>
      <c r="U10" s="39">
        <f>'FY21'!S10</f>
        <v>443.51999999999981</v>
      </c>
      <c r="V10" s="39">
        <f t="shared" si="1"/>
        <v>66.528000000000191</v>
      </c>
      <c r="W10" s="39"/>
    </row>
    <row r="11" spans="1:23" s="37" customFormat="1" ht="12" x14ac:dyDescent="0.2">
      <c r="A11" s="45"/>
      <c r="C11" s="199">
        <v>1192</v>
      </c>
      <c r="D11" s="37" t="s">
        <v>3</v>
      </c>
      <c r="E11" s="362">
        <f>+'FY21'!E11*(1+MYP!$G$8)</f>
        <v>1317.6239999999998</v>
      </c>
      <c r="F11" s="362">
        <f>+'FY21'!F11*(1+MYP!$G$8)</f>
        <v>1317.6239999999998</v>
      </c>
      <c r="G11" s="362">
        <f>+'FY21'!G11*(1+MYP!$G$8)</f>
        <v>1317.6239999999998</v>
      </c>
      <c r="H11" s="362">
        <f>+'FY21'!H11*(1+MYP!$G$8)</f>
        <v>1317.6239999999998</v>
      </c>
      <c r="I11" s="362">
        <f>+'FY21'!I11*(1+MYP!$G$8)</f>
        <v>1317.6239999999998</v>
      </c>
      <c r="J11" s="362">
        <f>+'FY21'!J11*(1+MYP!$G$8)</f>
        <v>1317.6239999999998</v>
      </c>
      <c r="K11" s="362">
        <f>+'FY21'!K11*(1+MYP!$G$8)</f>
        <v>1317.6239999999998</v>
      </c>
      <c r="L11" s="362">
        <f>+'FY21'!L11*(1+MYP!$G$8)</f>
        <v>1317.6239999999998</v>
      </c>
      <c r="M11" s="362">
        <f>+'FY21'!M11*(1+MYP!$G$8)</f>
        <v>1317.6239999999998</v>
      </c>
      <c r="N11" s="362">
        <f>+'FY21'!N11*(1+MYP!$G$8)</f>
        <v>1317.6239999999998</v>
      </c>
      <c r="O11" s="362">
        <f>+'FY21'!O11*(1+MYP!$G$8)</f>
        <v>1317.6239999999998</v>
      </c>
      <c r="P11" s="362">
        <f>+'FY21'!P11*(1+MYP!$G$8)</f>
        <v>1317.6239999999998</v>
      </c>
      <c r="Q11" s="98"/>
      <c r="R11" s="41"/>
      <c r="S11" s="59">
        <f t="shared" si="2"/>
        <v>15811.487999999998</v>
      </c>
      <c r="T11" s="41"/>
      <c r="U11" s="39">
        <f>'FY21'!S11</f>
        <v>13749.12</v>
      </c>
      <c r="V11" s="39">
        <f t="shared" si="1"/>
        <v>2062.3679999999968</v>
      </c>
      <c r="W11" s="39"/>
    </row>
    <row r="12" spans="1:23" s="37" customFormat="1" ht="12" x14ac:dyDescent="0.2">
      <c r="A12" s="45"/>
      <c r="C12" s="199">
        <v>3110</v>
      </c>
      <c r="D12" s="37" t="s">
        <v>73</v>
      </c>
      <c r="E12" s="362">
        <f>+'FY21'!E12*(1+MYP!$G$8)</f>
        <v>17596.655999999995</v>
      </c>
      <c r="F12" s="362">
        <f>+'FY21'!F12*(1+MYP!$G$8)</f>
        <v>17596.655999999995</v>
      </c>
      <c r="G12" s="362">
        <f>+'FY21'!G12*(1+MYP!$G$8)</f>
        <v>17596.655999999995</v>
      </c>
      <c r="H12" s="362">
        <f>+'FY21'!H12*(1+MYP!$G$8)</f>
        <v>17596.655999999995</v>
      </c>
      <c r="I12" s="362">
        <f>+'FY21'!I12*(1+MYP!$G$8)</f>
        <v>17596.655999999995</v>
      </c>
      <c r="J12" s="362">
        <f>+'FY21'!J12*(1+MYP!$G$8)</f>
        <v>17596.655999999995</v>
      </c>
      <c r="K12" s="362">
        <f>+'FY21'!K12*(1+MYP!$G$8)</f>
        <v>17596.655999999995</v>
      </c>
      <c r="L12" s="362">
        <f>+'FY21'!L12*(1+MYP!$G$8)</f>
        <v>17596.655999999995</v>
      </c>
      <c r="M12" s="362">
        <f>+'FY21'!M12*(1+MYP!$G$8)</f>
        <v>17596.655999999995</v>
      </c>
      <c r="N12" s="362">
        <f>+'FY21'!N12*(1+MYP!$G$8)</f>
        <v>17596.655999999995</v>
      </c>
      <c r="O12" s="362">
        <f>+'FY21'!O12*(1+MYP!$G$8)</f>
        <v>17596.655999999995</v>
      </c>
      <c r="P12" s="362">
        <f>+'FY21'!P12*(1+MYP!$G$8)</f>
        <v>17596.655999999995</v>
      </c>
      <c r="Q12" s="98"/>
      <c r="R12" s="41"/>
      <c r="S12" s="59">
        <f t="shared" si="2"/>
        <v>211159.87199999989</v>
      </c>
      <c r="T12" s="41"/>
      <c r="U12" s="39">
        <f>'FY21'!S12</f>
        <v>183617.28</v>
      </c>
      <c r="V12" s="39">
        <f t="shared" si="1"/>
        <v>27542.591999999888</v>
      </c>
      <c r="W12" s="39"/>
    </row>
    <row r="13" spans="1:23" s="37" customFormat="1" ht="12" x14ac:dyDescent="0.2">
      <c r="A13" s="45"/>
      <c r="C13" s="38"/>
      <c r="E13" s="50">
        <f>SUBTOTAL(9,E8:E12)</f>
        <v>42503.999999999985</v>
      </c>
      <c r="F13" s="50">
        <f t="shared" ref="F13:S13" si="3">SUBTOTAL(9,F8:F12)</f>
        <v>42503.999999999985</v>
      </c>
      <c r="G13" s="50">
        <f t="shared" si="3"/>
        <v>42503.999999999985</v>
      </c>
      <c r="H13" s="50">
        <f t="shared" si="3"/>
        <v>42503.999999999985</v>
      </c>
      <c r="I13" s="50">
        <f t="shared" si="3"/>
        <v>42503.999999999985</v>
      </c>
      <c r="J13" s="50">
        <f t="shared" si="3"/>
        <v>42503.999999999985</v>
      </c>
      <c r="K13" s="50">
        <f t="shared" si="3"/>
        <v>42503.999999999985</v>
      </c>
      <c r="L13" s="50">
        <f t="shared" si="3"/>
        <v>42503.999999999985</v>
      </c>
      <c r="M13" s="50">
        <f t="shared" si="3"/>
        <v>42503.999999999985</v>
      </c>
      <c r="N13" s="50">
        <f t="shared" si="3"/>
        <v>42503.999999999985</v>
      </c>
      <c r="O13" s="50">
        <f t="shared" si="3"/>
        <v>42503.999999999985</v>
      </c>
      <c r="P13" s="50">
        <f t="shared" si="3"/>
        <v>42503.999999999985</v>
      </c>
      <c r="Q13" s="99"/>
      <c r="R13" s="41"/>
      <c r="S13" s="61">
        <f t="shared" si="3"/>
        <v>510047.99999999988</v>
      </c>
      <c r="T13" s="41"/>
      <c r="U13" s="50">
        <f t="shared" ref="U13" si="4">SUBTOTAL(9,U8:U12)</f>
        <v>443519.99999999994</v>
      </c>
      <c r="V13" s="50">
        <f t="shared" ref="V13" si="5">SUBTOTAL(9,V8:V12)</f>
        <v>66527.999999999869</v>
      </c>
      <c r="W13" s="39"/>
    </row>
    <row r="14" spans="1:23" s="37" customFormat="1" ht="12" x14ac:dyDescent="0.2">
      <c r="A14" s="45"/>
      <c r="C14" s="49" t="s">
        <v>171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98"/>
      <c r="R14" s="41"/>
      <c r="S14" s="59"/>
      <c r="T14" s="41"/>
      <c r="U14" s="39"/>
      <c r="V14" s="39"/>
      <c r="W14" s="39"/>
    </row>
    <row r="15" spans="1:23" s="37" customFormat="1" ht="12" x14ac:dyDescent="0.2">
      <c r="A15" s="45"/>
      <c r="C15" s="199">
        <v>3115</v>
      </c>
      <c r="D15" s="37" t="s">
        <v>5</v>
      </c>
      <c r="E15" s="362">
        <f>+'FY21'!E15*(1+MYP!$G$8)</f>
        <v>0</v>
      </c>
      <c r="F15" s="362">
        <f>+'FY21'!F15*(1+MYP!$G$8)</f>
        <v>0</v>
      </c>
      <c r="G15" s="362">
        <f>+'FY21'!G15*(1+MYP!$G$8)</f>
        <v>0</v>
      </c>
      <c r="H15" s="362">
        <f>+'FY21'!H15*(1+MYP!$G$8)</f>
        <v>0</v>
      </c>
      <c r="I15" s="362">
        <f>+'FY21'!I15*(1+MYP!$G$8)</f>
        <v>0</v>
      </c>
      <c r="J15" s="362">
        <f>+'FY21'!J15*(1+MYP!$G$8)</f>
        <v>0</v>
      </c>
      <c r="K15" s="362">
        <f>+'FY21'!K15*(1+MYP!$G$8)</f>
        <v>0</v>
      </c>
      <c r="L15" s="362">
        <f>+'FY21'!L15*(1+MYP!$G$8)</f>
        <v>0</v>
      </c>
      <c r="M15" s="362">
        <f>+'FY21'!M15*(1+MYP!$G$8)</f>
        <v>0</v>
      </c>
      <c r="N15" s="362">
        <f>+'FY21'!N15*(1+MYP!$G$8)</f>
        <v>0</v>
      </c>
      <c r="O15" s="362">
        <f>+'FY21'!O15*(1+MYP!$G$8)</f>
        <v>0</v>
      </c>
      <c r="P15" s="362">
        <f>+'FY21'!P15*(1+MYP!$G$8)</f>
        <v>0</v>
      </c>
      <c r="Q15" s="100"/>
      <c r="R15" s="41"/>
      <c r="S15" s="59">
        <f>SUM(E15:Q15)</f>
        <v>0</v>
      </c>
      <c r="T15" s="41"/>
      <c r="U15" s="39">
        <f>'FY21'!S15</f>
        <v>0</v>
      </c>
      <c r="V15" s="39">
        <f t="shared" si="1"/>
        <v>0</v>
      </c>
      <c r="W15" s="39"/>
    </row>
    <row r="16" spans="1:23" s="37" customFormat="1" ht="12" x14ac:dyDescent="0.2">
      <c r="A16" s="45"/>
      <c r="C16" s="199">
        <v>3200</v>
      </c>
      <c r="D16" s="37" t="s">
        <v>6</v>
      </c>
      <c r="E16" s="362">
        <f>+'FY21'!E16*(1+MYP!$G$8)</f>
        <v>0</v>
      </c>
      <c r="F16" s="362">
        <f>+'FY21'!F16*(1+MYP!$G$8)</f>
        <v>0</v>
      </c>
      <c r="G16" s="362">
        <f>+'FY21'!G16*(1+MYP!$G$8)</f>
        <v>0</v>
      </c>
      <c r="H16" s="362">
        <f>+'FY21'!H16*(1+MYP!$G$8)</f>
        <v>0</v>
      </c>
      <c r="I16" s="362">
        <f>+'FY21'!I16*(1+MYP!$G$8)</f>
        <v>0</v>
      </c>
      <c r="J16" s="362">
        <f>+'FY21'!J16*(1+MYP!$G$8)</f>
        <v>0</v>
      </c>
      <c r="K16" s="362">
        <v>0</v>
      </c>
      <c r="L16" s="362">
        <f>+'FY21'!L16*(1+MYP!$G$8)</f>
        <v>0</v>
      </c>
      <c r="M16" s="362">
        <v>0</v>
      </c>
      <c r="N16" s="362">
        <f>+'FY21'!N16*(1+MYP!$G$8)</f>
        <v>0</v>
      </c>
      <c r="O16" s="362">
        <v>0</v>
      </c>
      <c r="P16" s="362">
        <f>+'FY21'!P16*(1+MYP!$G$8)</f>
        <v>0</v>
      </c>
      <c r="Q16" s="100"/>
      <c r="R16" s="41"/>
      <c r="S16" s="59">
        <f t="shared" si="2"/>
        <v>0</v>
      </c>
      <c r="T16" s="41"/>
      <c r="U16" s="39">
        <f>'FY21'!S16</f>
        <v>51192</v>
      </c>
      <c r="V16" s="39">
        <f t="shared" si="1"/>
        <v>-51192</v>
      </c>
      <c r="W16" s="39"/>
    </row>
    <row r="17" spans="1:23" s="37" customFormat="1" ht="12" x14ac:dyDescent="0.2">
      <c r="A17" s="45"/>
      <c r="C17" s="38"/>
      <c r="E17" s="50">
        <f>SUBTOTAL(9,E15:E16)</f>
        <v>0</v>
      </c>
      <c r="F17" s="50">
        <f t="shared" ref="F17:V17" si="6">SUBTOTAL(9,F15:F16)</f>
        <v>0</v>
      </c>
      <c r="G17" s="50">
        <f t="shared" si="6"/>
        <v>0</v>
      </c>
      <c r="H17" s="50">
        <f t="shared" si="6"/>
        <v>0</v>
      </c>
      <c r="I17" s="50">
        <f t="shared" si="6"/>
        <v>0</v>
      </c>
      <c r="J17" s="50">
        <f t="shared" si="6"/>
        <v>0</v>
      </c>
      <c r="K17" s="50">
        <f t="shared" si="6"/>
        <v>0</v>
      </c>
      <c r="L17" s="50">
        <f t="shared" si="6"/>
        <v>0</v>
      </c>
      <c r="M17" s="50">
        <f t="shared" si="6"/>
        <v>0</v>
      </c>
      <c r="N17" s="50">
        <f t="shared" si="6"/>
        <v>0</v>
      </c>
      <c r="O17" s="50">
        <f t="shared" si="6"/>
        <v>0</v>
      </c>
      <c r="P17" s="50">
        <f t="shared" si="6"/>
        <v>0</v>
      </c>
      <c r="Q17" s="99"/>
      <c r="R17" s="41"/>
      <c r="S17" s="61">
        <f t="shared" si="6"/>
        <v>0</v>
      </c>
      <c r="T17" s="41"/>
      <c r="U17" s="50">
        <f t="shared" si="6"/>
        <v>51192</v>
      </c>
      <c r="V17" s="50">
        <f t="shared" si="6"/>
        <v>-51192</v>
      </c>
      <c r="W17" s="39"/>
    </row>
    <row r="18" spans="1:23" s="37" customFormat="1" ht="12" x14ac:dyDescent="0.2">
      <c r="A18" s="45"/>
      <c r="C18" s="49" t="s">
        <v>149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100"/>
      <c r="R18" s="41"/>
      <c r="S18" s="59"/>
      <c r="T18" s="41"/>
      <c r="U18" s="39"/>
      <c r="V18" s="39"/>
      <c r="W18" s="39"/>
    </row>
    <row r="19" spans="1:23" s="37" customFormat="1" ht="12" x14ac:dyDescent="0.2">
      <c r="A19" s="45"/>
      <c r="C19" s="199">
        <v>4500</v>
      </c>
      <c r="D19" s="37" t="s">
        <v>6</v>
      </c>
      <c r="E19" s="362">
        <f>+'FY21'!E19*(1+MYP!$G$8)</f>
        <v>0</v>
      </c>
      <c r="F19" s="362">
        <f>+'FY21'!F19*(1+MYP!$G$8)</f>
        <v>0</v>
      </c>
      <c r="G19" s="362">
        <f>+'FY21'!G19*(1+MYP!$G$8)</f>
        <v>0</v>
      </c>
      <c r="H19" s="362">
        <f>+'FY21'!H19*(1+MYP!$G$8)</f>
        <v>0</v>
      </c>
      <c r="I19" s="362">
        <f>+'FY21'!I19*(1+MYP!$G$8)</f>
        <v>0</v>
      </c>
      <c r="J19" s="362">
        <f>+'FY21'!J19*(1+MYP!$G$8)</f>
        <v>0</v>
      </c>
      <c r="K19" s="362">
        <f>+'FY21'!K19*(1+MYP!$G$8)</f>
        <v>0</v>
      </c>
      <c r="L19" s="362">
        <f>+'FY21'!L19*(1+MYP!$G$8)</f>
        <v>0</v>
      </c>
      <c r="M19" s="362">
        <f>+'FY21'!M19*(1+MYP!$G$8)</f>
        <v>0</v>
      </c>
      <c r="N19" s="362">
        <f>+'FY21'!N19*(1+MYP!$G$8)</f>
        <v>0</v>
      </c>
      <c r="O19" s="362">
        <f>+'FY21'!O19*(1+MYP!$G$8)</f>
        <v>0</v>
      </c>
      <c r="P19" s="362">
        <f>+'FY21'!P19*(1+MYP!$G$8)</f>
        <v>0</v>
      </c>
      <c r="Q19" s="100"/>
      <c r="R19" s="41"/>
      <c r="S19" s="59">
        <f t="shared" si="2"/>
        <v>0</v>
      </c>
      <c r="T19" s="41"/>
      <c r="U19" s="39">
        <f>'FY21'!S19</f>
        <v>0</v>
      </c>
      <c r="V19" s="39">
        <f t="shared" si="1"/>
        <v>0</v>
      </c>
      <c r="W19" s="39"/>
    </row>
    <row r="20" spans="1:23" s="37" customFormat="1" ht="12" x14ac:dyDescent="0.2">
      <c r="A20" s="45"/>
      <c r="C20" s="199">
        <v>4571</v>
      </c>
      <c r="D20" s="37" t="s">
        <v>7</v>
      </c>
      <c r="E20" s="362">
        <f>+'FY21'!E20*(1+MYP!$G$8)</f>
        <v>0</v>
      </c>
      <c r="F20" s="362">
        <f>+'FY21'!F20*(1+MYP!$G$8)</f>
        <v>0</v>
      </c>
      <c r="G20" s="362">
        <f>+'FY21'!G20*(1+MYP!$G$8)</f>
        <v>0</v>
      </c>
      <c r="H20" s="362">
        <f>+'FY21'!H20*(1+MYP!$G$8)</f>
        <v>0</v>
      </c>
      <c r="I20" s="362">
        <f>+'FY21'!I20*(1+MYP!$G$8)</f>
        <v>0</v>
      </c>
      <c r="J20" s="362">
        <f>+'FY21'!J20*(1+MYP!$G$8)</f>
        <v>0</v>
      </c>
      <c r="K20" s="362">
        <f>+'FY21'!K20*(1+MYP!$G$8)</f>
        <v>0</v>
      </c>
      <c r="L20" s="362">
        <f>+'FY21'!L20*(1+MYP!$G$8)</f>
        <v>0</v>
      </c>
      <c r="M20" s="362">
        <f>+'FY21'!M20*(1+MYP!$G$8)</f>
        <v>0</v>
      </c>
      <c r="N20" s="362">
        <f>+'FY21'!N20*(1+MYP!$G$8)</f>
        <v>0</v>
      </c>
      <c r="O20" s="362">
        <f>+'FY21'!O20*(1+MYP!$G$8)</f>
        <v>0</v>
      </c>
      <c r="P20" s="362">
        <f>+'FY21'!P20*(1+MYP!$G$8)</f>
        <v>0</v>
      </c>
      <c r="Q20" s="100"/>
      <c r="R20" s="41"/>
      <c r="S20" s="62">
        <f t="shared" si="2"/>
        <v>0</v>
      </c>
      <c r="T20" s="41"/>
      <c r="U20" s="41">
        <f>'FY21'!S20</f>
        <v>0</v>
      </c>
      <c r="V20" s="41">
        <f t="shared" si="1"/>
        <v>0</v>
      </c>
      <c r="W20" s="39"/>
    </row>
    <row r="21" spans="1:23" s="37" customFormat="1" ht="12" x14ac:dyDescent="0.2">
      <c r="A21" s="45"/>
      <c r="C21" s="38">
        <v>4703</v>
      </c>
      <c r="D21" s="37" t="s">
        <v>186</v>
      </c>
      <c r="E21" s="362">
        <f>+'FY21'!E21*(1+MYP!$G$8)</f>
        <v>0</v>
      </c>
      <c r="F21" s="362">
        <f>+'FY21'!F21*(1+MYP!$G$8)</f>
        <v>0</v>
      </c>
      <c r="G21" s="362">
        <f>+'FY21'!G21*(1+MYP!$G$8)</f>
        <v>0</v>
      </c>
      <c r="H21" s="362">
        <f>+'FY21'!H21*(1+MYP!$G$8)</f>
        <v>0</v>
      </c>
      <c r="I21" s="362">
        <f>+'FY21'!I21*(1+MYP!$G$8)</f>
        <v>0</v>
      </c>
      <c r="J21" s="362">
        <f>+'FY21'!J21*(1+MYP!$G$8)</f>
        <v>0</v>
      </c>
      <c r="K21" s="362">
        <f>+'FY21'!K21*(1+MYP!$G$8)</f>
        <v>0</v>
      </c>
      <c r="L21" s="362">
        <f>+'FY21'!L21*(1+MYP!$G$8)</f>
        <v>0</v>
      </c>
      <c r="M21" s="362">
        <f>+'FY21'!M21*(1+MYP!$G$8)</f>
        <v>0</v>
      </c>
      <c r="N21" s="362">
        <f>+'FY21'!N21*(1+MYP!$G$8)</f>
        <v>0</v>
      </c>
      <c r="O21" s="362">
        <f>+'FY21'!O21*(1+MYP!$G$8)</f>
        <v>0</v>
      </c>
      <c r="P21" s="362">
        <f>+'FY21'!P21*(1+MYP!$G$8)</f>
        <v>0</v>
      </c>
      <c r="Q21" s="100"/>
      <c r="R21" s="41"/>
      <c r="S21" s="62">
        <f t="shared" ref="S21" si="7">SUM(E21:Q21)</f>
        <v>0</v>
      </c>
      <c r="T21" s="41"/>
      <c r="U21" s="41">
        <f>'FY21'!S21</f>
        <v>0</v>
      </c>
      <c r="V21" s="41">
        <f t="shared" ref="V21" si="8">S21-U21</f>
        <v>0</v>
      </c>
      <c r="W21" s="39"/>
    </row>
    <row r="22" spans="1:23" s="37" customFormat="1" ht="12" x14ac:dyDescent="0.2">
      <c r="A22" s="45"/>
      <c r="C22" s="38"/>
      <c r="E22" s="50">
        <f>SUBTOTAL(9,E19:E21)</f>
        <v>0</v>
      </c>
      <c r="F22" s="50">
        <f t="shared" ref="F22:P22" si="9">SUBTOTAL(9,F19:F21)</f>
        <v>0</v>
      </c>
      <c r="G22" s="50">
        <f t="shared" si="9"/>
        <v>0</v>
      </c>
      <c r="H22" s="50">
        <f t="shared" si="9"/>
        <v>0</v>
      </c>
      <c r="I22" s="50">
        <f t="shared" si="9"/>
        <v>0</v>
      </c>
      <c r="J22" s="50">
        <f t="shared" si="9"/>
        <v>0</v>
      </c>
      <c r="K22" s="50">
        <f t="shared" si="9"/>
        <v>0</v>
      </c>
      <c r="L22" s="50">
        <f t="shared" si="9"/>
        <v>0</v>
      </c>
      <c r="M22" s="50">
        <f t="shared" si="9"/>
        <v>0</v>
      </c>
      <c r="N22" s="50">
        <f t="shared" si="9"/>
        <v>0</v>
      </c>
      <c r="O22" s="50">
        <f t="shared" si="9"/>
        <v>0</v>
      </c>
      <c r="P22" s="50">
        <f t="shared" si="9"/>
        <v>0</v>
      </c>
      <c r="Q22" s="99"/>
      <c r="R22" s="41"/>
      <c r="S22" s="61">
        <f>SUBTOTAL(9,S19:S21)</f>
        <v>0</v>
      </c>
      <c r="T22" s="41"/>
      <c r="U22" s="50">
        <f>SUBTOTAL(9,U19:U21)</f>
        <v>0</v>
      </c>
      <c r="V22" s="50">
        <f>SUBTOTAL(9,V19:V21)</f>
        <v>0</v>
      </c>
      <c r="W22" s="39"/>
    </row>
    <row r="23" spans="1:23" s="37" customFormat="1" ht="12" x14ac:dyDescent="0.2">
      <c r="A23" s="45"/>
      <c r="C23" s="49" t="s">
        <v>150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100"/>
      <c r="R23" s="41"/>
      <c r="S23" s="62"/>
      <c r="T23" s="41"/>
      <c r="U23" s="41"/>
      <c r="V23" s="41"/>
      <c r="W23" s="39"/>
    </row>
    <row r="24" spans="1:23" s="37" customFormat="1" ht="12" x14ac:dyDescent="0.2">
      <c r="A24" s="45"/>
      <c r="C24" s="199">
        <v>1790</v>
      </c>
      <c r="D24" s="37" t="s">
        <v>4</v>
      </c>
      <c r="E24" s="362">
        <f>+'FY21'!E24*(1+MYP!$G$8)</f>
        <v>0</v>
      </c>
      <c r="F24" s="362">
        <f>+'FY21'!F24*(1+MYP!$G$8)</f>
        <v>0</v>
      </c>
      <c r="G24" s="362">
        <f>+'FY21'!G24*(1+MYP!$G$8)</f>
        <v>0</v>
      </c>
      <c r="H24" s="362">
        <f>+'FY21'!H24*(1+MYP!$G$8)</f>
        <v>0</v>
      </c>
      <c r="I24" s="362">
        <f>+'FY21'!I24*(1+MYP!$G$8)</f>
        <v>0</v>
      </c>
      <c r="J24" s="362">
        <f>+'FY21'!J24*(1+MYP!$G$8)</f>
        <v>0</v>
      </c>
      <c r="K24" s="362">
        <f>+'FY21'!K24*(1+MYP!$G$8)</f>
        <v>0</v>
      </c>
      <c r="L24" s="362">
        <f>+'FY21'!L24*(1+MYP!$G$8)</f>
        <v>0</v>
      </c>
      <c r="M24" s="362">
        <f>+'FY21'!M24*(1+MYP!$G$8)</f>
        <v>0</v>
      </c>
      <c r="N24" s="362">
        <f>+'FY21'!N24*(1+MYP!$G$8)</f>
        <v>0</v>
      </c>
      <c r="O24" s="362">
        <f>+'FY21'!O24*(1+MYP!$G$8)</f>
        <v>0</v>
      </c>
      <c r="P24" s="362">
        <f>+'FY21'!P24*(1+MYP!$G$8)</f>
        <v>0</v>
      </c>
      <c r="Q24" s="100"/>
      <c r="R24" s="41"/>
      <c r="S24" s="59">
        <f>SUM(E24:Q24)</f>
        <v>0</v>
      </c>
      <c r="T24" s="41"/>
      <c r="U24" s="39">
        <f>'FY21'!S24</f>
        <v>0</v>
      </c>
      <c r="V24" s="39">
        <f>S24-U24</f>
        <v>0</v>
      </c>
      <c r="W24" s="39"/>
    </row>
    <row r="25" spans="1:23" s="37" customFormat="1" ht="12" x14ac:dyDescent="0.2">
      <c r="A25" s="45"/>
      <c r="C25" s="38"/>
      <c r="E25" s="50">
        <f>SUBTOTAL(9,E24)</f>
        <v>0</v>
      </c>
      <c r="F25" s="50">
        <f t="shared" ref="F25:S25" si="10">SUBTOTAL(9,F24)</f>
        <v>0</v>
      </c>
      <c r="G25" s="50">
        <f t="shared" si="10"/>
        <v>0</v>
      </c>
      <c r="H25" s="50">
        <f t="shared" si="10"/>
        <v>0</v>
      </c>
      <c r="I25" s="50">
        <f t="shared" si="10"/>
        <v>0</v>
      </c>
      <c r="J25" s="50">
        <f t="shared" si="10"/>
        <v>0</v>
      </c>
      <c r="K25" s="50">
        <f t="shared" si="10"/>
        <v>0</v>
      </c>
      <c r="L25" s="50">
        <f t="shared" si="10"/>
        <v>0</v>
      </c>
      <c r="M25" s="50">
        <f t="shared" si="10"/>
        <v>0</v>
      </c>
      <c r="N25" s="50">
        <f t="shared" si="10"/>
        <v>0</v>
      </c>
      <c r="O25" s="50">
        <f t="shared" si="10"/>
        <v>0</v>
      </c>
      <c r="P25" s="50">
        <f t="shared" si="10"/>
        <v>0</v>
      </c>
      <c r="Q25" s="99"/>
      <c r="R25" s="41"/>
      <c r="S25" s="61">
        <f t="shared" si="10"/>
        <v>0</v>
      </c>
      <c r="T25" s="41"/>
      <c r="U25" s="50">
        <f t="shared" ref="U25" si="11">SUBTOTAL(9,U24)</f>
        <v>0</v>
      </c>
      <c r="V25" s="50">
        <f t="shared" ref="V25" si="12">SUBTOTAL(9,V24)</f>
        <v>0</v>
      </c>
      <c r="W25" s="39"/>
    </row>
    <row r="26" spans="1:23" s="37" customFormat="1" ht="9" customHeight="1" x14ac:dyDescent="0.2">
      <c r="A26" s="45"/>
      <c r="C26" s="38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100"/>
      <c r="R26" s="41"/>
      <c r="S26" s="59"/>
      <c r="T26" s="41"/>
      <c r="U26" s="39"/>
      <c r="V26" s="39"/>
      <c r="W26" s="39"/>
    </row>
    <row r="27" spans="1:23" s="45" customFormat="1" ht="12" x14ac:dyDescent="0.2">
      <c r="A27" s="45" t="s">
        <v>105</v>
      </c>
      <c r="C27" s="46"/>
      <c r="E27" s="43">
        <f t="shared" ref="E27:P27" si="13">SUBTOTAL(9,E8:E26)</f>
        <v>42503.999999999985</v>
      </c>
      <c r="F27" s="43">
        <f t="shared" si="13"/>
        <v>42503.999999999985</v>
      </c>
      <c r="G27" s="43">
        <f t="shared" si="13"/>
        <v>42503.999999999985</v>
      </c>
      <c r="H27" s="43">
        <f t="shared" si="13"/>
        <v>42503.999999999985</v>
      </c>
      <c r="I27" s="43">
        <f t="shared" si="13"/>
        <v>42503.999999999985</v>
      </c>
      <c r="J27" s="43">
        <f t="shared" si="13"/>
        <v>42503.999999999985</v>
      </c>
      <c r="K27" s="43">
        <f t="shared" si="13"/>
        <v>42503.999999999985</v>
      </c>
      <c r="L27" s="43">
        <f t="shared" si="13"/>
        <v>42503.999999999985</v>
      </c>
      <c r="M27" s="43">
        <f t="shared" si="13"/>
        <v>42503.999999999985</v>
      </c>
      <c r="N27" s="43">
        <f t="shared" si="13"/>
        <v>42503.999999999985</v>
      </c>
      <c r="O27" s="43">
        <f t="shared" si="13"/>
        <v>42503.999999999985</v>
      </c>
      <c r="P27" s="43">
        <f t="shared" si="13"/>
        <v>42503.999999999985</v>
      </c>
      <c r="Q27" s="196"/>
      <c r="R27" s="48"/>
      <c r="S27" s="60">
        <f>SUBTOTAL(9,S8:S26)</f>
        <v>510047.99999999988</v>
      </c>
      <c r="T27" s="48"/>
      <c r="U27" s="43">
        <f>SUBTOTAL(9,U8:U26)</f>
        <v>494711.99999999994</v>
      </c>
      <c r="V27" s="43">
        <f>SUBTOTAL(9,V8:V26)</f>
        <v>15335.999999999869</v>
      </c>
      <c r="W27" s="40"/>
    </row>
    <row r="28" spans="1:23" s="45" customFormat="1" ht="12" x14ac:dyDescent="0.2">
      <c r="C28" s="46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100"/>
      <c r="R28" s="48"/>
      <c r="S28" s="59"/>
      <c r="T28" s="48"/>
      <c r="U28" s="40"/>
      <c r="V28" s="40"/>
      <c r="W28" s="40"/>
    </row>
    <row r="29" spans="1:23" s="37" customFormat="1" ht="12" x14ac:dyDescent="0.2">
      <c r="A29" s="45" t="s">
        <v>59</v>
      </c>
      <c r="C29" s="3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44"/>
      <c r="R29" s="41"/>
      <c r="S29" s="59"/>
      <c r="T29" s="41"/>
      <c r="U29" s="39"/>
      <c r="V29" s="39"/>
      <c r="W29" s="39"/>
    </row>
    <row r="30" spans="1:23" s="37" customFormat="1" ht="12" x14ac:dyDescent="0.2">
      <c r="C30" s="49" t="s">
        <v>8</v>
      </c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44"/>
      <c r="R30" s="41"/>
      <c r="S30" s="59"/>
      <c r="T30" s="41"/>
      <c r="U30" s="39"/>
      <c r="V30" s="39"/>
      <c r="W30" s="39"/>
    </row>
    <row r="31" spans="1:23" s="37" customFormat="1" ht="12" x14ac:dyDescent="0.2">
      <c r="C31" s="199">
        <v>6111</v>
      </c>
      <c r="D31" s="37" t="s">
        <v>192</v>
      </c>
      <c r="E31" s="39">
        <f>+'FY21'!E31*(1+MYP!$G$9)</f>
        <v>5973.2599949999994</v>
      </c>
      <c r="F31" s="39">
        <f>+'FY21'!F31*(1+MYP!$G$9)</f>
        <v>5973.2599949999994</v>
      </c>
      <c r="G31" s="39">
        <f>+'FY21'!G31*(1+MYP!$G$9)</f>
        <v>5973.2599949999994</v>
      </c>
      <c r="H31" s="39">
        <f>+'FY21'!H31*(1+MYP!$G$9)</f>
        <v>5973.2599949999994</v>
      </c>
      <c r="I31" s="39">
        <f>+'FY21'!I31*(1+MYP!$G$9)</f>
        <v>5973.2599949999994</v>
      </c>
      <c r="J31" s="39">
        <f>+'FY21'!J31*(1+MYP!$G$9)</f>
        <v>5973.2599949999994</v>
      </c>
      <c r="K31" s="39">
        <f>+'FY21'!K31*(1+MYP!$G$9)</f>
        <v>5973.2599949999994</v>
      </c>
      <c r="L31" s="39">
        <f>+'FY21'!L31*(1+MYP!$G$9)</f>
        <v>5973.2599949999994</v>
      </c>
      <c r="M31" s="39">
        <f>+'FY21'!M31*(1+MYP!$G$9)</f>
        <v>5973.2599949999994</v>
      </c>
      <c r="N31" s="39">
        <f>+'FY21'!N31*(1+MYP!$G$9)</f>
        <v>5973.2599949999994</v>
      </c>
      <c r="O31" s="39">
        <f>+'FY21'!O31*(1+MYP!$G$9)</f>
        <v>5973.2599949999994</v>
      </c>
      <c r="P31" s="39">
        <f>+'FY21'!P31*(1+MYP!$G$9)</f>
        <v>5973.2599949999994</v>
      </c>
      <c r="Q31" s="100"/>
      <c r="R31" s="41"/>
      <c r="S31" s="59">
        <f t="shared" ref="S31:S40" si="14">SUM(E31:Q31)</f>
        <v>71679.11993999999</v>
      </c>
      <c r="T31" s="41"/>
      <c r="U31" s="39">
        <f>'FY21'!S31</f>
        <v>70273.646999999997</v>
      </c>
      <c r="V31" s="39">
        <f>U31-S31</f>
        <v>-1405.4729399999924</v>
      </c>
      <c r="W31" s="39"/>
    </row>
    <row r="32" spans="1:23" s="37" customFormat="1" ht="12" x14ac:dyDescent="0.2">
      <c r="C32" s="199">
        <v>6114</v>
      </c>
      <c r="D32" s="37" t="s">
        <v>193</v>
      </c>
      <c r="E32" s="665">
        <f>+'FY21'!E32*(1+MYP!$G$9)</f>
        <v>1858.3125</v>
      </c>
      <c r="F32" s="665">
        <f>+'FY21'!F32*(1+MYP!$G$9)</f>
        <v>1858.3125</v>
      </c>
      <c r="G32" s="665">
        <f>+'FY21'!G32*(1+MYP!$G$9)</f>
        <v>1858.3125</v>
      </c>
      <c r="H32" s="665">
        <f>+'FY21'!H32*(1+MYP!$G$9)</f>
        <v>1858.3125</v>
      </c>
      <c r="I32" s="665">
        <f>+'FY21'!I32*(1+MYP!$G$9)</f>
        <v>1858.3125</v>
      </c>
      <c r="J32" s="665">
        <f>+'FY21'!J32*(1+MYP!$G$9)</f>
        <v>1858.3125</v>
      </c>
      <c r="K32" s="665">
        <f>+'FY21'!K32*(1+MYP!$G$9)</f>
        <v>1858.3125</v>
      </c>
      <c r="L32" s="665">
        <f>+'FY21'!L32*(1+MYP!$G$9)</f>
        <v>1858.3125</v>
      </c>
      <c r="M32" s="665">
        <f>+'FY21'!M32*(1+MYP!$G$9)</f>
        <v>1858.3125</v>
      </c>
      <c r="N32" s="665">
        <f>+'FY21'!N32*(1+MYP!$G$9)</f>
        <v>1858.3125</v>
      </c>
      <c r="O32" s="665">
        <f>+'FY21'!O32*(1+MYP!$G$9)</f>
        <v>1858.3125</v>
      </c>
      <c r="P32" s="665">
        <f>+'FY21'!P32*(1+MYP!$G$9)</f>
        <v>1858.3125</v>
      </c>
      <c r="Q32" s="100"/>
      <c r="R32" s="41"/>
      <c r="S32" s="59">
        <f t="shared" si="14"/>
        <v>22299.75</v>
      </c>
      <c r="T32" s="41"/>
      <c r="U32" s="39">
        <f>'FY21'!S32</f>
        <v>21862.5</v>
      </c>
      <c r="V32" s="39">
        <f t="shared" ref="V32:V40" si="15">U32-S32</f>
        <v>-437.25</v>
      </c>
      <c r="W32" s="39"/>
    </row>
    <row r="33" spans="3:23" s="37" customFormat="1" ht="12" x14ac:dyDescent="0.2">
      <c r="C33" s="199">
        <v>6117</v>
      </c>
      <c r="D33" s="37" t="s">
        <v>229</v>
      </c>
      <c r="E33" s="39">
        <f>+'FY21'!E33*(1+MYP!$G$9)</f>
        <v>3427.2803250000002</v>
      </c>
      <c r="F33" s="39">
        <f>+'FY21'!F33*(1+MYP!$G$9)</f>
        <v>3427.2803250000002</v>
      </c>
      <c r="G33" s="39">
        <f>+'FY21'!G33*(1+MYP!$G$9)</f>
        <v>3427.2803250000002</v>
      </c>
      <c r="H33" s="39">
        <f>+'FY21'!H33*(1+MYP!$G$9)</f>
        <v>3427.2803250000002</v>
      </c>
      <c r="I33" s="39">
        <f>+'FY21'!I33*(1+MYP!$G$9)</f>
        <v>3427.2803250000002</v>
      </c>
      <c r="J33" s="39">
        <f>+'FY21'!J33*(1+MYP!$G$9)</f>
        <v>3427.2803250000002</v>
      </c>
      <c r="K33" s="39">
        <f>+'FY21'!K33*(1+MYP!$G$9)</f>
        <v>3427.2803250000002</v>
      </c>
      <c r="L33" s="39">
        <f>+'FY21'!L33*(1+MYP!$G$9)</f>
        <v>3427.2803250000002</v>
      </c>
      <c r="M33" s="39">
        <f>+'FY21'!M33*(1+MYP!$G$9)</f>
        <v>3427.2803250000002</v>
      </c>
      <c r="N33" s="39">
        <f>+'FY21'!N33*(1+MYP!$G$9)</f>
        <v>3427.2803250000002</v>
      </c>
      <c r="O33" s="39">
        <f>+'FY21'!O33*(1+MYP!$G$9)</f>
        <v>3427.2803250000002</v>
      </c>
      <c r="P33" s="39">
        <f>+'FY21'!P33*(1+MYP!$G$9)</f>
        <v>3427.2803250000002</v>
      </c>
      <c r="Q33" s="100"/>
      <c r="R33" s="41"/>
      <c r="S33" s="59">
        <f t="shared" si="14"/>
        <v>41127.363900000004</v>
      </c>
      <c r="T33" s="41"/>
      <c r="U33" s="39">
        <f>'FY21'!S33</f>
        <v>40320.945</v>
      </c>
      <c r="V33" s="39">
        <f t="shared" si="15"/>
        <v>-806.41890000000421</v>
      </c>
      <c r="W33" s="39"/>
    </row>
    <row r="34" spans="3:23" s="37" customFormat="1" ht="12" x14ac:dyDescent="0.2">
      <c r="C34" s="199">
        <v>6127</v>
      </c>
      <c r="D34" s="37" t="s">
        <v>230</v>
      </c>
      <c r="E34" s="39">
        <f>+'FY21'!E34*(1+MYP!$G$9)</f>
        <v>884</v>
      </c>
      <c r="F34" s="39">
        <f>+'FY21'!F34*(1+MYP!$G$9)</f>
        <v>884</v>
      </c>
      <c r="G34" s="39">
        <f>+'FY21'!G34*(1+MYP!$G$9)</f>
        <v>884</v>
      </c>
      <c r="H34" s="39">
        <f>+'FY21'!H34*(1+MYP!$G$9)</f>
        <v>884</v>
      </c>
      <c r="I34" s="39">
        <f>+'FY21'!I34*(1+MYP!$G$9)</f>
        <v>884</v>
      </c>
      <c r="J34" s="39">
        <f>+'FY21'!J34*(1+MYP!$G$9)</f>
        <v>884</v>
      </c>
      <c r="K34" s="39">
        <f>+'FY21'!K34*(1+MYP!$G$9)</f>
        <v>884</v>
      </c>
      <c r="L34" s="39">
        <f>+'FY21'!L34*(1+MYP!$G$9)</f>
        <v>884</v>
      </c>
      <c r="M34" s="39">
        <f>+'FY21'!M34*(1+MYP!$G$9)</f>
        <v>884</v>
      </c>
      <c r="N34" s="39">
        <f>+'FY21'!N34*(1+MYP!$G$9)</f>
        <v>884</v>
      </c>
      <c r="O34" s="39">
        <f>+'FY21'!O34*(1+MYP!$G$9)</f>
        <v>884</v>
      </c>
      <c r="P34" s="39">
        <f>+'FY21'!P34*(1+MYP!$G$9)</f>
        <v>884</v>
      </c>
      <c r="Q34" s="100"/>
      <c r="R34" s="41"/>
      <c r="S34" s="59">
        <f t="shared" si="14"/>
        <v>10608</v>
      </c>
      <c r="T34" s="41"/>
      <c r="U34" s="39">
        <f>'FY21'!S34</f>
        <v>10400</v>
      </c>
      <c r="V34" s="39">
        <f t="shared" si="15"/>
        <v>-208</v>
      </c>
      <c r="W34" s="39"/>
    </row>
    <row r="35" spans="3:23" s="37" customFormat="1" ht="12" x14ac:dyDescent="0.2">
      <c r="C35" s="199">
        <v>6151</v>
      </c>
      <c r="D35" s="37" t="s">
        <v>190</v>
      </c>
      <c r="E35" s="39">
        <f>+'FY21'!E35*(1+MYP!$G$9)</f>
        <v>0</v>
      </c>
      <c r="F35" s="39">
        <f>+'FY21'!F35*(1+MYP!$G$9)</f>
        <v>856.80000000000007</v>
      </c>
      <c r="G35" s="39">
        <f>+'FY21'!G35*(1+MYP!$G$9)</f>
        <v>856.80000000000007</v>
      </c>
      <c r="H35" s="39">
        <f>+'FY21'!H35*(1+MYP!$G$9)</f>
        <v>856.80000000000007</v>
      </c>
      <c r="I35" s="39">
        <f>+'FY21'!I35*(1+MYP!$G$9)</f>
        <v>0</v>
      </c>
      <c r="J35" s="39">
        <f>+'FY21'!J35*(1+MYP!$G$9)</f>
        <v>0</v>
      </c>
      <c r="K35" s="39">
        <f>+'FY21'!K35*(1+MYP!$G$9)</f>
        <v>0</v>
      </c>
      <c r="L35" s="39">
        <f>+'FY21'!L35*(1+MYP!$G$9)</f>
        <v>856.80000000000007</v>
      </c>
      <c r="M35" s="39">
        <f>+'FY21'!M35*(1+MYP!$G$9)</f>
        <v>856.80000000000007</v>
      </c>
      <c r="N35" s="39">
        <f>+'FY21'!N35*(1+MYP!$G$9)</f>
        <v>0</v>
      </c>
      <c r="O35" s="39">
        <f>+'FY21'!O35*(1+MYP!$G$9)</f>
        <v>0</v>
      </c>
      <c r="P35" s="39">
        <f>+'FY21'!P35*(1+MYP!$G$9)</f>
        <v>0</v>
      </c>
      <c r="Q35" s="100"/>
      <c r="R35" s="41"/>
      <c r="S35" s="59">
        <f t="shared" si="14"/>
        <v>4284</v>
      </c>
      <c r="T35" s="41"/>
      <c r="U35" s="39">
        <f>'FY21'!S35</f>
        <v>4200</v>
      </c>
      <c r="V35" s="39">
        <f t="shared" si="15"/>
        <v>-84</v>
      </c>
      <c r="W35" s="39"/>
    </row>
    <row r="36" spans="3:23" s="37" customFormat="1" ht="12" x14ac:dyDescent="0.2">
      <c r="C36" s="199">
        <v>6154</v>
      </c>
      <c r="D36" s="37" t="s">
        <v>191</v>
      </c>
      <c r="E36" s="39">
        <f>+'FY21'!E36*(1+MYP!$G$9)</f>
        <v>0</v>
      </c>
      <c r="F36" s="39">
        <f>+'FY21'!F36*(1+MYP!$G$9)</f>
        <v>0</v>
      </c>
      <c r="G36" s="39">
        <f>+'FY21'!G36*(1+MYP!$G$9)</f>
        <v>0</v>
      </c>
      <c r="H36" s="39">
        <f>+'FY21'!H36*(1+MYP!$G$9)</f>
        <v>0</v>
      </c>
      <c r="I36" s="39">
        <f>+'FY21'!I36*(1+MYP!$G$9)</f>
        <v>0</v>
      </c>
      <c r="J36" s="39">
        <f>+'FY21'!J36*(1+MYP!$G$9)</f>
        <v>0</v>
      </c>
      <c r="K36" s="39">
        <f>+'FY21'!K36*(1+MYP!$G$9)</f>
        <v>0</v>
      </c>
      <c r="L36" s="39">
        <f>+'FY21'!L36*(1+MYP!$G$9)</f>
        <v>0</v>
      </c>
      <c r="M36" s="39">
        <f>+'FY21'!M36*(1+MYP!$G$9)</f>
        <v>856.80000000000007</v>
      </c>
      <c r="N36" s="39">
        <f>+'FY21'!N36*(1+MYP!$G$9)</f>
        <v>0</v>
      </c>
      <c r="O36" s="39">
        <f>+'FY21'!O36*(1+MYP!$G$9)</f>
        <v>0</v>
      </c>
      <c r="P36" s="39">
        <f>+'FY21'!P36*(1+MYP!$G$9)</f>
        <v>765</v>
      </c>
      <c r="Q36" s="100"/>
      <c r="R36" s="41"/>
      <c r="S36" s="59">
        <f t="shared" si="14"/>
        <v>1621.8000000000002</v>
      </c>
      <c r="T36" s="41"/>
      <c r="U36" s="39">
        <f>'FY21'!S36</f>
        <v>1590</v>
      </c>
      <c r="V36" s="39">
        <f t="shared" si="15"/>
        <v>-31.800000000000182</v>
      </c>
      <c r="W36" s="39"/>
    </row>
    <row r="37" spans="3:23" s="37" customFormat="1" ht="12" x14ac:dyDescent="0.2">
      <c r="C37" s="199">
        <v>6157</v>
      </c>
      <c r="D37" s="37" t="s">
        <v>231</v>
      </c>
      <c r="E37" s="39">
        <f>+'FY21'!E37*(1+MYP!$G$9)</f>
        <v>0</v>
      </c>
      <c r="F37" s="39">
        <f>+'FY21'!F37*(1+MYP!$G$9)</f>
        <v>765</v>
      </c>
      <c r="G37" s="39">
        <f>+'FY21'!G37*(1+MYP!$G$9)</f>
        <v>765</v>
      </c>
      <c r="H37" s="39">
        <f>+'FY21'!H37*(1+MYP!$G$9)</f>
        <v>0</v>
      </c>
      <c r="I37" s="39">
        <f>+'FY21'!I37*(1+MYP!$G$9)</f>
        <v>0</v>
      </c>
      <c r="J37" s="39">
        <f>+'FY21'!J37*(1+MYP!$G$9)</f>
        <v>0</v>
      </c>
      <c r="K37" s="39">
        <f>+'FY21'!K37*(1+MYP!$G$9)</f>
        <v>765</v>
      </c>
      <c r="L37" s="39">
        <f>+'FY21'!L37*(1+MYP!$G$9)</f>
        <v>765</v>
      </c>
      <c r="M37" s="39">
        <f>+'FY21'!M37*(1+MYP!$G$9)</f>
        <v>0</v>
      </c>
      <c r="N37" s="39">
        <f>+'FY21'!N37*(1+MYP!$G$9)</f>
        <v>0</v>
      </c>
      <c r="O37" s="39">
        <f>+'FY21'!O37*(1+MYP!$G$9)</f>
        <v>0</v>
      </c>
      <c r="P37" s="39">
        <f>+'FY21'!P37*(1+MYP!$G$9)</f>
        <v>0</v>
      </c>
      <c r="Q37" s="100"/>
      <c r="R37" s="41"/>
      <c r="S37" s="59">
        <f t="shared" si="14"/>
        <v>3060</v>
      </c>
      <c r="T37" s="41"/>
      <c r="U37" s="39">
        <f>'FY21'!S37</f>
        <v>3000</v>
      </c>
      <c r="V37" s="39">
        <f t="shared" si="15"/>
        <v>-60</v>
      </c>
      <c r="W37" s="39"/>
    </row>
    <row r="38" spans="3:23" s="37" customFormat="1" ht="12" x14ac:dyDescent="0.2">
      <c r="C38" s="199">
        <v>6161</v>
      </c>
      <c r="D38" s="37" t="s">
        <v>97</v>
      </c>
      <c r="E38" s="39">
        <f>+'FY21'!E38*(1+MYP!$G$9)</f>
        <v>0</v>
      </c>
      <c r="F38" s="39">
        <f>+'FY21'!F38*(1+MYP!$G$9)</f>
        <v>0</v>
      </c>
      <c r="G38" s="39">
        <f>+'FY21'!G38*(1+MYP!$G$9)</f>
        <v>0</v>
      </c>
      <c r="H38" s="39">
        <f>+'FY21'!H38*(1+MYP!$G$9)</f>
        <v>0</v>
      </c>
      <c r="I38" s="39">
        <f>+'FY21'!I38*(1+MYP!$G$9)</f>
        <v>0</v>
      </c>
      <c r="J38" s="39">
        <f>+'FY21'!J38*(1+MYP!$G$9)</f>
        <v>0</v>
      </c>
      <c r="K38" s="39">
        <f>+'FY21'!K38*(1+MYP!$G$9)</f>
        <v>0</v>
      </c>
      <c r="L38" s="39">
        <f>+'FY21'!L38*(1+MYP!$G$9)</f>
        <v>0</v>
      </c>
      <c r="M38" s="39">
        <f>+'FY21'!M38*(1+MYP!$G$9)</f>
        <v>0</v>
      </c>
      <c r="N38" s="39">
        <f>+'FY21'!N38*(1+MYP!$G$9)</f>
        <v>0</v>
      </c>
      <c r="O38" s="39">
        <f>+'FY21'!O38*(1+MYP!$G$9)</f>
        <v>0</v>
      </c>
      <c r="P38" s="39">
        <f>+'FY21'!P38*(1+MYP!$G$9)</f>
        <v>0</v>
      </c>
      <c r="Q38" s="100"/>
      <c r="R38" s="41"/>
      <c r="S38" s="59">
        <f t="shared" si="14"/>
        <v>0</v>
      </c>
      <c r="T38" s="41"/>
      <c r="U38" s="39">
        <f>'FY21'!S38</f>
        <v>0</v>
      </c>
      <c r="V38" s="39">
        <f t="shared" si="15"/>
        <v>0</v>
      </c>
      <c r="W38" s="39"/>
    </row>
    <row r="39" spans="3:23" s="37" customFormat="1" ht="12" x14ac:dyDescent="0.2">
      <c r="C39" s="199">
        <v>6164</v>
      </c>
      <c r="D39" s="37" t="s">
        <v>98</v>
      </c>
      <c r="E39" s="39">
        <f>+'FY21'!E39*(1+MYP!$G$9)</f>
        <v>0</v>
      </c>
      <c r="F39" s="39">
        <f>+'FY21'!F39*(1+MYP!$G$9)</f>
        <v>0</v>
      </c>
      <c r="G39" s="39">
        <f>+'FY21'!G39*(1+MYP!$G$9)</f>
        <v>0</v>
      </c>
      <c r="H39" s="39">
        <f>+'FY21'!H39*(1+MYP!$G$9)</f>
        <v>0</v>
      </c>
      <c r="I39" s="39">
        <f>+'FY21'!I39*(1+MYP!$G$9)</f>
        <v>0</v>
      </c>
      <c r="J39" s="39">
        <f>+'FY21'!J39*(1+MYP!$G$9)</f>
        <v>0</v>
      </c>
      <c r="K39" s="39">
        <f>+'FY21'!K39*(1+MYP!$G$9)</f>
        <v>0</v>
      </c>
      <c r="L39" s="39">
        <f>+'FY21'!L39*(1+MYP!$G$9)</f>
        <v>0</v>
      </c>
      <c r="M39" s="39">
        <f>+'FY21'!M39*(1+MYP!$G$9)</f>
        <v>0</v>
      </c>
      <c r="N39" s="39">
        <f>+'FY21'!N39*(1+MYP!$G$9)</f>
        <v>0</v>
      </c>
      <c r="O39" s="39">
        <f>+'FY21'!O39*(1+MYP!$G$9)</f>
        <v>0</v>
      </c>
      <c r="P39" s="39">
        <f>+'FY21'!P39*(1+MYP!$G$9)</f>
        <v>0</v>
      </c>
      <c r="Q39" s="100"/>
      <c r="R39" s="41"/>
      <c r="S39" s="59">
        <f t="shared" si="14"/>
        <v>0</v>
      </c>
      <c r="T39" s="41"/>
      <c r="U39" s="39">
        <f>'FY21'!S39</f>
        <v>0</v>
      </c>
      <c r="V39" s="39">
        <f t="shared" si="15"/>
        <v>0</v>
      </c>
      <c r="W39" s="39"/>
    </row>
    <row r="40" spans="3:23" s="37" customFormat="1" ht="12" x14ac:dyDescent="0.2">
      <c r="C40" s="199">
        <v>6167</v>
      </c>
      <c r="D40" s="37" t="s">
        <v>232</v>
      </c>
      <c r="E40" s="39">
        <f>+'FY21'!E40*(1+MYP!$G$9)</f>
        <v>0</v>
      </c>
      <c r="F40" s="39">
        <f>+'FY21'!F40*(1+MYP!$G$9)</f>
        <v>0</v>
      </c>
      <c r="G40" s="39">
        <f>+'FY21'!G40*(1+MYP!$G$9)</f>
        <v>0</v>
      </c>
      <c r="H40" s="39">
        <f>+'FY21'!H40*(1+MYP!$G$9)</f>
        <v>0</v>
      </c>
      <c r="I40" s="39">
        <f>+'FY21'!I40*(1+MYP!$G$9)</f>
        <v>0</v>
      </c>
      <c r="J40" s="39">
        <f>+'FY21'!J40*(1+MYP!$G$9)</f>
        <v>0</v>
      </c>
      <c r="K40" s="39">
        <f>+'FY21'!K40*(1+MYP!$G$9)</f>
        <v>0</v>
      </c>
      <c r="L40" s="39">
        <f>+'FY21'!L40*(1+MYP!$G$9)</f>
        <v>0</v>
      </c>
      <c r="M40" s="39">
        <f>+'FY21'!M40*(1+MYP!$G$9)</f>
        <v>0</v>
      </c>
      <c r="N40" s="39">
        <f>+'FY21'!N40*(1+MYP!$G$9)</f>
        <v>0</v>
      </c>
      <c r="O40" s="39">
        <f>+'FY21'!O40*(1+MYP!$G$9)</f>
        <v>0</v>
      </c>
      <c r="P40" s="39">
        <f>+'FY21'!P40*(1+MYP!$G$9)</f>
        <v>0</v>
      </c>
      <c r="Q40" s="100"/>
      <c r="R40" s="41"/>
      <c r="S40" s="59">
        <f t="shared" si="14"/>
        <v>0</v>
      </c>
      <c r="T40" s="41"/>
      <c r="U40" s="39">
        <f>'FY21'!S40</f>
        <v>0</v>
      </c>
      <c r="V40" s="39">
        <f t="shared" si="15"/>
        <v>0</v>
      </c>
      <c r="W40" s="39"/>
    </row>
    <row r="41" spans="3:23" s="37" customFormat="1" ht="12" x14ac:dyDescent="0.2">
      <c r="C41" s="38"/>
      <c r="E41" s="50">
        <f t="shared" ref="E41:P41" si="16">SUBTOTAL(9,E31:E40)</f>
        <v>12142.85282</v>
      </c>
      <c r="F41" s="50">
        <f t="shared" si="16"/>
        <v>13764.652819999999</v>
      </c>
      <c r="G41" s="50">
        <f t="shared" si="16"/>
        <v>13764.652819999999</v>
      </c>
      <c r="H41" s="50">
        <f t="shared" si="16"/>
        <v>12999.652819999999</v>
      </c>
      <c r="I41" s="50">
        <f t="shared" si="16"/>
        <v>12142.85282</v>
      </c>
      <c r="J41" s="50">
        <f t="shared" si="16"/>
        <v>12142.85282</v>
      </c>
      <c r="K41" s="50">
        <f t="shared" si="16"/>
        <v>12907.85282</v>
      </c>
      <c r="L41" s="50">
        <f t="shared" si="16"/>
        <v>13764.652819999999</v>
      </c>
      <c r="M41" s="50">
        <f t="shared" si="16"/>
        <v>13856.452819999999</v>
      </c>
      <c r="N41" s="50">
        <f t="shared" si="16"/>
        <v>12142.85282</v>
      </c>
      <c r="O41" s="50">
        <f t="shared" si="16"/>
        <v>12142.85282</v>
      </c>
      <c r="P41" s="50">
        <f t="shared" si="16"/>
        <v>12907.85282</v>
      </c>
      <c r="Q41" s="51"/>
      <c r="R41" s="41"/>
      <c r="S41" s="61">
        <f>SUBTOTAL(9,S31:S40)</f>
        <v>154680.03383999999</v>
      </c>
      <c r="T41" s="41"/>
      <c r="U41" s="50">
        <f>SUBTOTAL(9,U31:U40)</f>
        <v>151647.092</v>
      </c>
      <c r="V41" s="50">
        <f>SUBTOTAL(9,V31:V40)</f>
        <v>-3032.9418399999968</v>
      </c>
      <c r="W41" s="39"/>
    </row>
    <row r="42" spans="3:23" s="37" customFormat="1" ht="12" x14ac:dyDescent="0.2">
      <c r="C42" s="49" t="s">
        <v>99</v>
      </c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44"/>
      <c r="R42" s="41"/>
      <c r="S42" s="59"/>
      <c r="T42" s="41"/>
      <c r="U42" s="39"/>
      <c r="V42" s="39"/>
      <c r="W42" s="39"/>
    </row>
    <row r="43" spans="3:23" s="37" customFormat="1" ht="12" x14ac:dyDescent="0.2">
      <c r="C43" s="199">
        <v>6211</v>
      </c>
      <c r="D43" s="37" t="s">
        <v>199</v>
      </c>
      <c r="E43" s="39">
        <f>+'FY21'!E43*(1+MYP!$G$9)</f>
        <v>37.74</v>
      </c>
      <c r="F43" s="39">
        <f>+'FY21'!F43*(1+MYP!$G$9)</f>
        <v>37.74</v>
      </c>
      <c r="G43" s="39">
        <f>+'FY21'!G43*(1+MYP!$G$9)</f>
        <v>37.74</v>
      </c>
      <c r="H43" s="39">
        <f>+'FY21'!H43*(1+MYP!$G$9)</f>
        <v>37.74</v>
      </c>
      <c r="I43" s="39">
        <f>+'FY21'!I43*(1+MYP!$G$9)</f>
        <v>37.74</v>
      </c>
      <c r="J43" s="39">
        <f>+'FY21'!J43*(1+MYP!$G$9)</f>
        <v>37.74</v>
      </c>
      <c r="K43" s="39">
        <f>+'FY21'!K43*(1+MYP!$G$9)</f>
        <v>37.74</v>
      </c>
      <c r="L43" s="39">
        <f>+'FY21'!L43*(1+MYP!$G$9)</f>
        <v>37.74</v>
      </c>
      <c r="M43" s="39">
        <f>+'FY21'!M43*(1+MYP!$G$9)</f>
        <v>37.74</v>
      </c>
      <c r="N43" s="39">
        <f>+'FY21'!N43*(1+MYP!$G$9)</f>
        <v>37.74</v>
      </c>
      <c r="O43" s="39">
        <f>+'FY21'!O43*(1+MYP!$G$9)</f>
        <v>37.74</v>
      </c>
      <c r="P43" s="39">
        <f>+'FY21'!P43*(1+MYP!$G$9)</f>
        <v>37.74</v>
      </c>
      <c r="Q43" s="36"/>
      <c r="R43" s="41"/>
      <c r="S43" s="59">
        <f t="shared" ref="S43:S61" si="17">SUM(E43:Q43)</f>
        <v>452.88000000000005</v>
      </c>
      <c r="T43" s="41"/>
      <c r="U43" s="39">
        <f>'FY21'!S43</f>
        <v>444</v>
      </c>
      <c r="V43" s="39">
        <f t="shared" ref="V43:V61" si="18">U43-S43</f>
        <v>-8.8800000000000523</v>
      </c>
      <c r="W43" s="39"/>
    </row>
    <row r="44" spans="3:23" s="37" customFormat="1" ht="12" x14ac:dyDescent="0.2">
      <c r="C44" s="199">
        <v>6214</v>
      </c>
      <c r="D44" s="37" t="s">
        <v>200</v>
      </c>
      <c r="E44" s="665">
        <f>+'FY21'!E44*(1+MYP!$G$9)</f>
        <v>9.4350000000000005</v>
      </c>
      <c r="F44" s="665">
        <f>+'FY21'!F44*(1+MYP!$G$9)</f>
        <v>9.4350000000000005</v>
      </c>
      <c r="G44" s="665">
        <f>+'FY21'!G44*(1+MYP!$G$9)</f>
        <v>9.4350000000000005</v>
      </c>
      <c r="H44" s="665">
        <f>+'FY21'!H44*(1+MYP!$G$9)</f>
        <v>9.4350000000000005</v>
      </c>
      <c r="I44" s="665">
        <f>+'FY21'!I44*(1+MYP!$G$9)</f>
        <v>9.4350000000000005</v>
      </c>
      <c r="J44" s="665">
        <f>+'FY21'!J44*(1+MYP!$G$9)</f>
        <v>9.4350000000000005</v>
      </c>
      <c r="K44" s="665">
        <f>+'FY21'!K44*(1+MYP!$G$9)</f>
        <v>9.4350000000000005</v>
      </c>
      <c r="L44" s="665">
        <f>+'FY21'!L44*(1+MYP!$G$9)</f>
        <v>9.4350000000000005</v>
      </c>
      <c r="M44" s="665">
        <f>+'FY21'!M44*(1+MYP!$G$9)</f>
        <v>9.4350000000000005</v>
      </c>
      <c r="N44" s="665">
        <f>+'FY21'!N44*(1+MYP!$G$9)</f>
        <v>9.4350000000000005</v>
      </c>
      <c r="O44" s="665">
        <f>+'FY21'!O44*(1+MYP!$G$9)</f>
        <v>9.4350000000000005</v>
      </c>
      <c r="P44" s="665">
        <f>+'FY21'!P44*(1+MYP!$G$9)</f>
        <v>9.4350000000000005</v>
      </c>
      <c r="Q44" s="36"/>
      <c r="R44" s="41"/>
      <c r="S44" s="59">
        <f t="shared" si="17"/>
        <v>113.22000000000001</v>
      </c>
      <c r="T44" s="41"/>
      <c r="U44" s="39">
        <f>'FY21'!S44</f>
        <v>111</v>
      </c>
      <c r="V44" s="39">
        <f t="shared" si="18"/>
        <v>-2.2200000000000131</v>
      </c>
      <c r="W44" s="39"/>
    </row>
    <row r="45" spans="3:23" s="37" customFormat="1" ht="12" x14ac:dyDescent="0.2">
      <c r="C45" s="199">
        <v>6217</v>
      </c>
      <c r="D45" s="37" t="s">
        <v>223</v>
      </c>
      <c r="E45" s="39">
        <f>+'FY21'!E45*(1+MYP!$G$9)</f>
        <v>37.74</v>
      </c>
      <c r="F45" s="39">
        <f>+'FY21'!F45*(1+MYP!$G$9)</f>
        <v>37.74</v>
      </c>
      <c r="G45" s="39">
        <f>+'FY21'!G45*(1+MYP!$G$9)</f>
        <v>37.74</v>
      </c>
      <c r="H45" s="39">
        <f>+'FY21'!H45*(1+MYP!$G$9)</f>
        <v>37.74</v>
      </c>
      <c r="I45" s="39">
        <f>+'FY21'!I45*(1+MYP!$G$9)</f>
        <v>37.74</v>
      </c>
      <c r="J45" s="39">
        <f>+'FY21'!J45*(1+MYP!$G$9)</f>
        <v>37.74</v>
      </c>
      <c r="K45" s="39">
        <f>+'FY21'!K45*(1+MYP!$G$9)</f>
        <v>37.74</v>
      </c>
      <c r="L45" s="39">
        <f>+'FY21'!L45*(1+MYP!$G$9)</f>
        <v>37.74</v>
      </c>
      <c r="M45" s="39">
        <f>+'FY21'!M45*(1+MYP!$G$9)</f>
        <v>37.74</v>
      </c>
      <c r="N45" s="39">
        <f>+'FY21'!N45*(1+MYP!$G$9)</f>
        <v>37.74</v>
      </c>
      <c r="O45" s="39">
        <f>+'FY21'!O45*(1+MYP!$G$9)</f>
        <v>37.74</v>
      </c>
      <c r="P45" s="39">
        <f>+'FY21'!P45*(1+MYP!$G$9)</f>
        <v>37.74</v>
      </c>
      <c r="Q45" s="36"/>
      <c r="R45" s="41"/>
      <c r="S45" s="59">
        <f t="shared" si="17"/>
        <v>452.88000000000005</v>
      </c>
      <c r="T45" s="41"/>
      <c r="U45" s="39">
        <f>'FY21'!S45</f>
        <v>444</v>
      </c>
      <c r="V45" s="39">
        <f>U45-S45</f>
        <v>-8.8800000000000523</v>
      </c>
      <c r="W45" s="39"/>
    </row>
    <row r="46" spans="3:23" s="37" customFormat="1" ht="12" x14ac:dyDescent="0.2">
      <c r="C46" s="199">
        <v>6227</v>
      </c>
      <c r="D46" s="37" t="s">
        <v>222</v>
      </c>
      <c r="E46" s="39">
        <f>+'FY21'!E46*(1+MYP!$G$9)</f>
        <v>54.807999999999993</v>
      </c>
      <c r="F46" s="39">
        <f>+'FY21'!F46*(1+MYP!$G$9)</f>
        <v>54.807999999999993</v>
      </c>
      <c r="G46" s="39">
        <f>+'FY21'!G46*(1+MYP!$G$9)</f>
        <v>54.807999999999993</v>
      </c>
      <c r="H46" s="39">
        <f>+'FY21'!H46*(1+MYP!$G$9)</f>
        <v>54.807999999999993</v>
      </c>
      <c r="I46" s="39">
        <f>+'FY21'!I46*(1+MYP!$G$9)</f>
        <v>54.807999999999993</v>
      </c>
      <c r="J46" s="39">
        <f>+'FY21'!J46*(1+MYP!$G$9)</f>
        <v>54.807999999999993</v>
      </c>
      <c r="K46" s="39">
        <f>+'FY21'!K46*(1+MYP!$G$9)</f>
        <v>54.807999999999993</v>
      </c>
      <c r="L46" s="39">
        <f>+'FY21'!L46*(1+MYP!$G$9)</f>
        <v>54.807999999999993</v>
      </c>
      <c r="M46" s="39">
        <f>+'FY21'!M46*(1+MYP!$G$9)</f>
        <v>54.807999999999993</v>
      </c>
      <c r="N46" s="39">
        <f>+'FY21'!N46*(1+MYP!$G$9)</f>
        <v>54.807999999999993</v>
      </c>
      <c r="O46" s="39">
        <f>+'FY21'!O46*(1+MYP!$G$9)</f>
        <v>54.807999999999993</v>
      </c>
      <c r="P46" s="39">
        <f>+'FY21'!P46*(1+MYP!$G$9)</f>
        <v>54.807999999999993</v>
      </c>
      <c r="Q46" s="36"/>
      <c r="R46" s="41"/>
      <c r="S46" s="59">
        <f t="shared" si="17"/>
        <v>657.69599999999991</v>
      </c>
      <c r="T46" s="41"/>
      <c r="U46" s="39">
        <f>'FY21'!S46</f>
        <v>644.80000000000007</v>
      </c>
      <c r="V46" s="39">
        <f t="shared" si="18"/>
        <v>-12.895999999999844</v>
      </c>
      <c r="W46" s="39"/>
    </row>
    <row r="47" spans="3:23" s="37" customFormat="1" ht="12" x14ac:dyDescent="0.2">
      <c r="C47" s="199">
        <v>6231</v>
      </c>
      <c r="D47" s="37" t="s">
        <v>206</v>
      </c>
      <c r="E47" s="39">
        <f>+'FY21'!E47*(1+MYP!$G$9)</f>
        <v>910.92214923749998</v>
      </c>
      <c r="F47" s="39">
        <f>+'FY21'!F47*(1+MYP!$G$9)</f>
        <v>910.92214923749998</v>
      </c>
      <c r="G47" s="39">
        <f>+'FY21'!G47*(1+MYP!$G$9)</f>
        <v>910.92214923749998</v>
      </c>
      <c r="H47" s="39">
        <f>+'FY21'!H47*(1+MYP!$G$9)</f>
        <v>910.92214923749998</v>
      </c>
      <c r="I47" s="39">
        <f>+'FY21'!I47*(1+MYP!$G$9)</f>
        <v>910.92214923749998</v>
      </c>
      <c r="J47" s="39">
        <f>+'FY21'!J47*(1+MYP!$G$9)</f>
        <v>910.92214923749998</v>
      </c>
      <c r="K47" s="39">
        <f>+'FY21'!K47*(1+MYP!$G$9)</f>
        <v>910.92214923749998</v>
      </c>
      <c r="L47" s="39">
        <f>+'FY21'!L47*(1+MYP!$G$9)</f>
        <v>910.92214923749998</v>
      </c>
      <c r="M47" s="39">
        <f>+'FY21'!M47*(1+MYP!$G$9)</f>
        <v>910.92214923749998</v>
      </c>
      <c r="N47" s="39">
        <f>+'FY21'!N47*(1+MYP!$G$9)</f>
        <v>910.92214923749998</v>
      </c>
      <c r="O47" s="39">
        <f>+'FY21'!O47*(1+MYP!$G$9)</f>
        <v>910.92214923749998</v>
      </c>
      <c r="P47" s="39">
        <f>+'FY21'!P47*(1+MYP!$G$9)</f>
        <v>910.92214923749998</v>
      </c>
      <c r="Q47" s="36"/>
      <c r="R47" s="41"/>
      <c r="S47" s="59">
        <f>SUM(E47:Q47)</f>
        <v>10931.06579085</v>
      </c>
      <c r="T47" s="41"/>
      <c r="U47" s="39">
        <f>'FY21'!S47</f>
        <v>10716.731167500002</v>
      </c>
      <c r="V47" s="39">
        <f t="shared" si="18"/>
        <v>-214.33462334999786</v>
      </c>
      <c r="W47" s="39"/>
    </row>
    <row r="48" spans="3:23" s="37" customFormat="1" ht="12" x14ac:dyDescent="0.2">
      <c r="C48" s="199">
        <v>6234</v>
      </c>
      <c r="D48" s="37" t="s">
        <v>207</v>
      </c>
      <c r="E48" s="665">
        <f>+'FY21'!E48*(1+MYP!$G$9)</f>
        <v>543.55640625000001</v>
      </c>
      <c r="F48" s="665">
        <f>+'FY21'!F48*(1+MYP!$G$9)</f>
        <v>543.55640625000001</v>
      </c>
      <c r="G48" s="665">
        <f>+'FY21'!G48*(1+MYP!$G$9)</f>
        <v>543.55640625000001</v>
      </c>
      <c r="H48" s="665">
        <f>+'FY21'!H48*(1+MYP!$G$9)</f>
        <v>543.55640625000001</v>
      </c>
      <c r="I48" s="665">
        <f>+'FY21'!I48*(1+MYP!$G$9)</f>
        <v>543.55640625000001</v>
      </c>
      <c r="J48" s="665">
        <f>+'FY21'!J48*(1+MYP!$G$9)</f>
        <v>543.55640625000001</v>
      </c>
      <c r="K48" s="665">
        <f>+'FY21'!K48*(1+MYP!$G$9)</f>
        <v>543.55640625000001</v>
      </c>
      <c r="L48" s="665">
        <f>+'FY21'!L48*(1+MYP!$G$9)</f>
        <v>543.55640625000001</v>
      </c>
      <c r="M48" s="665">
        <f>+'FY21'!M48*(1+MYP!$G$9)</f>
        <v>543.55640625000001</v>
      </c>
      <c r="N48" s="665">
        <f>+'FY21'!N48*(1+MYP!$G$9)</f>
        <v>543.55640625000001</v>
      </c>
      <c r="O48" s="665">
        <f>+'FY21'!O48*(1+MYP!$G$9)</f>
        <v>543.55640625000001</v>
      </c>
      <c r="P48" s="665">
        <f>+'FY21'!P48*(1+MYP!$G$9)</f>
        <v>543.55640625000001</v>
      </c>
      <c r="Q48" s="36"/>
      <c r="R48" s="41"/>
      <c r="S48" s="59">
        <f t="shared" si="17"/>
        <v>6522.6768749999983</v>
      </c>
      <c r="T48" s="41"/>
      <c r="U48" s="39">
        <f>'FY21'!S48</f>
        <v>6394.78125</v>
      </c>
      <c r="V48" s="39">
        <f t="shared" si="18"/>
        <v>-127.89562499999829</v>
      </c>
      <c r="W48" s="39"/>
    </row>
    <row r="49" spans="3:23" s="37" customFormat="1" ht="12" x14ac:dyDescent="0.2">
      <c r="C49" s="199">
        <v>6237</v>
      </c>
      <c r="D49" s="37" t="s">
        <v>224</v>
      </c>
      <c r="E49" s="39">
        <f>+'FY21'!E49*(1+MYP!$G$9)</f>
        <v>522.66024956249998</v>
      </c>
      <c r="F49" s="39">
        <f>+'FY21'!F49*(1+MYP!$G$9)</f>
        <v>522.66024956249998</v>
      </c>
      <c r="G49" s="39">
        <f>+'FY21'!G49*(1+MYP!$G$9)</f>
        <v>522.66024956249998</v>
      </c>
      <c r="H49" s="39">
        <f>+'FY21'!H49*(1+MYP!$G$9)</f>
        <v>522.66024956249998</v>
      </c>
      <c r="I49" s="39">
        <f>+'FY21'!I49*(1+MYP!$G$9)</f>
        <v>522.66024956249998</v>
      </c>
      <c r="J49" s="39">
        <f>+'FY21'!J49*(1+MYP!$G$9)</f>
        <v>522.66024956249998</v>
      </c>
      <c r="K49" s="39">
        <f>+'FY21'!K49*(1+MYP!$G$9)</f>
        <v>522.66024956249998</v>
      </c>
      <c r="L49" s="39">
        <f>+'FY21'!L49*(1+MYP!$G$9)</f>
        <v>522.66024956249998</v>
      </c>
      <c r="M49" s="39">
        <f>+'FY21'!M49*(1+MYP!$G$9)</f>
        <v>522.66024956249998</v>
      </c>
      <c r="N49" s="39">
        <f>+'FY21'!N49*(1+MYP!$G$9)</f>
        <v>522.66024956249998</v>
      </c>
      <c r="O49" s="39">
        <f>+'FY21'!O49*(1+MYP!$G$9)</f>
        <v>522.66024956249998</v>
      </c>
      <c r="P49" s="39">
        <f>+'FY21'!P49*(1+MYP!$G$9)</f>
        <v>522.66024956249998</v>
      </c>
      <c r="Q49" s="36"/>
      <c r="R49" s="41"/>
      <c r="S49" s="59">
        <f t="shared" si="17"/>
        <v>6271.9229947500016</v>
      </c>
      <c r="T49" s="41"/>
      <c r="U49" s="39">
        <f>'FY21'!S49</f>
        <v>6148.9441124999985</v>
      </c>
      <c r="V49" s="39">
        <f t="shared" si="18"/>
        <v>-122.97888225000315</v>
      </c>
      <c r="W49" s="39"/>
    </row>
    <row r="50" spans="3:23" s="37" customFormat="1" ht="12" x14ac:dyDescent="0.2">
      <c r="C50" s="199">
        <v>6241</v>
      </c>
      <c r="D50" s="37" t="s">
        <v>197</v>
      </c>
      <c r="E50" s="39">
        <f>+'FY21'!E50*(1+MYP!$G$9)</f>
        <v>86.612269927499995</v>
      </c>
      <c r="F50" s="39">
        <f>+'FY21'!F50*(1+MYP!$G$9)</f>
        <v>99.035869927500002</v>
      </c>
      <c r="G50" s="39">
        <f>+'FY21'!G50*(1+MYP!$G$9)</f>
        <v>99.035869927500002</v>
      </c>
      <c r="H50" s="39">
        <f>+'FY21'!H50*(1+MYP!$G$9)</f>
        <v>99.035869927500002</v>
      </c>
      <c r="I50" s="39">
        <f>+'FY21'!I50*(1+MYP!$G$9)</f>
        <v>86.612269927499995</v>
      </c>
      <c r="J50" s="39">
        <f>+'FY21'!J50*(1+MYP!$G$9)</f>
        <v>86.612269927499995</v>
      </c>
      <c r="K50" s="39">
        <f>+'FY21'!K50*(1+MYP!$G$9)</f>
        <v>86.612269927499995</v>
      </c>
      <c r="L50" s="39">
        <f>+'FY21'!L50*(1+MYP!$G$9)</f>
        <v>99.035869927500002</v>
      </c>
      <c r="M50" s="39">
        <f>+'FY21'!M50*(1+MYP!$G$9)</f>
        <v>99.035869927500002</v>
      </c>
      <c r="N50" s="39">
        <f>+'FY21'!N50*(1+MYP!$G$9)</f>
        <v>86.612269927499995</v>
      </c>
      <c r="O50" s="39">
        <f>+'FY21'!O50*(1+MYP!$G$9)</f>
        <v>86.612269927499995</v>
      </c>
      <c r="P50" s="39">
        <f>+'FY21'!P50*(1+MYP!$G$9)</f>
        <v>86.612269927499995</v>
      </c>
      <c r="Q50" s="36"/>
      <c r="R50" s="41"/>
      <c r="S50" s="59">
        <f t="shared" si="17"/>
        <v>1101.4652391299999</v>
      </c>
      <c r="T50" s="41"/>
      <c r="U50" s="39">
        <f>'FY21'!S50</f>
        <v>1079.8678815000003</v>
      </c>
      <c r="V50" s="39">
        <f t="shared" si="18"/>
        <v>-21.597357629999578</v>
      </c>
      <c r="W50" s="39"/>
    </row>
    <row r="51" spans="3:23" s="37" customFormat="1" ht="12" x14ac:dyDescent="0.2">
      <c r="C51" s="199">
        <v>6244</v>
      </c>
      <c r="D51" s="37" t="s">
        <v>198</v>
      </c>
      <c r="E51" s="665">
        <f>+'FY21'!E51*(1+MYP!$G$9)</f>
        <v>26.945531250000002</v>
      </c>
      <c r="F51" s="665">
        <f>+'FY21'!F51*(1+MYP!$G$9)</f>
        <v>26.945531250000002</v>
      </c>
      <c r="G51" s="665">
        <f>+'FY21'!G51*(1+MYP!$G$9)</f>
        <v>26.945531250000002</v>
      </c>
      <c r="H51" s="665">
        <f>+'FY21'!H51*(1+MYP!$G$9)</f>
        <v>26.945531250000002</v>
      </c>
      <c r="I51" s="665">
        <f>+'FY21'!I51*(1+MYP!$G$9)</f>
        <v>26.945531250000002</v>
      </c>
      <c r="J51" s="665">
        <f>+'FY21'!J51*(1+MYP!$G$9)</f>
        <v>26.945531250000002</v>
      </c>
      <c r="K51" s="665">
        <f>+'FY21'!K51*(1+MYP!$G$9)</f>
        <v>26.945531250000002</v>
      </c>
      <c r="L51" s="665">
        <f>+'FY21'!L51*(1+MYP!$G$9)</f>
        <v>26.945531250000002</v>
      </c>
      <c r="M51" s="665">
        <f>+'FY21'!M51*(1+MYP!$G$9)</f>
        <v>39.369131250000002</v>
      </c>
      <c r="N51" s="665">
        <f>+'FY21'!N51*(1+MYP!$G$9)</f>
        <v>26.945531250000002</v>
      </c>
      <c r="O51" s="665">
        <f>+'FY21'!O51*(1+MYP!$G$9)</f>
        <v>26.945531250000002</v>
      </c>
      <c r="P51" s="665">
        <f>+'FY21'!P51*(1+MYP!$G$9)</f>
        <v>38.038031250000003</v>
      </c>
      <c r="Q51" s="36"/>
      <c r="R51" s="41"/>
      <c r="S51" s="59">
        <f t="shared" si="17"/>
        <v>346.86247499999996</v>
      </c>
      <c r="T51" s="41"/>
      <c r="U51" s="39">
        <f>'FY21'!S51</f>
        <v>340.06125000000009</v>
      </c>
      <c r="V51" s="39">
        <f t="shared" si="18"/>
        <v>-6.8012249999998744</v>
      </c>
      <c r="W51" s="39"/>
    </row>
    <row r="52" spans="3:23" s="37" customFormat="1" ht="12" x14ac:dyDescent="0.2">
      <c r="C52" s="199">
        <v>6247</v>
      </c>
      <c r="D52" s="37" t="s">
        <v>225</v>
      </c>
      <c r="E52" s="39">
        <f>+'FY21'!E52*(1+MYP!$G$9)</f>
        <v>62.513564712500006</v>
      </c>
      <c r="F52" s="39">
        <f>+'FY21'!F52*(1+MYP!$G$9)</f>
        <v>73.6060647125</v>
      </c>
      <c r="G52" s="39">
        <f>+'FY21'!G52*(1+MYP!$G$9)</f>
        <v>73.6060647125</v>
      </c>
      <c r="H52" s="39">
        <f>+'FY21'!H52*(1+MYP!$G$9)</f>
        <v>62.513564712500006</v>
      </c>
      <c r="I52" s="39">
        <f>+'FY21'!I52*(1+MYP!$G$9)</f>
        <v>62.513564712500006</v>
      </c>
      <c r="J52" s="39">
        <f>+'FY21'!J52*(1+MYP!$G$9)</f>
        <v>62.513564712500006</v>
      </c>
      <c r="K52" s="39">
        <f>+'FY21'!K52*(1+MYP!$G$9)</f>
        <v>73.6060647125</v>
      </c>
      <c r="L52" s="39">
        <f>+'FY21'!L52*(1+MYP!$G$9)</f>
        <v>73.6060647125</v>
      </c>
      <c r="M52" s="39">
        <f>+'FY21'!M52*(1+MYP!$G$9)</f>
        <v>62.513564712500006</v>
      </c>
      <c r="N52" s="39">
        <f>+'FY21'!N52*(1+MYP!$G$9)</f>
        <v>62.513564712500006</v>
      </c>
      <c r="O52" s="39">
        <f>+'FY21'!O52*(1+MYP!$G$9)</f>
        <v>62.513564712500006</v>
      </c>
      <c r="P52" s="39">
        <f>+'FY21'!P52*(1+MYP!$G$9)</f>
        <v>62.513564712500006</v>
      </c>
      <c r="Q52" s="36"/>
      <c r="R52" s="41"/>
      <c r="S52" s="59">
        <f t="shared" si="17"/>
        <v>794.53277655000022</v>
      </c>
      <c r="T52" s="41"/>
      <c r="U52" s="39">
        <f>'FY21'!S52</f>
        <v>778.95370249999996</v>
      </c>
      <c r="V52" s="39">
        <f t="shared" si="18"/>
        <v>-15.579074050000258</v>
      </c>
      <c r="W52" s="39"/>
    </row>
    <row r="53" spans="3:23" s="37" customFormat="1" ht="12" x14ac:dyDescent="0.2">
      <c r="C53" s="199">
        <v>6261</v>
      </c>
      <c r="D53" s="37" t="s">
        <v>208</v>
      </c>
      <c r="E53" s="39">
        <f>+'FY21'!E53*(1+MYP!$G$9)</f>
        <v>79.56</v>
      </c>
      <c r="F53" s="39">
        <f>+'FY21'!F53*(1+MYP!$G$9)</f>
        <v>79.56</v>
      </c>
      <c r="G53" s="39">
        <f>+'FY21'!G53*(1+MYP!$G$9)</f>
        <v>79.56</v>
      </c>
      <c r="H53" s="39">
        <f>+'FY21'!H53*(1+MYP!$G$9)</f>
        <v>79.56</v>
      </c>
      <c r="I53" s="39">
        <f>+'FY21'!I53*(1+MYP!$G$9)</f>
        <v>79.56</v>
      </c>
      <c r="J53" s="39">
        <f>+'FY21'!J53*(1+MYP!$G$9)</f>
        <v>79.56</v>
      </c>
      <c r="K53" s="39">
        <f>+'FY21'!K53*(1+MYP!$G$9)</f>
        <v>79.56</v>
      </c>
      <c r="L53" s="39">
        <f>+'FY21'!L53*(1+MYP!$G$9)</f>
        <v>79.56</v>
      </c>
      <c r="M53" s="39">
        <f>+'FY21'!M53*(1+MYP!$G$9)</f>
        <v>79.56</v>
      </c>
      <c r="N53" s="39">
        <f>+'FY21'!N53*(1+MYP!$G$9)</f>
        <v>79.56</v>
      </c>
      <c r="O53" s="39">
        <f>+'FY21'!O53*(1+MYP!$G$9)</f>
        <v>79.56</v>
      </c>
      <c r="P53" s="39">
        <f>+'FY21'!P53*(1+MYP!$G$9)</f>
        <v>79.56</v>
      </c>
      <c r="Q53" s="36"/>
      <c r="R53" s="41"/>
      <c r="S53" s="59">
        <f t="shared" si="17"/>
        <v>954.7199999999998</v>
      </c>
      <c r="T53" s="41"/>
      <c r="U53" s="39">
        <f>'FY21'!S53</f>
        <v>936</v>
      </c>
      <c r="V53" s="39">
        <f t="shared" si="18"/>
        <v>-18.7199999999998</v>
      </c>
      <c r="W53" s="39"/>
    </row>
    <row r="54" spans="3:23" s="37" customFormat="1" ht="12" x14ac:dyDescent="0.2">
      <c r="C54" s="199">
        <v>6264</v>
      </c>
      <c r="D54" s="37" t="s">
        <v>209</v>
      </c>
      <c r="E54" s="665">
        <f>+'FY21'!E54*(1+MYP!$G$9)</f>
        <v>55.749375000000001</v>
      </c>
      <c r="F54" s="665">
        <f>+'FY21'!F54*(1+MYP!$G$9)</f>
        <v>55.749375000000001</v>
      </c>
      <c r="G54" s="665">
        <f>+'FY21'!G54*(1+MYP!$G$9)</f>
        <v>55.749375000000001</v>
      </c>
      <c r="H54" s="665">
        <f>+'FY21'!H54*(1+MYP!$G$9)</f>
        <v>55.749375000000001</v>
      </c>
      <c r="I54" s="665">
        <f>+'FY21'!I54*(1+MYP!$G$9)</f>
        <v>55.749375000000001</v>
      </c>
      <c r="J54" s="665">
        <f>+'FY21'!J54*(1+MYP!$G$9)</f>
        <v>55.749375000000001</v>
      </c>
      <c r="K54" s="665">
        <f>+'FY21'!K54*(1+MYP!$G$9)</f>
        <v>55.749375000000001</v>
      </c>
      <c r="L54" s="665">
        <f>+'FY21'!L54*(1+MYP!$G$9)</f>
        <v>55.749375000000001</v>
      </c>
      <c r="M54" s="665">
        <f>+'FY21'!M54*(1+MYP!$G$9)</f>
        <v>55.749375000000001</v>
      </c>
      <c r="N54" s="665">
        <f>+'FY21'!N54*(1+MYP!$G$9)</f>
        <v>55.749375000000001</v>
      </c>
      <c r="O54" s="665">
        <f>+'FY21'!O54*(1+MYP!$G$9)</f>
        <v>55.749375000000001</v>
      </c>
      <c r="P54" s="665">
        <f>+'FY21'!P54*(1+MYP!$G$9)</f>
        <v>55.749375000000001</v>
      </c>
      <c r="Q54" s="36"/>
      <c r="R54" s="41"/>
      <c r="S54" s="59">
        <f t="shared" si="17"/>
        <v>668.99249999999995</v>
      </c>
      <c r="T54" s="41"/>
      <c r="U54" s="39">
        <f>'FY21'!S54</f>
        <v>655.875</v>
      </c>
      <c r="V54" s="39">
        <f t="shared" si="18"/>
        <v>-13.11749999999995</v>
      </c>
      <c r="W54" s="39"/>
    </row>
    <row r="55" spans="3:23" s="37" customFormat="1" ht="12" x14ac:dyDescent="0.2">
      <c r="C55" s="199">
        <v>6267</v>
      </c>
      <c r="D55" s="37" t="s">
        <v>226</v>
      </c>
      <c r="E55" s="39">
        <f>+'FY21'!E55*(1+MYP!$G$9)</f>
        <v>106.08</v>
      </c>
      <c r="F55" s="39">
        <f>+'FY21'!F55*(1+MYP!$G$9)</f>
        <v>106.08</v>
      </c>
      <c r="G55" s="39">
        <f>+'FY21'!G55*(1+MYP!$G$9)</f>
        <v>106.08</v>
      </c>
      <c r="H55" s="39">
        <f>+'FY21'!H55*(1+MYP!$G$9)</f>
        <v>106.08</v>
      </c>
      <c r="I55" s="39">
        <f>+'FY21'!I55*(1+MYP!$G$9)</f>
        <v>106.08</v>
      </c>
      <c r="J55" s="39">
        <f>+'FY21'!J55*(1+MYP!$G$9)</f>
        <v>106.08</v>
      </c>
      <c r="K55" s="39">
        <f>+'FY21'!K55*(1+MYP!$G$9)</f>
        <v>106.08</v>
      </c>
      <c r="L55" s="39">
        <f>+'FY21'!L55*(1+MYP!$G$9)</f>
        <v>106.08</v>
      </c>
      <c r="M55" s="39">
        <f>+'FY21'!M55*(1+MYP!$G$9)</f>
        <v>106.08</v>
      </c>
      <c r="N55" s="39">
        <f>+'FY21'!N55*(1+MYP!$G$9)</f>
        <v>106.08</v>
      </c>
      <c r="O55" s="39">
        <f>+'FY21'!O55*(1+MYP!$G$9)</f>
        <v>106.08</v>
      </c>
      <c r="P55" s="39">
        <f>+'FY21'!P55*(1+MYP!$G$9)</f>
        <v>106.08</v>
      </c>
      <c r="Q55" s="36"/>
      <c r="R55" s="41"/>
      <c r="S55" s="59">
        <f t="shared" si="17"/>
        <v>1272.96</v>
      </c>
      <c r="T55" s="41"/>
      <c r="U55" s="39">
        <f>'FY21'!S55</f>
        <v>1248</v>
      </c>
      <c r="V55" s="39">
        <f t="shared" si="18"/>
        <v>-24.960000000000036</v>
      </c>
      <c r="W55" s="39"/>
    </row>
    <row r="56" spans="3:23" s="37" customFormat="1" ht="12" x14ac:dyDescent="0.2">
      <c r="C56" s="199">
        <v>6271</v>
      </c>
      <c r="D56" s="37" t="s">
        <v>210</v>
      </c>
      <c r="E56" s="39">
        <f>+'FY21'!E56*(1+MYP!$G$9)</f>
        <v>41.146689967500002</v>
      </c>
      <c r="F56" s="39">
        <f>+'FY21'!F56*(1+MYP!$G$9)</f>
        <v>41.146689967500002</v>
      </c>
      <c r="G56" s="39">
        <f>+'FY21'!G56*(1+MYP!$G$9)</f>
        <v>41.146689967500002</v>
      </c>
      <c r="H56" s="39">
        <f>+'FY21'!H56*(1+MYP!$G$9)</f>
        <v>41.146689967500002</v>
      </c>
      <c r="I56" s="39">
        <f>+'FY21'!I56*(1+MYP!$G$9)</f>
        <v>41.146689967500002</v>
      </c>
      <c r="J56" s="39">
        <f>+'FY21'!J56*(1+MYP!$G$9)</f>
        <v>41.146689967500002</v>
      </c>
      <c r="K56" s="39">
        <f>+'FY21'!K56*(1+MYP!$G$9)</f>
        <v>41.146689967500002</v>
      </c>
      <c r="L56" s="39">
        <f>+'FY21'!L56*(1+MYP!$G$9)</f>
        <v>41.146689967500002</v>
      </c>
      <c r="M56" s="39">
        <f>+'FY21'!M56*(1+MYP!$G$9)</f>
        <v>41.146689967500002</v>
      </c>
      <c r="N56" s="39">
        <f>+'FY21'!N56*(1+MYP!$G$9)</f>
        <v>41.146689967500002</v>
      </c>
      <c r="O56" s="39">
        <f>+'FY21'!O56*(1+MYP!$G$9)</f>
        <v>41.146689967500002</v>
      </c>
      <c r="P56" s="39">
        <f>+'FY21'!P56*(1+MYP!$G$9)</f>
        <v>41.146689967500002</v>
      </c>
      <c r="Q56" s="36"/>
      <c r="R56" s="41"/>
      <c r="S56" s="59">
        <f t="shared" si="17"/>
        <v>493.76027960999994</v>
      </c>
      <c r="T56" s="41"/>
      <c r="U56" s="39">
        <f>'FY21'!S56</f>
        <v>484.07870550000001</v>
      </c>
      <c r="V56" s="39">
        <f t="shared" si="18"/>
        <v>-9.6815741099999286</v>
      </c>
      <c r="W56" s="39"/>
    </row>
    <row r="57" spans="3:23" s="37" customFormat="1" ht="12" x14ac:dyDescent="0.2">
      <c r="C57" s="199">
        <v>6274</v>
      </c>
      <c r="D57" s="37" t="s">
        <v>211</v>
      </c>
      <c r="E57" s="665">
        <f>+'FY21'!E57*(1+MYP!$G$9)</f>
        <v>12.95750625</v>
      </c>
      <c r="F57" s="665">
        <f>+'FY21'!F57*(1+MYP!$G$9)</f>
        <v>12.95750625</v>
      </c>
      <c r="G57" s="665">
        <f>+'FY21'!G57*(1+MYP!$G$9)</f>
        <v>12.95750625</v>
      </c>
      <c r="H57" s="665">
        <f>+'FY21'!H57*(1+MYP!$G$9)</f>
        <v>12.95750625</v>
      </c>
      <c r="I57" s="665">
        <f>+'FY21'!I57*(1+MYP!$G$9)</f>
        <v>12.95750625</v>
      </c>
      <c r="J57" s="665">
        <f>+'FY21'!J57*(1+MYP!$G$9)</f>
        <v>12.95750625</v>
      </c>
      <c r="K57" s="665">
        <f>+'FY21'!K57*(1+MYP!$G$9)</f>
        <v>12.95750625</v>
      </c>
      <c r="L57" s="665">
        <f>+'FY21'!L57*(1+MYP!$G$9)</f>
        <v>12.95750625</v>
      </c>
      <c r="M57" s="665">
        <f>+'FY21'!M57*(1+MYP!$G$9)</f>
        <v>12.95750625</v>
      </c>
      <c r="N57" s="665">
        <f>+'FY21'!N57*(1+MYP!$G$9)</f>
        <v>12.95750625</v>
      </c>
      <c r="O57" s="665">
        <f>+'FY21'!O57*(1+MYP!$G$9)</f>
        <v>12.95750625</v>
      </c>
      <c r="P57" s="665">
        <f>+'FY21'!P57*(1+MYP!$G$9)</f>
        <v>12.95750625</v>
      </c>
      <c r="Q57" s="36"/>
      <c r="R57" s="41"/>
      <c r="S57" s="59">
        <f t="shared" si="17"/>
        <v>155.49007499999996</v>
      </c>
      <c r="T57" s="41"/>
      <c r="U57" s="39">
        <f>'FY21'!S57</f>
        <v>152.44125000000003</v>
      </c>
      <c r="V57" s="39">
        <f t="shared" si="18"/>
        <v>-3.0488249999999368</v>
      </c>
      <c r="W57" s="39"/>
    </row>
    <row r="58" spans="3:23" s="37" customFormat="1" ht="12" x14ac:dyDescent="0.2">
      <c r="C58" s="199">
        <v>6277</v>
      </c>
      <c r="D58" s="37" t="s">
        <v>227</v>
      </c>
      <c r="E58" s="39">
        <f>+'FY21'!E58*(1+MYP!$G$9)</f>
        <v>29.680822112499996</v>
      </c>
      <c r="F58" s="39">
        <f>+'FY21'!F58*(1+MYP!$G$9)</f>
        <v>29.680822112499996</v>
      </c>
      <c r="G58" s="39">
        <f>+'FY21'!G58*(1+MYP!$G$9)</f>
        <v>29.680822112499996</v>
      </c>
      <c r="H58" s="39">
        <f>+'FY21'!H58*(1+MYP!$G$9)</f>
        <v>29.680822112499996</v>
      </c>
      <c r="I58" s="39">
        <f>+'FY21'!I58*(1+MYP!$G$9)</f>
        <v>29.680822112499996</v>
      </c>
      <c r="J58" s="39">
        <f>+'FY21'!J58*(1+MYP!$G$9)</f>
        <v>29.680822112499996</v>
      </c>
      <c r="K58" s="39">
        <f>+'FY21'!K58*(1+MYP!$G$9)</f>
        <v>29.680822112499996</v>
      </c>
      <c r="L58" s="39">
        <f>+'FY21'!L58*(1+MYP!$G$9)</f>
        <v>29.680822112499996</v>
      </c>
      <c r="M58" s="39">
        <f>+'FY21'!M58*(1+MYP!$G$9)</f>
        <v>29.680822112499996</v>
      </c>
      <c r="N58" s="39">
        <f>+'FY21'!N58*(1+MYP!$G$9)</f>
        <v>29.680822112499996</v>
      </c>
      <c r="O58" s="39">
        <f>+'FY21'!O58*(1+MYP!$G$9)</f>
        <v>29.680822112499996</v>
      </c>
      <c r="P58" s="39">
        <f>+'FY21'!P58*(1+MYP!$G$9)</f>
        <v>29.680822112499996</v>
      </c>
      <c r="Q58" s="36"/>
      <c r="R58" s="41"/>
      <c r="S58" s="59">
        <f t="shared" si="17"/>
        <v>356.16986534999984</v>
      </c>
      <c r="T58" s="41"/>
      <c r="U58" s="39">
        <f>'FY21'!S58</f>
        <v>349.18614249999996</v>
      </c>
      <c r="V58" s="39">
        <f t="shared" si="18"/>
        <v>-6.9837228499998787</v>
      </c>
      <c r="W58" s="39"/>
    </row>
    <row r="59" spans="3:23" s="37" customFormat="1" ht="12" x14ac:dyDescent="0.2">
      <c r="C59" s="199">
        <v>6281</v>
      </c>
      <c r="D59" s="37" t="s">
        <v>194</v>
      </c>
      <c r="E59" s="39">
        <f>+'FY21'!E59*(1+MYP!$G$9)</f>
        <v>413.1</v>
      </c>
      <c r="F59" s="39">
        <f>+'FY21'!F59*(1+MYP!$G$9)</f>
        <v>413.1</v>
      </c>
      <c r="G59" s="39">
        <f>+'FY21'!G59*(1+MYP!$G$9)</f>
        <v>413.1</v>
      </c>
      <c r="H59" s="39">
        <f>+'FY21'!H59*(1+MYP!$G$9)</f>
        <v>413.1</v>
      </c>
      <c r="I59" s="39">
        <f>+'FY21'!I59*(1+MYP!$G$9)</f>
        <v>413.1</v>
      </c>
      <c r="J59" s="39">
        <f>+'FY21'!J59*(1+MYP!$G$9)</f>
        <v>413.1</v>
      </c>
      <c r="K59" s="39">
        <f>+'FY21'!K59*(1+MYP!$G$9)</f>
        <v>413.1</v>
      </c>
      <c r="L59" s="39">
        <f>+'FY21'!L59*(1+MYP!$G$9)</f>
        <v>413.1</v>
      </c>
      <c r="M59" s="39">
        <f>+'FY21'!M59*(1+MYP!$G$9)</f>
        <v>413.1</v>
      </c>
      <c r="N59" s="39">
        <f>+'FY21'!N59*(1+MYP!$G$9)</f>
        <v>413.1</v>
      </c>
      <c r="O59" s="39">
        <f>+'FY21'!O59*(1+MYP!$G$9)</f>
        <v>413.1</v>
      </c>
      <c r="P59" s="39">
        <f>+'FY21'!P59*(1+MYP!$G$9)</f>
        <v>413.1</v>
      </c>
      <c r="Q59" s="36"/>
      <c r="R59" s="41"/>
      <c r="S59" s="59">
        <f t="shared" si="17"/>
        <v>4957.2000000000007</v>
      </c>
      <c r="T59" s="41"/>
      <c r="U59" s="39">
        <f>'FY21'!S59</f>
        <v>4860</v>
      </c>
      <c r="V59" s="39">
        <f t="shared" si="18"/>
        <v>-97.200000000000728</v>
      </c>
      <c r="W59" s="39"/>
    </row>
    <row r="60" spans="3:23" s="37" customFormat="1" ht="12" x14ac:dyDescent="0.2">
      <c r="C60" s="199">
        <v>6284</v>
      </c>
      <c r="D60" s="37" t="s">
        <v>195</v>
      </c>
      <c r="E60" s="665">
        <f>+'FY21'!E60*(1+MYP!$G$9)</f>
        <v>103.27500000000001</v>
      </c>
      <c r="F60" s="665">
        <f>+'FY21'!F60*(1+MYP!$G$9)</f>
        <v>103.27500000000001</v>
      </c>
      <c r="G60" s="665">
        <f>+'FY21'!G60*(1+MYP!$G$9)</f>
        <v>103.27500000000001</v>
      </c>
      <c r="H60" s="665">
        <f>+'FY21'!H60*(1+MYP!$G$9)</f>
        <v>103.27500000000001</v>
      </c>
      <c r="I60" s="665">
        <f>+'FY21'!I60*(1+MYP!$G$9)</f>
        <v>103.27500000000001</v>
      </c>
      <c r="J60" s="665">
        <f>+'FY21'!J60*(1+MYP!$G$9)</f>
        <v>103.27500000000001</v>
      </c>
      <c r="K60" s="665">
        <f>+'FY21'!K60*(1+MYP!$G$9)</f>
        <v>103.27500000000001</v>
      </c>
      <c r="L60" s="665">
        <f>+'FY21'!L60*(1+MYP!$G$9)</f>
        <v>103.27500000000001</v>
      </c>
      <c r="M60" s="665">
        <f>+'FY21'!M60*(1+MYP!$G$9)</f>
        <v>103.27500000000001</v>
      </c>
      <c r="N60" s="665">
        <f>+'FY21'!N60*(1+MYP!$G$9)</f>
        <v>103.27500000000001</v>
      </c>
      <c r="O60" s="665">
        <f>+'FY21'!O60*(1+MYP!$G$9)</f>
        <v>103.27500000000001</v>
      </c>
      <c r="P60" s="665">
        <f>+'FY21'!P60*(1+MYP!$G$9)</f>
        <v>103.27500000000001</v>
      </c>
      <c r="Q60" s="98"/>
      <c r="R60" s="41"/>
      <c r="S60" s="59">
        <f t="shared" si="17"/>
        <v>1239.3000000000002</v>
      </c>
      <c r="T60" s="41"/>
      <c r="U60" s="39">
        <f>'FY21'!S60</f>
        <v>1215</v>
      </c>
      <c r="V60" s="39">
        <f t="shared" si="18"/>
        <v>-24.300000000000182</v>
      </c>
      <c r="W60" s="39"/>
    </row>
    <row r="61" spans="3:23" s="37" customFormat="1" ht="12" x14ac:dyDescent="0.2">
      <c r="C61" s="199">
        <v>6287</v>
      </c>
      <c r="D61" s="37" t="s">
        <v>228</v>
      </c>
      <c r="E61" s="39">
        <f>+'FY21'!E61*(1+MYP!$G$9)</f>
        <v>413.1</v>
      </c>
      <c r="F61" s="39">
        <f>+'FY21'!F61*(1+MYP!$G$9)</f>
        <v>413.1</v>
      </c>
      <c r="G61" s="39">
        <f>+'FY21'!G61*(1+MYP!$G$9)</f>
        <v>413.1</v>
      </c>
      <c r="H61" s="39">
        <f>+'FY21'!H61*(1+MYP!$G$9)</f>
        <v>413.1</v>
      </c>
      <c r="I61" s="39">
        <f>+'FY21'!I61*(1+MYP!$G$9)</f>
        <v>413.1</v>
      </c>
      <c r="J61" s="39">
        <f>+'FY21'!J61*(1+MYP!$G$9)</f>
        <v>413.1</v>
      </c>
      <c r="K61" s="39">
        <f>+'FY21'!K61*(1+MYP!$G$9)</f>
        <v>413.1</v>
      </c>
      <c r="L61" s="39">
        <f>+'FY21'!L61*(1+MYP!$G$9)</f>
        <v>413.1</v>
      </c>
      <c r="M61" s="39">
        <f>+'FY21'!M61*(1+MYP!$G$9)</f>
        <v>413.1</v>
      </c>
      <c r="N61" s="39">
        <f>+'FY21'!N61*(1+MYP!$G$9)</f>
        <v>413.1</v>
      </c>
      <c r="O61" s="39">
        <f>+'FY21'!O61*(1+MYP!$G$9)</f>
        <v>413.1</v>
      </c>
      <c r="P61" s="39">
        <f>+'FY21'!P61*(1+MYP!$G$9)</f>
        <v>413.1</v>
      </c>
      <c r="Q61" s="98"/>
      <c r="R61" s="41"/>
      <c r="S61" s="59">
        <f t="shared" si="17"/>
        <v>4957.2000000000007</v>
      </c>
      <c r="T61" s="41"/>
      <c r="U61" s="39">
        <f>'FY21'!S61</f>
        <v>4860</v>
      </c>
      <c r="V61" s="39">
        <f t="shared" si="18"/>
        <v>-97.200000000000728</v>
      </c>
      <c r="W61" s="39"/>
    </row>
    <row r="62" spans="3:23" s="37" customFormat="1" ht="12" x14ac:dyDescent="0.2">
      <c r="C62" s="38"/>
      <c r="E62" s="50">
        <f t="shared" ref="E62:P62" si="19">SUBTOTAL(9,E43:E61)</f>
        <v>3547.5825642699997</v>
      </c>
      <c r="F62" s="50">
        <f t="shared" si="19"/>
        <v>3571.0986642699995</v>
      </c>
      <c r="G62" s="50">
        <f t="shared" si="19"/>
        <v>3571.0986642699995</v>
      </c>
      <c r="H62" s="50">
        <f t="shared" si="19"/>
        <v>3560.0061642699993</v>
      </c>
      <c r="I62" s="50">
        <f t="shared" si="19"/>
        <v>3547.5825642699997</v>
      </c>
      <c r="J62" s="50">
        <f t="shared" si="19"/>
        <v>3547.5825642699997</v>
      </c>
      <c r="K62" s="50">
        <f t="shared" si="19"/>
        <v>3558.6750642699999</v>
      </c>
      <c r="L62" s="50">
        <f t="shared" si="19"/>
        <v>3571.0986642699995</v>
      </c>
      <c r="M62" s="50">
        <f t="shared" si="19"/>
        <v>3572.4297642699994</v>
      </c>
      <c r="N62" s="50">
        <f t="shared" si="19"/>
        <v>3547.5825642699997</v>
      </c>
      <c r="O62" s="50">
        <f t="shared" si="19"/>
        <v>3547.5825642699997</v>
      </c>
      <c r="P62" s="50">
        <f t="shared" si="19"/>
        <v>3558.6750642699999</v>
      </c>
      <c r="Q62" s="99"/>
      <c r="R62" s="41"/>
      <c r="S62" s="61">
        <f>SUBTOTAL(9,S43:S61)</f>
        <v>42700.994871240007</v>
      </c>
      <c r="T62" s="41"/>
      <c r="U62" s="50">
        <f>SUBTOTAL(9,U43:U61)</f>
        <v>41863.720461999997</v>
      </c>
      <c r="V62" s="50">
        <f>SUBTOTAL(9,V43:V61)</f>
        <v>-837.2744092400003</v>
      </c>
      <c r="W62" s="39"/>
    </row>
    <row r="63" spans="3:23" s="37" customFormat="1" ht="12" x14ac:dyDescent="0.2">
      <c r="C63" s="49" t="s">
        <v>9</v>
      </c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100"/>
      <c r="R63" s="41"/>
      <c r="S63" s="59"/>
      <c r="T63" s="41"/>
      <c r="U63" s="39"/>
      <c r="V63" s="39"/>
      <c r="W63" s="39"/>
    </row>
    <row r="64" spans="3:23" s="37" customFormat="1" ht="12" x14ac:dyDescent="0.2">
      <c r="C64" s="199">
        <v>6300</v>
      </c>
      <c r="D64" s="37" t="s">
        <v>9</v>
      </c>
      <c r="E64" s="39">
        <v>4321.5</v>
      </c>
      <c r="F64" s="39">
        <f>+'FY21'!F64*(1+MYP!$G$9)</f>
        <v>98.94</v>
      </c>
      <c r="G64" s="39">
        <f>+'FY21'!G64*(1+MYP!$G$9)</f>
        <v>98.94</v>
      </c>
      <c r="H64" s="39">
        <f>+'FY21'!H64*(1+MYP!$G$9)</f>
        <v>98.94</v>
      </c>
      <c r="I64" s="39">
        <f>+'FY21'!I64*(1+MYP!$G$9)</f>
        <v>98.94</v>
      </c>
      <c r="J64" s="39">
        <f>+'FY21'!J64*(1+MYP!$G$9)</f>
        <v>98.94</v>
      </c>
      <c r="K64" s="39">
        <f>+'FY21'!K64*(1+MYP!$G$9)</f>
        <v>98.94</v>
      </c>
      <c r="L64" s="39">
        <f>+'FY21'!L64*(1+MYP!$G$9)</f>
        <v>98.94</v>
      </c>
      <c r="M64" s="39">
        <f>+'FY21'!M64*(1+MYP!$G$9)</f>
        <v>98.94</v>
      </c>
      <c r="N64" s="39">
        <f>+'FY21'!N64*(1+MYP!$G$9)</f>
        <v>98.94</v>
      </c>
      <c r="O64" s="39">
        <f>+'FY21'!O64*(1+MYP!$G$9)</f>
        <v>98.94</v>
      </c>
      <c r="P64" s="39">
        <f>+'FY21'!P64*(1+MYP!$G$9)</f>
        <v>98.94</v>
      </c>
      <c r="Q64" s="100"/>
      <c r="R64" s="41"/>
      <c r="S64" s="59">
        <f t="shared" ref="S64:S73" si="20">SUM(E64:Q64)</f>
        <v>5409.8399999999956</v>
      </c>
      <c r="T64" s="41"/>
      <c r="U64" s="39">
        <f>'FY21'!S64</f>
        <v>1164</v>
      </c>
      <c r="V64" s="39">
        <f t="shared" ref="V64:V73" si="21">U64-S64</f>
        <v>-4245.8399999999956</v>
      </c>
      <c r="W64" s="39"/>
    </row>
    <row r="65" spans="3:23" s="37" customFormat="1" ht="12" x14ac:dyDescent="0.2">
      <c r="C65" s="199">
        <v>6320</v>
      </c>
      <c r="D65" s="37" t="s">
        <v>10</v>
      </c>
      <c r="E65" s="39">
        <f>+'FY21'!E65*(1+MYP!$G$9)</f>
        <v>85</v>
      </c>
      <c r="F65" s="39">
        <f>+'FY21'!F65*(1+MYP!$G$9)</f>
        <v>85</v>
      </c>
      <c r="G65" s="39">
        <f>+'FY21'!G65*(1+MYP!$G$9)</f>
        <v>85</v>
      </c>
      <c r="H65" s="39">
        <f>+'FY21'!H65*(1+MYP!$G$9)</f>
        <v>85</v>
      </c>
      <c r="I65" s="39">
        <f>+'FY21'!I65*(1+MYP!$G$9)</f>
        <v>85</v>
      </c>
      <c r="J65" s="39">
        <f>+'FY21'!J65*(1+MYP!$G$9)</f>
        <v>85</v>
      </c>
      <c r="K65" s="39">
        <f>+'FY21'!K65*(1+MYP!$G$9)</f>
        <v>85</v>
      </c>
      <c r="L65" s="39">
        <f>+'FY21'!L65*(1+MYP!$G$9)</f>
        <v>85</v>
      </c>
      <c r="M65" s="39">
        <f>+'FY21'!M65*(1+MYP!$G$9)</f>
        <v>85</v>
      </c>
      <c r="N65" s="39">
        <f>+'FY21'!N65*(1+MYP!$G$9)</f>
        <v>85</v>
      </c>
      <c r="O65" s="39">
        <f>+'FY21'!O65*(1+MYP!$G$9)</f>
        <v>85</v>
      </c>
      <c r="P65" s="39">
        <f>+'FY21'!P65*(1+MYP!$G$9)</f>
        <v>85</v>
      </c>
      <c r="Q65" s="100"/>
      <c r="R65" s="41"/>
      <c r="S65" s="59">
        <f t="shared" si="20"/>
        <v>1020</v>
      </c>
      <c r="T65" s="41"/>
      <c r="U65" s="39">
        <f>'FY21'!S65</f>
        <v>1000.0000000000001</v>
      </c>
      <c r="V65" s="39">
        <f t="shared" si="21"/>
        <v>-19.999999999999886</v>
      </c>
      <c r="W65" s="39"/>
    </row>
    <row r="66" spans="3:23" s="37" customFormat="1" ht="12" x14ac:dyDescent="0.2">
      <c r="C66" s="199">
        <v>6331</v>
      </c>
      <c r="D66" s="37" t="s">
        <v>11</v>
      </c>
      <c r="E66" s="39">
        <f>+'FY21'!E66*(1+MYP!$G$9)</f>
        <v>42.5</v>
      </c>
      <c r="F66" s="39">
        <f>+'FY21'!F66*(1+MYP!$G$9)</f>
        <v>42.5</v>
      </c>
      <c r="G66" s="39">
        <f>+'FY21'!G66*(1+MYP!$G$9)</f>
        <v>42.5</v>
      </c>
      <c r="H66" s="39">
        <f>+'FY21'!H66*(1+MYP!$G$9)</f>
        <v>42.5</v>
      </c>
      <c r="I66" s="39">
        <f>+'FY21'!I66*(1+MYP!$G$9)</f>
        <v>42.5</v>
      </c>
      <c r="J66" s="39">
        <f>+'FY21'!J66*(1+MYP!$G$9)</f>
        <v>42.5</v>
      </c>
      <c r="K66" s="39">
        <f>+'FY21'!K66*(1+MYP!$G$9)</f>
        <v>42.5</v>
      </c>
      <c r="L66" s="39">
        <f>+'FY21'!L66*(1+MYP!$G$9)</f>
        <v>42.5</v>
      </c>
      <c r="M66" s="39">
        <f>+'FY21'!M66*(1+MYP!$G$9)</f>
        <v>42.5</v>
      </c>
      <c r="N66" s="39">
        <f>+'FY21'!N66*(1+MYP!$G$9)</f>
        <v>42.5</v>
      </c>
      <c r="O66" s="39">
        <f>+'FY21'!O66*(1+MYP!$G$9)</f>
        <v>42.5</v>
      </c>
      <c r="P66" s="39">
        <f>+'FY21'!P66*(1+MYP!$G$9)</f>
        <v>42.5</v>
      </c>
      <c r="Q66" s="100"/>
      <c r="R66" s="41"/>
      <c r="S66" s="59">
        <f t="shared" si="20"/>
        <v>510</v>
      </c>
      <c r="T66" s="41"/>
      <c r="U66" s="39">
        <f>'FY21'!S66</f>
        <v>500.00000000000006</v>
      </c>
      <c r="V66" s="39">
        <f t="shared" si="21"/>
        <v>-9.9999999999999432</v>
      </c>
      <c r="W66" s="39"/>
    </row>
    <row r="67" spans="3:23" s="37" customFormat="1" ht="12" x14ac:dyDescent="0.2">
      <c r="C67" s="199">
        <v>6334</v>
      </c>
      <c r="D67" s="37" t="s">
        <v>12</v>
      </c>
      <c r="E67" s="39">
        <f>+'FY21'!E67*(1+MYP!$G$9)</f>
        <v>0</v>
      </c>
      <c r="F67" s="39">
        <f>+'FY21'!F67*(1+MYP!$G$9)</f>
        <v>0</v>
      </c>
      <c r="G67" s="39">
        <f>+'FY21'!G67*(1+MYP!$G$9)</f>
        <v>0</v>
      </c>
      <c r="H67" s="39">
        <f>+'FY21'!H67*(1+MYP!$G$9)</f>
        <v>0</v>
      </c>
      <c r="I67" s="39">
        <f>+'FY21'!I67*(1+MYP!$G$9)</f>
        <v>0</v>
      </c>
      <c r="J67" s="39">
        <f>+'FY21'!J67*(1+MYP!$G$9)</f>
        <v>0</v>
      </c>
      <c r="K67" s="39">
        <f>+'FY21'!K67*(1+MYP!$G$9)</f>
        <v>0</v>
      </c>
      <c r="L67" s="39">
        <f>+'FY21'!L67*(1+MYP!$G$9)</f>
        <v>0</v>
      </c>
      <c r="M67" s="39">
        <f>+'FY21'!M67*(1+MYP!$G$9)</f>
        <v>0</v>
      </c>
      <c r="N67" s="39">
        <f>+'FY21'!N67*(1+MYP!$G$9)</f>
        <v>0</v>
      </c>
      <c r="O67" s="39">
        <f>+'FY21'!O67*(1+MYP!$G$9)</f>
        <v>0</v>
      </c>
      <c r="P67" s="39">
        <f>+'FY21'!P67*(1+MYP!$G$9)</f>
        <v>0</v>
      </c>
      <c r="Q67" s="100"/>
      <c r="R67" s="41"/>
      <c r="S67" s="59">
        <f t="shared" si="20"/>
        <v>0</v>
      </c>
      <c r="T67" s="41"/>
      <c r="U67" s="39">
        <f>'FY21'!S67</f>
        <v>0</v>
      </c>
      <c r="V67" s="39">
        <f t="shared" si="21"/>
        <v>0</v>
      </c>
      <c r="W67" s="39"/>
    </row>
    <row r="68" spans="3:23" s="37" customFormat="1" ht="12" x14ac:dyDescent="0.2">
      <c r="C68" s="199">
        <v>6336</v>
      </c>
      <c r="D68" s="37" t="s">
        <v>13</v>
      </c>
      <c r="E68" s="39">
        <f>+'FY21'!E68*(1+MYP!$G$9)</f>
        <v>0</v>
      </c>
      <c r="F68" s="39">
        <f>+'FY21'!F68*(1+MYP!$G$9)</f>
        <v>0</v>
      </c>
      <c r="G68" s="39">
        <f>+'FY21'!G68*(1+MYP!$G$9)</f>
        <v>0</v>
      </c>
      <c r="H68" s="39">
        <f>+'FY21'!H68*(1+MYP!$G$9)</f>
        <v>0</v>
      </c>
      <c r="I68" s="39">
        <f>+'FY21'!I68*(1+MYP!$G$9)</f>
        <v>0</v>
      </c>
      <c r="J68" s="39">
        <f>+'FY21'!J68*(1+MYP!$G$9)</f>
        <v>0</v>
      </c>
      <c r="K68" s="39">
        <f>+'FY21'!K68*(1+MYP!$G$9)</f>
        <v>0</v>
      </c>
      <c r="L68" s="39">
        <f>+'FY21'!L68*(1+MYP!$G$9)</f>
        <v>0</v>
      </c>
      <c r="M68" s="39">
        <f>+'FY21'!M68*(1+MYP!$G$9)</f>
        <v>0</v>
      </c>
      <c r="N68" s="39">
        <f>+'FY21'!N68*(1+MYP!$G$9)</f>
        <v>0</v>
      </c>
      <c r="O68" s="39">
        <f>+'FY21'!O68*(1+MYP!$G$9)</f>
        <v>0</v>
      </c>
      <c r="P68" s="39">
        <f>+'FY21'!P68*(1+MYP!$G$9)</f>
        <v>0</v>
      </c>
      <c r="Q68" s="100"/>
      <c r="R68" s="41"/>
      <c r="S68" s="59">
        <f t="shared" si="20"/>
        <v>0</v>
      </c>
      <c r="T68" s="41"/>
      <c r="U68" s="39">
        <f>'FY21'!S68</f>
        <v>0</v>
      </c>
      <c r="V68" s="39">
        <f t="shared" si="21"/>
        <v>0</v>
      </c>
      <c r="W68" s="39"/>
    </row>
    <row r="69" spans="3:23" s="37" customFormat="1" ht="12" x14ac:dyDescent="0.2">
      <c r="C69" s="199">
        <v>6337</v>
      </c>
      <c r="D69" s="37" t="s">
        <v>14</v>
      </c>
      <c r="E69" s="39">
        <f>+'FY21'!E69*(1+MYP!$G$9)</f>
        <v>42.5</v>
      </c>
      <c r="F69" s="39">
        <f>+'FY21'!F69*(1+MYP!$G$9)</f>
        <v>42.5</v>
      </c>
      <c r="G69" s="39">
        <f>+'FY21'!G69*(1+MYP!$G$9)</f>
        <v>42.5</v>
      </c>
      <c r="H69" s="39">
        <f>+'FY21'!H69*(1+MYP!$G$9)</f>
        <v>42.5</v>
      </c>
      <c r="I69" s="39">
        <f>+'FY21'!I69*(1+MYP!$G$9)</f>
        <v>42.5</v>
      </c>
      <c r="J69" s="39">
        <f>+'FY21'!J69*(1+MYP!$G$9)</f>
        <v>42.5</v>
      </c>
      <c r="K69" s="39">
        <f>+'FY21'!K69*(1+MYP!$G$9)</f>
        <v>42.5</v>
      </c>
      <c r="L69" s="39">
        <f>+'FY21'!L69*(1+MYP!$G$9)</f>
        <v>42.5</v>
      </c>
      <c r="M69" s="39">
        <f>+'FY21'!M69*(1+MYP!$G$9)</f>
        <v>42.5</v>
      </c>
      <c r="N69" s="39">
        <f>+'FY21'!N69*(1+MYP!$G$9)</f>
        <v>42.5</v>
      </c>
      <c r="O69" s="39">
        <f>+'FY21'!O69*(1+MYP!$G$9)</f>
        <v>42.5</v>
      </c>
      <c r="P69" s="39">
        <f>+'FY21'!P69*(1+MYP!$G$9)</f>
        <v>42.5</v>
      </c>
      <c r="Q69" s="100"/>
      <c r="R69" s="41"/>
      <c r="S69" s="59">
        <f t="shared" si="20"/>
        <v>510</v>
      </c>
      <c r="T69" s="41"/>
      <c r="U69" s="39">
        <f>'FY21'!S69</f>
        <v>500.00000000000006</v>
      </c>
      <c r="V69" s="39">
        <f t="shared" si="21"/>
        <v>-9.9999999999999432</v>
      </c>
      <c r="W69" s="39"/>
    </row>
    <row r="70" spans="3:23" s="37" customFormat="1" ht="12" x14ac:dyDescent="0.2">
      <c r="C70" s="199">
        <v>6340</v>
      </c>
      <c r="D70" s="37" t="s">
        <v>15</v>
      </c>
      <c r="E70" s="39">
        <f>+'FY21'!E70*(1+MYP!$G$9)</f>
        <v>807.84</v>
      </c>
      <c r="F70" s="39">
        <f>+'FY21'!F70*(1+MYP!$G$9)</f>
        <v>807.84</v>
      </c>
      <c r="G70" s="39">
        <f>+'FY21'!G70*(1+MYP!$G$9)</f>
        <v>807.84</v>
      </c>
      <c r="H70" s="39">
        <f>+'FY21'!H70*(1+MYP!$G$9)</f>
        <v>807.84</v>
      </c>
      <c r="I70" s="39">
        <f>+'FY21'!I70*(1+MYP!$G$9)</f>
        <v>807.84</v>
      </c>
      <c r="J70" s="39">
        <f>+'FY21'!J70*(1+MYP!$G$9)</f>
        <v>807.84</v>
      </c>
      <c r="K70" s="39">
        <f>+'FY21'!K70*(1+MYP!$G$9)</f>
        <v>807.84</v>
      </c>
      <c r="L70" s="39">
        <f>+'FY21'!L70*(1+MYP!$G$9)</f>
        <v>807.84</v>
      </c>
      <c r="M70" s="39">
        <f>+'FY21'!M70*(1+MYP!$G$9)</f>
        <v>807.84</v>
      </c>
      <c r="N70" s="39">
        <f>+'FY21'!N70*(1+MYP!$G$9)</f>
        <v>807.84</v>
      </c>
      <c r="O70" s="39">
        <f>+'FY21'!O70*(1+MYP!$G$9)</f>
        <v>807.84</v>
      </c>
      <c r="P70" s="39">
        <f>+'FY21'!P70*(1+MYP!$G$9)</f>
        <v>807.84</v>
      </c>
      <c r="Q70" s="100"/>
      <c r="R70" s="41"/>
      <c r="S70" s="59">
        <f t="shared" si="20"/>
        <v>9694.08</v>
      </c>
      <c r="T70" s="41"/>
      <c r="U70" s="39">
        <f>'FY21'!S70</f>
        <v>9504</v>
      </c>
      <c r="V70" s="39">
        <f t="shared" si="21"/>
        <v>-190.07999999999993</v>
      </c>
      <c r="W70" s="39"/>
    </row>
    <row r="71" spans="3:23" s="37" customFormat="1" ht="12" x14ac:dyDescent="0.2">
      <c r="C71" s="199">
        <v>6345</v>
      </c>
      <c r="D71" s="37" t="s">
        <v>16</v>
      </c>
      <c r="E71" s="39">
        <f>+'FY21'!E71*(1+MYP!$G$9)</f>
        <v>0</v>
      </c>
      <c r="F71" s="39">
        <f>+'FY21'!F71*(1+MYP!$G$9)</f>
        <v>0</v>
      </c>
      <c r="G71" s="39">
        <f>+'FY21'!G71*(1+MYP!$G$9)</f>
        <v>0</v>
      </c>
      <c r="H71" s="39">
        <f>+'FY21'!H71*(1+MYP!$G$9)</f>
        <v>0</v>
      </c>
      <c r="I71" s="39">
        <f>+'FY21'!I71*(1+MYP!$G$9)</f>
        <v>0</v>
      </c>
      <c r="J71" s="39">
        <f>+'FY21'!J71*(1+MYP!$G$9)</f>
        <v>0</v>
      </c>
      <c r="K71" s="39">
        <f>+'FY21'!K71*(1+MYP!$G$9)</f>
        <v>0</v>
      </c>
      <c r="L71" s="39">
        <f>+'FY21'!L71*(1+MYP!$G$9)</f>
        <v>0</v>
      </c>
      <c r="M71" s="39">
        <f>+'FY21'!M71*(1+MYP!$G$9)</f>
        <v>0</v>
      </c>
      <c r="N71" s="39">
        <f>+'FY21'!N71*(1+MYP!$G$9)</f>
        <v>0</v>
      </c>
      <c r="O71" s="39">
        <f>+'FY21'!O71*(1+MYP!$G$9)</f>
        <v>0</v>
      </c>
      <c r="P71" s="39">
        <f>+'FY21'!P71*(1+MYP!$G$9)</f>
        <v>0</v>
      </c>
      <c r="Q71" s="100"/>
      <c r="R71" s="41"/>
      <c r="S71" s="59">
        <f t="shared" si="20"/>
        <v>0</v>
      </c>
      <c r="T71" s="41"/>
      <c r="U71" s="39">
        <f>'FY21'!S71</f>
        <v>0</v>
      </c>
      <c r="V71" s="39">
        <f t="shared" si="21"/>
        <v>0</v>
      </c>
      <c r="W71" s="39"/>
    </row>
    <row r="72" spans="3:23" s="37" customFormat="1" ht="12" x14ac:dyDescent="0.2">
      <c r="C72" s="199">
        <v>6350</v>
      </c>
      <c r="D72" s="37" t="s">
        <v>17</v>
      </c>
      <c r="E72" s="39">
        <f>+'FY21'!E72*(1+MYP!$G$9)</f>
        <v>42.5</v>
      </c>
      <c r="F72" s="39">
        <f>+'FY21'!F72*(1+MYP!$G$9)</f>
        <v>42.5</v>
      </c>
      <c r="G72" s="39">
        <f>+'FY21'!G72*(1+MYP!$G$9)</f>
        <v>42.5</v>
      </c>
      <c r="H72" s="39">
        <f>+'FY21'!H72*(1+MYP!$G$9)</f>
        <v>42.5</v>
      </c>
      <c r="I72" s="39">
        <f>+'FY21'!I72*(1+MYP!$G$9)</f>
        <v>42.5</v>
      </c>
      <c r="J72" s="39">
        <f>+'FY21'!J72*(1+MYP!$G$9)</f>
        <v>42.5</v>
      </c>
      <c r="K72" s="39">
        <f>+'FY21'!K72*(1+MYP!$G$9)</f>
        <v>42.5</v>
      </c>
      <c r="L72" s="39">
        <f>+'FY21'!L72*(1+MYP!$G$9)</f>
        <v>42.5</v>
      </c>
      <c r="M72" s="39">
        <f>+'FY21'!M72*(1+MYP!$G$9)</f>
        <v>42.5</v>
      </c>
      <c r="N72" s="39">
        <f>+'FY21'!N72*(1+MYP!$G$9)</f>
        <v>42.5</v>
      </c>
      <c r="O72" s="39">
        <f>+'FY21'!O72*(1+MYP!$G$9)</f>
        <v>42.5</v>
      </c>
      <c r="P72" s="39">
        <f>+'FY21'!P72*(1+MYP!$G$9)</f>
        <v>42.5</v>
      </c>
      <c r="Q72" s="100"/>
      <c r="R72" s="41"/>
      <c r="S72" s="59">
        <f t="shared" si="20"/>
        <v>510</v>
      </c>
      <c r="T72" s="41"/>
      <c r="U72" s="39">
        <f>'FY21'!S72</f>
        <v>500.00000000000006</v>
      </c>
      <c r="V72" s="39">
        <f t="shared" si="21"/>
        <v>-9.9999999999999432</v>
      </c>
      <c r="W72" s="39"/>
    </row>
    <row r="73" spans="3:23" s="37" customFormat="1" ht="12" x14ac:dyDescent="0.2">
      <c r="C73" s="199">
        <v>6351</v>
      </c>
      <c r="D73" s="37" t="s">
        <v>18</v>
      </c>
      <c r="E73" s="39">
        <f>+'FY21'!E73*(1+MYP!$G$9)</f>
        <v>0</v>
      </c>
      <c r="F73" s="39">
        <f>+'FY21'!F73*(1+MYP!$G$9)</f>
        <v>0</v>
      </c>
      <c r="G73" s="39">
        <f>+'FY21'!G73*(1+MYP!$G$9)</f>
        <v>0</v>
      </c>
      <c r="H73" s="39">
        <f>+'FY21'!H73*(1+MYP!$G$9)</f>
        <v>0</v>
      </c>
      <c r="I73" s="39">
        <f>+'FY21'!I73*(1+MYP!$G$9)</f>
        <v>0</v>
      </c>
      <c r="J73" s="39">
        <f>+'FY21'!J73*(1+MYP!$G$9)</f>
        <v>0</v>
      </c>
      <c r="K73" s="39">
        <f>+'FY21'!K73*(1+MYP!$G$9)</f>
        <v>0</v>
      </c>
      <c r="L73" s="39">
        <f>+'FY21'!L73*(1+MYP!$G$9)</f>
        <v>0</v>
      </c>
      <c r="M73" s="39">
        <f>+'FY21'!M73*(1+MYP!$G$9)</f>
        <v>0</v>
      </c>
      <c r="N73" s="39">
        <f>+'FY21'!N73*(1+MYP!$G$9)</f>
        <v>0</v>
      </c>
      <c r="O73" s="39">
        <f>+'FY21'!O73*(1+MYP!$G$9)</f>
        <v>0</v>
      </c>
      <c r="P73" s="39">
        <f>+'FY21'!P73*(1+MYP!$G$9)</f>
        <v>0</v>
      </c>
      <c r="Q73" s="100"/>
      <c r="R73" s="41"/>
      <c r="S73" s="59">
        <f t="shared" si="20"/>
        <v>0</v>
      </c>
      <c r="T73" s="41"/>
      <c r="U73" s="39">
        <f>'FY21'!S73</f>
        <v>0</v>
      </c>
      <c r="V73" s="39">
        <f t="shared" si="21"/>
        <v>0</v>
      </c>
      <c r="W73" s="39"/>
    </row>
    <row r="74" spans="3:23" s="37" customFormat="1" ht="12" x14ac:dyDescent="0.2">
      <c r="C74" s="38"/>
      <c r="E74" s="50">
        <f>SUBTOTAL(9,E64:E73)</f>
        <v>5341.84</v>
      </c>
      <c r="F74" s="50">
        <f t="shared" ref="F74:V74" si="22">SUBTOTAL(9,F64:F73)</f>
        <v>1119.28</v>
      </c>
      <c r="G74" s="50">
        <f t="shared" si="22"/>
        <v>1119.28</v>
      </c>
      <c r="H74" s="50">
        <f t="shared" si="22"/>
        <v>1119.28</v>
      </c>
      <c r="I74" s="50">
        <f t="shared" si="22"/>
        <v>1119.28</v>
      </c>
      <c r="J74" s="50">
        <f t="shared" si="22"/>
        <v>1119.28</v>
      </c>
      <c r="K74" s="50">
        <f t="shared" si="22"/>
        <v>1119.28</v>
      </c>
      <c r="L74" s="50">
        <f t="shared" si="22"/>
        <v>1119.28</v>
      </c>
      <c r="M74" s="50">
        <f t="shared" si="22"/>
        <v>1119.28</v>
      </c>
      <c r="N74" s="50">
        <f t="shared" si="22"/>
        <v>1119.28</v>
      </c>
      <c r="O74" s="50">
        <f t="shared" si="22"/>
        <v>1119.28</v>
      </c>
      <c r="P74" s="50">
        <f t="shared" si="22"/>
        <v>1119.28</v>
      </c>
      <c r="Q74" s="99"/>
      <c r="R74" s="41"/>
      <c r="S74" s="61">
        <f t="shared" si="22"/>
        <v>17653.919999999995</v>
      </c>
      <c r="T74" s="41"/>
      <c r="U74" s="50">
        <f t="shared" si="22"/>
        <v>13168</v>
      </c>
      <c r="V74" s="50">
        <f t="shared" si="22"/>
        <v>-4485.9199999999955</v>
      </c>
      <c r="W74" s="39"/>
    </row>
    <row r="75" spans="3:23" s="37" customFormat="1" ht="12" x14ac:dyDescent="0.2">
      <c r="C75" s="49" t="s">
        <v>100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100"/>
      <c r="R75" s="41"/>
      <c r="S75" s="59"/>
      <c r="T75" s="41"/>
      <c r="U75" s="39"/>
      <c r="V75" s="39"/>
      <c r="W75" s="39"/>
    </row>
    <row r="76" spans="3:23" s="37" customFormat="1" ht="12" x14ac:dyDescent="0.2">
      <c r="C76" s="199">
        <v>6410</v>
      </c>
      <c r="D76" s="37" t="s">
        <v>19</v>
      </c>
      <c r="E76" s="39">
        <f>+'FY21'!E76*(1+MYP!$G$9)</f>
        <v>51</v>
      </c>
      <c r="F76" s="39">
        <f>+'FY21'!F76*(1+MYP!$G$9)</f>
        <v>51</v>
      </c>
      <c r="G76" s="39">
        <f>+'FY21'!G76*(1+MYP!$G$9)</f>
        <v>51</v>
      </c>
      <c r="H76" s="39">
        <f>+'FY21'!H76*(1+MYP!$G$9)</f>
        <v>51</v>
      </c>
      <c r="I76" s="39">
        <f>+'FY21'!I76*(1+MYP!$G$9)</f>
        <v>51</v>
      </c>
      <c r="J76" s="39">
        <f>+'FY21'!J76*(1+MYP!$G$9)</f>
        <v>51</v>
      </c>
      <c r="K76" s="39">
        <f>+'FY21'!K76*(1+MYP!$G$9)</f>
        <v>51</v>
      </c>
      <c r="L76" s="39">
        <f>+'FY21'!L76*(1+MYP!$G$9)</f>
        <v>51</v>
      </c>
      <c r="M76" s="39">
        <f>+'FY21'!M76*(1+MYP!$G$9)</f>
        <v>51</v>
      </c>
      <c r="N76" s="39">
        <f>+'FY21'!N76*(1+MYP!$G$9)</f>
        <v>51</v>
      </c>
      <c r="O76" s="39">
        <f>+'FY21'!O76*(1+MYP!$G$9)</f>
        <v>51</v>
      </c>
      <c r="P76" s="39">
        <f>+'FY21'!P76*(1+MYP!$G$9)</f>
        <v>51</v>
      </c>
      <c r="Q76" s="100"/>
      <c r="R76" s="41"/>
      <c r="S76" s="59">
        <f t="shared" ref="S76:S79" si="23">SUM(E76:Q76)</f>
        <v>612</v>
      </c>
      <c r="T76" s="41"/>
      <c r="U76" s="39">
        <f>'FY21'!S76</f>
        <v>600</v>
      </c>
      <c r="V76" s="39">
        <f t="shared" ref="V76:V79" si="24">U76-S76</f>
        <v>-12</v>
      </c>
      <c r="W76" s="39"/>
    </row>
    <row r="77" spans="3:23" s="37" customFormat="1" ht="12" x14ac:dyDescent="0.2">
      <c r="C77" s="199">
        <v>6420</v>
      </c>
      <c r="D77" s="37" t="s">
        <v>20</v>
      </c>
      <c r="E77" s="39">
        <f>+'FY21'!E77*(1+MYP!$G$9)</f>
        <v>102</v>
      </c>
      <c r="F77" s="39">
        <f>+'FY21'!F77*(1+MYP!$G$9)</f>
        <v>102</v>
      </c>
      <c r="G77" s="39">
        <f>+'FY21'!G77*(1+MYP!$G$9)</f>
        <v>204</v>
      </c>
      <c r="H77" s="39">
        <f>+'FY21'!H77*(1+MYP!$G$9)</f>
        <v>102</v>
      </c>
      <c r="I77" s="39">
        <f>+'FY21'!I77*(1+MYP!$G$9)</f>
        <v>102</v>
      </c>
      <c r="J77" s="39">
        <f>+'FY21'!J77*(1+MYP!$G$9)</f>
        <v>204</v>
      </c>
      <c r="K77" s="39">
        <f>+'FY21'!K77*(1+MYP!$G$9)</f>
        <v>102</v>
      </c>
      <c r="L77" s="39">
        <f>+'FY21'!L77*(1+MYP!$G$9)</f>
        <v>102</v>
      </c>
      <c r="M77" s="39">
        <f>+'FY21'!M77*(1+MYP!$G$9)</f>
        <v>204</v>
      </c>
      <c r="N77" s="39">
        <f>+'FY21'!N77*(1+MYP!$G$9)</f>
        <v>102</v>
      </c>
      <c r="O77" s="39">
        <f>+'FY21'!O77*(1+MYP!$G$9)</f>
        <v>102</v>
      </c>
      <c r="P77" s="39">
        <f>+'FY21'!P77*(1+MYP!$G$9)</f>
        <v>204</v>
      </c>
      <c r="Q77" s="100"/>
      <c r="R77" s="41"/>
      <c r="S77" s="59">
        <f t="shared" si="23"/>
        <v>1632</v>
      </c>
      <c r="T77" s="41"/>
      <c r="U77" s="39">
        <f>'FY21'!S77</f>
        <v>1600</v>
      </c>
      <c r="V77" s="39">
        <f t="shared" si="24"/>
        <v>-32</v>
      </c>
      <c r="W77" s="39"/>
    </row>
    <row r="78" spans="3:23" s="37" customFormat="1" ht="12" x14ac:dyDescent="0.2">
      <c r="C78" s="199">
        <v>6430</v>
      </c>
      <c r="D78" s="37" t="s">
        <v>21</v>
      </c>
      <c r="E78" s="39">
        <f>+'FY21'!E78*(1+MYP!$G$9)</f>
        <v>0</v>
      </c>
      <c r="F78" s="39">
        <f>+'FY21'!F78*(1+MYP!$G$9)</f>
        <v>0</v>
      </c>
      <c r="G78" s="39">
        <f>+'FY21'!G78*(1+MYP!$G$9)</f>
        <v>0</v>
      </c>
      <c r="H78" s="39">
        <f>+'FY21'!H78*(1+MYP!$G$9)</f>
        <v>0</v>
      </c>
      <c r="I78" s="39">
        <f>+'FY21'!J79*(1+MYP!$G$9)</f>
        <v>2784.6</v>
      </c>
      <c r="J78" s="39">
        <f>+'FY21'!J78*(1+MYP!$G$9)</f>
        <v>0</v>
      </c>
      <c r="K78" s="39">
        <f>+'FY21'!K78*(1+MYP!$G$9)</f>
        <v>0</v>
      </c>
      <c r="L78" s="39">
        <f>+'FY21'!L78*(1+MYP!$G$9)</f>
        <v>0</v>
      </c>
      <c r="M78" s="39">
        <f>+'FY21'!M78*(1+MYP!$G$9)</f>
        <v>0</v>
      </c>
      <c r="N78" s="39">
        <f>+'FY21'!N78*(1+MYP!$G$9)</f>
        <v>127.5</v>
      </c>
      <c r="O78" s="39">
        <f>+'FY21'!O78*(1+MYP!$G$9)</f>
        <v>0</v>
      </c>
      <c r="P78" s="39">
        <f>+'FY21'!P78*(1+MYP!$G$9)</f>
        <v>0</v>
      </c>
      <c r="Q78" s="100"/>
      <c r="R78" s="41"/>
      <c r="S78" s="59">
        <f t="shared" si="23"/>
        <v>2912.1</v>
      </c>
      <c r="T78" s="41"/>
      <c r="U78" s="39">
        <f>'FY21'!S78</f>
        <v>125</v>
      </c>
      <c r="V78" s="39">
        <f t="shared" si="24"/>
        <v>-2787.1</v>
      </c>
      <c r="W78" s="39"/>
    </row>
    <row r="79" spans="3:23" s="37" customFormat="1" ht="12" x14ac:dyDescent="0.2">
      <c r="C79" s="199">
        <v>6441</v>
      </c>
      <c r="D79" s="37" t="s">
        <v>22</v>
      </c>
      <c r="E79" s="39">
        <f>+'FY21'!E79*(1+MYP!$G$9)</f>
        <v>2784.6</v>
      </c>
      <c r="F79" s="39">
        <f>+'FY21'!F79*(1+MYP!$G$9)</f>
        <v>2784.6</v>
      </c>
      <c r="G79" s="39">
        <f>+'FY21'!G79*(1+MYP!$G$9)</f>
        <v>2784.6</v>
      </c>
      <c r="H79" s="39">
        <f>+'FY21'!H79*(1+MYP!$G$9)</f>
        <v>2784.6</v>
      </c>
      <c r="I79" s="39">
        <f>+'FY21'!I79*(1+MYP!$G$9)</f>
        <v>2784.6</v>
      </c>
      <c r="J79" s="39">
        <f>+'FY21'!J79*(1+MYP!$G$9)</f>
        <v>2784.6</v>
      </c>
      <c r="K79" s="39">
        <f>+'FY21'!K79*(1+MYP!$G$9)</f>
        <v>2784.6</v>
      </c>
      <c r="L79" s="39">
        <f>+'FY21'!L79*(1+MYP!$G$9)</f>
        <v>2784.6</v>
      </c>
      <c r="M79" s="39">
        <f>+'FY21'!M79*(1+MYP!$G$9)</f>
        <v>2784.6</v>
      </c>
      <c r="N79" s="39">
        <f>+'FY21'!N79*(1+MYP!$G$9)</f>
        <v>2784.6</v>
      </c>
      <c r="O79" s="39">
        <f>+'FY21'!O79*(1+MYP!$G$9)</f>
        <v>3804.6</v>
      </c>
      <c r="P79" s="39">
        <f>+'FY21'!P79*(1+MYP!$G$9)</f>
        <v>2784.6</v>
      </c>
      <c r="Q79" s="100"/>
      <c r="R79" s="41"/>
      <c r="S79" s="59">
        <f t="shared" si="23"/>
        <v>34435.19999999999</v>
      </c>
      <c r="T79" s="41"/>
      <c r="U79" s="39">
        <f>'FY21'!S79</f>
        <v>33760</v>
      </c>
      <c r="V79" s="39">
        <f t="shared" si="24"/>
        <v>-675.19999999998981</v>
      </c>
      <c r="W79" s="39"/>
    </row>
    <row r="80" spans="3:23" s="37" customFormat="1" ht="12" x14ac:dyDescent="0.2">
      <c r="C80" s="38"/>
      <c r="E80" s="50">
        <f>SUBTOTAL(9,E76:E79)</f>
        <v>2937.6</v>
      </c>
      <c r="F80" s="50">
        <f t="shared" ref="F80:V80" si="25">SUBTOTAL(9,F76:F79)</f>
        <v>2937.6</v>
      </c>
      <c r="G80" s="50">
        <f t="shared" si="25"/>
        <v>3039.6</v>
      </c>
      <c r="H80" s="50">
        <f t="shared" si="25"/>
        <v>2937.6</v>
      </c>
      <c r="I80" s="50">
        <f t="shared" si="25"/>
        <v>5722.2</v>
      </c>
      <c r="J80" s="50">
        <f t="shared" si="25"/>
        <v>3039.6</v>
      </c>
      <c r="K80" s="50">
        <f t="shared" si="25"/>
        <v>2937.6</v>
      </c>
      <c r="L80" s="50">
        <f t="shared" si="25"/>
        <v>2937.6</v>
      </c>
      <c r="M80" s="50">
        <f t="shared" si="25"/>
        <v>3039.6</v>
      </c>
      <c r="N80" s="50">
        <f t="shared" si="25"/>
        <v>3065.1</v>
      </c>
      <c r="O80" s="50">
        <f t="shared" si="25"/>
        <v>3957.6</v>
      </c>
      <c r="P80" s="50">
        <f t="shared" si="25"/>
        <v>3039.6</v>
      </c>
      <c r="Q80" s="99"/>
      <c r="R80" s="41"/>
      <c r="S80" s="61">
        <f t="shared" si="25"/>
        <v>39591.299999999988</v>
      </c>
      <c r="T80" s="41"/>
      <c r="U80" s="50">
        <f t="shared" si="25"/>
        <v>36085</v>
      </c>
      <c r="V80" s="50">
        <f t="shared" si="25"/>
        <v>-3506.2999999999897</v>
      </c>
      <c r="W80" s="39"/>
    </row>
    <row r="81" spans="3:23" s="37" customFormat="1" ht="12" x14ac:dyDescent="0.2">
      <c r="C81" s="49" t="s">
        <v>101</v>
      </c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100"/>
      <c r="R81" s="41"/>
      <c r="S81" s="59"/>
      <c r="T81" s="41"/>
      <c r="U81" s="39"/>
      <c r="V81" s="39"/>
      <c r="W81" s="39"/>
    </row>
    <row r="82" spans="3:23" s="37" customFormat="1" ht="12" x14ac:dyDescent="0.2">
      <c r="C82" s="199">
        <v>6519</v>
      </c>
      <c r="D82" s="37" t="s">
        <v>235</v>
      </c>
      <c r="E82" s="39">
        <f>+'FY21'!E82*(1+MYP!$G$9)</f>
        <v>0</v>
      </c>
      <c r="F82" s="39">
        <f>+'FY21'!F82*(1+MYP!$G$9)</f>
        <v>0</v>
      </c>
      <c r="G82" s="39">
        <f>+'FY21'!G82*(1+MYP!$G$9)</f>
        <v>0</v>
      </c>
      <c r="H82" s="39">
        <f>+'FY21'!H82*(1+MYP!$G$9)</f>
        <v>0</v>
      </c>
      <c r="I82" s="39">
        <f>+'FY21'!I82*(1+MYP!$G$9)</f>
        <v>0</v>
      </c>
      <c r="J82" s="39">
        <f>+'FY21'!J82*(1+MYP!$G$9)</f>
        <v>0</v>
      </c>
      <c r="K82" s="39">
        <f>+'FY21'!K82*(1+MYP!$G$9)</f>
        <v>0</v>
      </c>
      <c r="L82" s="39">
        <f>+'FY21'!L82*(1+MYP!$G$9)</f>
        <v>0</v>
      </c>
      <c r="M82" s="39">
        <f>+'FY21'!M82*(1+MYP!$G$9)</f>
        <v>0</v>
      </c>
      <c r="N82" s="39">
        <f>+'FY21'!N82*(1+MYP!$G$9)</f>
        <v>0</v>
      </c>
      <c r="O82" s="39">
        <f>+'FY21'!O82*(1+MYP!$G$9)</f>
        <v>0</v>
      </c>
      <c r="P82" s="39">
        <f>+'FY21'!P82*(1+MYP!$G$9)</f>
        <v>0</v>
      </c>
      <c r="Q82" s="100"/>
      <c r="R82" s="41"/>
      <c r="S82" s="59">
        <f t="shared" ref="S82:S93" si="26">SUM(E82:Q82)</f>
        <v>0</v>
      </c>
      <c r="T82" s="41"/>
      <c r="U82" s="39">
        <f>'FY21'!S82</f>
        <v>0</v>
      </c>
      <c r="V82" s="39">
        <f t="shared" ref="V82:V93" si="27">U82-S82</f>
        <v>0</v>
      </c>
      <c r="W82" s="39"/>
    </row>
    <row r="83" spans="3:23" s="37" customFormat="1" ht="12" x14ac:dyDescent="0.2">
      <c r="C83" s="199">
        <v>6521</v>
      </c>
      <c r="D83" s="37" t="s">
        <v>24</v>
      </c>
      <c r="E83" s="39">
        <f>+'FY21'!E83*(1+MYP!$G$9)</f>
        <v>0</v>
      </c>
      <c r="F83" s="39">
        <f>+'FY21'!F83*(1+MYP!$G$9)</f>
        <v>0</v>
      </c>
      <c r="G83" s="39">
        <f>+'FY21'!G83*(1+MYP!$G$9)</f>
        <v>0</v>
      </c>
      <c r="H83" s="39">
        <f>+'FY21'!H83*(1+MYP!$G$9)</f>
        <v>0</v>
      </c>
      <c r="I83" s="39">
        <f>+'FY21'!I83*(1+MYP!$G$9)</f>
        <v>0</v>
      </c>
      <c r="J83" s="39">
        <f>+'FY21'!J83*(1+MYP!$G$9)</f>
        <v>0</v>
      </c>
      <c r="K83" s="39">
        <f>+'FY21'!K83*(1+MYP!$G$9)</f>
        <v>0</v>
      </c>
      <c r="L83" s="39">
        <f>+'FY21'!L83*(1+MYP!$G$9)</f>
        <v>0</v>
      </c>
      <c r="M83" s="39">
        <f>+'FY21'!M83*(1+MYP!$G$9)</f>
        <v>0</v>
      </c>
      <c r="N83" s="39">
        <f>+'FY21'!N83*(1+MYP!$G$9)</f>
        <v>0</v>
      </c>
      <c r="O83" s="39">
        <f>+'FY21'!O83*(1+MYP!$G$9)</f>
        <v>0</v>
      </c>
      <c r="P83" s="39">
        <f>+'FY21'!P83*(1+MYP!$G$9)</f>
        <v>0</v>
      </c>
      <c r="Q83" s="100"/>
      <c r="R83" s="41"/>
      <c r="S83" s="59">
        <f t="shared" si="26"/>
        <v>0</v>
      </c>
      <c r="T83" s="41"/>
      <c r="U83" s="39">
        <f>'FY21'!S83</f>
        <v>0</v>
      </c>
      <c r="V83" s="39">
        <f t="shared" si="27"/>
        <v>0</v>
      </c>
      <c r="W83" s="39"/>
    </row>
    <row r="84" spans="3:23" s="37" customFormat="1" ht="12" x14ac:dyDescent="0.2">
      <c r="C84" s="199">
        <v>6522</v>
      </c>
      <c r="D84" s="37" t="s">
        <v>25</v>
      </c>
      <c r="E84" s="39">
        <f>+'FY21'!E84*(1+MYP!$G$9)</f>
        <v>0</v>
      </c>
      <c r="F84" s="39">
        <f>+'FY21'!F84*(1+MYP!$G$9)</f>
        <v>0</v>
      </c>
      <c r="G84" s="39">
        <f>+'FY21'!G84*(1+MYP!$G$9)</f>
        <v>0</v>
      </c>
      <c r="H84" s="39">
        <f>+'FY21'!H84*(1+MYP!$G$9)</f>
        <v>0</v>
      </c>
      <c r="I84" s="39">
        <f>+'FY21'!I84*(1+MYP!$G$9)</f>
        <v>0</v>
      </c>
      <c r="J84" s="39">
        <f>+'FY21'!J84*(1+MYP!$G$9)</f>
        <v>0</v>
      </c>
      <c r="K84" s="39">
        <f>+'FY21'!K84*(1+MYP!$G$9)</f>
        <v>0</v>
      </c>
      <c r="L84" s="39">
        <f>+'FY21'!L84*(1+MYP!$G$9)</f>
        <v>0</v>
      </c>
      <c r="M84" s="39">
        <f>+'FY21'!M84*(1+MYP!$G$9)</f>
        <v>0</v>
      </c>
      <c r="N84" s="39">
        <f>+'FY21'!N84*(1+MYP!$G$9)</f>
        <v>0</v>
      </c>
      <c r="O84" s="39">
        <f>+'FY21'!O84*(1+MYP!$G$9)</f>
        <v>0</v>
      </c>
      <c r="P84" s="39">
        <f>+'FY21'!P84*(1+MYP!$G$9)</f>
        <v>0</v>
      </c>
      <c r="Q84" s="100"/>
      <c r="R84" s="41"/>
      <c r="S84" s="59">
        <f t="shared" si="26"/>
        <v>0</v>
      </c>
      <c r="T84" s="41"/>
      <c r="U84" s="39">
        <f>'FY21'!S84</f>
        <v>0</v>
      </c>
      <c r="V84" s="39">
        <f t="shared" si="27"/>
        <v>0</v>
      </c>
      <c r="W84" s="39"/>
    </row>
    <row r="85" spans="3:23" s="37" customFormat="1" ht="12" x14ac:dyDescent="0.2">
      <c r="C85" s="199">
        <v>6523</v>
      </c>
      <c r="D85" s="37" t="s">
        <v>26</v>
      </c>
      <c r="E85" s="39">
        <f>+'FY21'!E85*(1+MYP!$G$9)</f>
        <v>0</v>
      </c>
      <c r="F85" s="39">
        <f>+'FY21'!F85*(1+MYP!$G$9)</f>
        <v>0</v>
      </c>
      <c r="G85" s="39">
        <f>+'FY21'!G85*(1+MYP!$G$9)</f>
        <v>0</v>
      </c>
      <c r="H85" s="39">
        <f>+'FY21'!H85*(1+MYP!$G$9)</f>
        <v>0</v>
      </c>
      <c r="I85" s="39">
        <f>+'FY21'!I85*(1+MYP!$G$9)</f>
        <v>0</v>
      </c>
      <c r="J85" s="39">
        <f>+'FY21'!J85*(1+MYP!$G$9)</f>
        <v>0</v>
      </c>
      <c r="K85" s="39">
        <f>+'FY21'!K85*(1+MYP!$G$9)</f>
        <v>0</v>
      </c>
      <c r="L85" s="39">
        <f>+'FY21'!L85*(1+MYP!$G$9)</f>
        <v>0</v>
      </c>
      <c r="M85" s="39">
        <f>+'FY21'!M85*(1+MYP!$G$9)</f>
        <v>0</v>
      </c>
      <c r="N85" s="39">
        <f>+'FY21'!N85*(1+MYP!$G$9)</f>
        <v>0</v>
      </c>
      <c r="O85" s="39">
        <f>+'FY21'!O85*(1+MYP!$G$9)</f>
        <v>0</v>
      </c>
      <c r="P85" s="39">
        <f>+'FY21'!P85*(1+MYP!$G$9)</f>
        <v>0</v>
      </c>
      <c r="Q85" s="100"/>
      <c r="R85" s="41"/>
      <c r="S85" s="59">
        <f t="shared" si="26"/>
        <v>0</v>
      </c>
      <c r="T85" s="41"/>
      <c r="U85" s="39">
        <f>'FY21'!S85</f>
        <v>0</v>
      </c>
      <c r="V85" s="39">
        <f t="shared" si="27"/>
        <v>0</v>
      </c>
      <c r="W85" s="39"/>
    </row>
    <row r="86" spans="3:23" s="37" customFormat="1" ht="12" x14ac:dyDescent="0.2">
      <c r="C86" s="199">
        <v>6531</v>
      </c>
      <c r="D86" s="37" t="s">
        <v>27</v>
      </c>
      <c r="E86" s="39">
        <f>+'FY21'!E86*(1+MYP!$G$9)</f>
        <v>0</v>
      </c>
      <c r="F86" s="39">
        <f>+'FY21'!F86*(1+MYP!$G$9)</f>
        <v>0</v>
      </c>
      <c r="G86" s="39">
        <f>+'FY21'!G86*(1+MYP!$G$9)</f>
        <v>0</v>
      </c>
      <c r="H86" s="39">
        <f>+'FY21'!H86*(1+MYP!$G$9)</f>
        <v>0</v>
      </c>
      <c r="I86" s="39">
        <f>+'FY21'!I86*(1+MYP!$G$9)</f>
        <v>0</v>
      </c>
      <c r="J86" s="39">
        <f>+'FY21'!J86*(1+MYP!$G$9)</f>
        <v>0</v>
      </c>
      <c r="K86" s="39">
        <f>+'FY21'!K86*(1+MYP!$G$9)</f>
        <v>0</v>
      </c>
      <c r="L86" s="39">
        <f>+'FY21'!L86*(1+MYP!$G$9)</f>
        <v>0</v>
      </c>
      <c r="M86" s="39">
        <f>+'FY21'!M86*(1+MYP!$G$9)</f>
        <v>0</v>
      </c>
      <c r="N86" s="39">
        <f>+'FY21'!N86*(1+MYP!$G$9)</f>
        <v>0</v>
      </c>
      <c r="O86" s="39">
        <f>+'FY21'!O86*(1+MYP!$G$9)</f>
        <v>0</v>
      </c>
      <c r="P86" s="39">
        <f>+'FY21'!P86*(1+MYP!$G$9)</f>
        <v>0</v>
      </c>
      <c r="Q86" s="100"/>
      <c r="R86" s="41"/>
      <c r="S86" s="59">
        <f t="shared" si="26"/>
        <v>0</v>
      </c>
      <c r="T86" s="41"/>
      <c r="U86" s="39">
        <f>'FY21'!S86</f>
        <v>0</v>
      </c>
      <c r="V86" s="39">
        <f t="shared" si="27"/>
        <v>0</v>
      </c>
      <c r="W86" s="39"/>
    </row>
    <row r="87" spans="3:23" s="37" customFormat="1" ht="12" x14ac:dyDescent="0.2">
      <c r="C87" s="199">
        <v>6534</v>
      </c>
      <c r="D87" s="37" t="s">
        <v>28</v>
      </c>
      <c r="E87" s="39">
        <f>+'FY21'!E87*(1+MYP!$G$9)</f>
        <v>0</v>
      </c>
      <c r="F87" s="39">
        <f>+'FY21'!F87*(1+MYP!$G$9)</f>
        <v>0</v>
      </c>
      <c r="G87" s="39">
        <f>+'FY21'!G87*(1+MYP!$G$9)</f>
        <v>0</v>
      </c>
      <c r="H87" s="39">
        <f>+'FY21'!H87*(1+MYP!$G$9)</f>
        <v>0</v>
      </c>
      <c r="I87" s="39">
        <f>+'FY21'!I87*(1+MYP!$G$9)</f>
        <v>0</v>
      </c>
      <c r="J87" s="39">
        <f>+'FY21'!J87*(1+MYP!$G$9)</f>
        <v>0</v>
      </c>
      <c r="K87" s="39">
        <f>+'FY21'!K87*(1+MYP!$G$9)</f>
        <v>0</v>
      </c>
      <c r="L87" s="39">
        <f>+'FY21'!L87*(1+MYP!$G$9)</f>
        <v>0</v>
      </c>
      <c r="M87" s="39">
        <f>+'FY21'!M87*(1+MYP!$G$9)</f>
        <v>0</v>
      </c>
      <c r="N87" s="39">
        <f>+'FY21'!N87*(1+MYP!$G$9)</f>
        <v>0</v>
      </c>
      <c r="O87" s="39">
        <f>+'FY21'!O87*(1+MYP!$G$9)</f>
        <v>0</v>
      </c>
      <c r="P87" s="39">
        <f>+'FY21'!P87*(1+MYP!$G$9)</f>
        <v>0</v>
      </c>
      <c r="Q87" s="100"/>
      <c r="R87" s="41"/>
      <c r="S87" s="59">
        <f t="shared" si="26"/>
        <v>0</v>
      </c>
      <c r="T87" s="41"/>
      <c r="U87" s="39">
        <f>'FY21'!S87</f>
        <v>0</v>
      </c>
      <c r="V87" s="39">
        <f t="shared" si="27"/>
        <v>0</v>
      </c>
      <c r="W87" s="39"/>
    </row>
    <row r="88" spans="3:23" s="37" customFormat="1" ht="12" x14ac:dyDescent="0.2">
      <c r="C88" s="199">
        <v>6535</v>
      </c>
      <c r="D88" s="37" t="s">
        <v>236</v>
      </c>
      <c r="E88" s="39">
        <f>+'FY21'!E88*(1+MYP!$G$9)</f>
        <v>308.04000000000002</v>
      </c>
      <c r="F88" s="39">
        <f>+'FY21'!F88*(1+MYP!$G$9)</f>
        <v>308.04000000000002</v>
      </c>
      <c r="G88" s="39">
        <f>+'FY21'!G88*(1+MYP!$G$9)</f>
        <v>308.04000000000002</v>
      </c>
      <c r="H88" s="39">
        <f>+'FY21'!H88*(1+MYP!$G$9)</f>
        <v>308.04000000000002</v>
      </c>
      <c r="I88" s="39">
        <f>+'FY21'!I88*(1+MYP!$G$9)</f>
        <v>308.04000000000002</v>
      </c>
      <c r="J88" s="39">
        <f>+'FY21'!J88*(1+MYP!$G$9)</f>
        <v>308.04000000000002</v>
      </c>
      <c r="K88" s="39">
        <f>+'FY21'!K88*(1+MYP!$G$9)</f>
        <v>308.04000000000002</v>
      </c>
      <c r="L88" s="39">
        <f>+'FY21'!L88*(1+MYP!$G$9)</f>
        <v>308.04000000000002</v>
      </c>
      <c r="M88" s="39">
        <f>+'FY21'!M88*(1+MYP!$G$9)</f>
        <v>308.04000000000002</v>
      </c>
      <c r="N88" s="39">
        <f>+'FY21'!N88*(1+MYP!$G$9)</f>
        <v>308.04000000000002</v>
      </c>
      <c r="O88" s="39">
        <f>+'FY21'!O88*(1+MYP!$G$9)</f>
        <v>308.04000000000002</v>
      </c>
      <c r="P88" s="39">
        <f>+'FY21'!P88*(1+MYP!$G$9)</f>
        <v>308.04000000000002</v>
      </c>
      <c r="Q88" s="100"/>
      <c r="R88" s="41"/>
      <c r="S88" s="59">
        <f t="shared" si="26"/>
        <v>3696.48</v>
      </c>
      <c r="T88" s="41"/>
      <c r="U88" s="39">
        <f>'FY21'!S88</f>
        <v>3624</v>
      </c>
      <c r="V88" s="39">
        <f t="shared" si="27"/>
        <v>-72.480000000000018</v>
      </c>
      <c r="W88" s="39"/>
    </row>
    <row r="89" spans="3:23" s="37" customFormat="1" ht="12" x14ac:dyDescent="0.2">
      <c r="C89" s="199">
        <v>6540</v>
      </c>
      <c r="D89" s="37" t="s">
        <v>30</v>
      </c>
      <c r="E89" s="39">
        <f>+'FY21'!E89*(1+MYP!$G$9)</f>
        <v>0</v>
      </c>
      <c r="F89" s="39">
        <f>+'FY21'!F89*(1+MYP!$G$9)</f>
        <v>0</v>
      </c>
      <c r="G89" s="39">
        <f>+'FY21'!G89*(1+MYP!$G$9)</f>
        <v>0</v>
      </c>
      <c r="H89" s="39">
        <f>+'FY21'!H89*(1+MYP!$G$9)</f>
        <v>0</v>
      </c>
      <c r="I89" s="39">
        <f>+'FY21'!I89*(1+MYP!$G$9)</f>
        <v>0</v>
      </c>
      <c r="J89" s="39">
        <f>+'FY21'!J89*(1+MYP!$G$9)</f>
        <v>0</v>
      </c>
      <c r="K89" s="39">
        <f>+'FY21'!K89*(1+MYP!$G$9)</f>
        <v>0</v>
      </c>
      <c r="L89" s="39">
        <f>+'FY21'!L89*(1+MYP!$G$9)</f>
        <v>0</v>
      </c>
      <c r="M89" s="39">
        <f>+'FY21'!M89*(1+MYP!$G$9)</f>
        <v>0</v>
      </c>
      <c r="N89" s="39">
        <f>+'FY21'!N89*(1+MYP!$G$9)</f>
        <v>0</v>
      </c>
      <c r="O89" s="39">
        <f>+'FY21'!O89*(1+MYP!$G$9)</f>
        <v>0</v>
      </c>
      <c r="P89" s="39">
        <f>+'FY21'!P89*(1+MYP!$G$9)</f>
        <v>0</v>
      </c>
      <c r="Q89" s="100"/>
      <c r="R89" s="41"/>
      <c r="S89" s="59">
        <f t="shared" si="26"/>
        <v>0</v>
      </c>
      <c r="T89" s="41"/>
      <c r="U89" s="39">
        <f>'FY21'!S89</f>
        <v>0</v>
      </c>
      <c r="V89" s="39">
        <f t="shared" si="27"/>
        <v>0</v>
      </c>
      <c r="W89" s="39"/>
    </row>
    <row r="90" spans="3:23" s="37" customFormat="1" ht="12" x14ac:dyDescent="0.2">
      <c r="C90" s="199">
        <v>6550</v>
      </c>
      <c r="D90" s="37" t="s">
        <v>31</v>
      </c>
      <c r="E90" s="39">
        <f>+'FY21'!E90*(1+MYP!$G$9)</f>
        <v>0</v>
      </c>
      <c r="F90" s="39">
        <f>+'FY21'!F90*(1+MYP!$G$9)</f>
        <v>0</v>
      </c>
      <c r="G90" s="39">
        <f>+'FY21'!G90*(1+MYP!$G$9)</f>
        <v>0</v>
      </c>
      <c r="H90" s="39">
        <f>+'FY21'!H90*(1+MYP!$G$9)</f>
        <v>0</v>
      </c>
      <c r="I90" s="39">
        <f>+'FY21'!I90*(1+MYP!$G$9)</f>
        <v>0</v>
      </c>
      <c r="J90" s="39">
        <f>+'FY21'!J90*(1+MYP!$G$9)</f>
        <v>0</v>
      </c>
      <c r="K90" s="39">
        <f>+'FY21'!K90*(1+MYP!$G$9)</f>
        <v>0</v>
      </c>
      <c r="L90" s="39">
        <f>+'FY21'!L90*(1+MYP!$G$9)</f>
        <v>0</v>
      </c>
      <c r="M90" s="39">
        <f>+'FY21'!M90*(1+MYP!$G$9)</f>
        <v>0</v>
      </c>
      <c r="N90" s="39">
        <f>+'FY21'!N90*(1+MYP!$G$9)</f>
        <v>0</v>
      </c>
      <c r="O90" s="39">
        <f>+'FY21'!O90*(1+MYP!$G$9)</f>
        <v>0</v>
      </c>
      <c r="P90" s="39">
        <f>+'FY21'!P90*(1+MYP!$G$9)</f>
        <v>0</v>
      </c>
      <c r="Q90" s="100"/>
      <c r="R90" s="41"/>
      <c r="S90" s="59">
        <f t="shared" si="26"/>
        <v>0</v>
      </c>
      <c r="T90" s="41"/>
      <c r="U90" s="39">
        <f>'FY21'!S90</f>
        <v>0</v>
      </c>
      <c r="V90" s="39">
        <f t="shared" si="27"/>
        <v>0</v>
      </c>
      <c r="W90" s="39"/>
    </row>
    <row r="91" spans="3:23" s="37" customFormat="1" ht="12" x14ac:dyDescent="0.2">
      <c r="C91" s="206">
        <v>6568</v>
      </c>
      <c r="D91" s="37" t="s">
        <v>187</v>
      </c>
      <c r="E91" s="39">
        <f>+'FY21'!E91*(1+MYP!$G$8)</f>
        <v>0</v>
      </c>
      <c r="F91" s="39">
        <f>+'FY21'!F91*(1+MYP!$G$8)</f>
        <v>0</v>
      </c>
      <c r="G91" s="39">
        <f>+'FY21'!G91*(1+MYP!$G$8)</f>
        <v>0</v>
      </c>
      <c r="H91" s="39">
        <f>+'FY21'!H91*(1+MYP!$G$8)</f>
        <v>0</v>
      </c>
      <c r="I91" s="39">
        <f>+'FY21'!I91*(1+MYP!$G$8)</f>
        <v>0</v>
      </c>
      <c r="J91" s="39">
        <f>+'FY21'!J91*(1+MYP!$G$8)</f>
        <v>0</v>
      </c>
      <c r="K91" s="39">
        <f>+'FY21'!K91*(1+MYP!$G$8)</f>
        <v>0</v>
      </c>
      <c r="L91" s="39">
        <f>+'FY21'!L91*(1+MYP!$G$8)</f>
        <v>0</v>
      </c>
      <c r="M91" s="39">
        <f>+'FY21'!M91*(1+MYP!$G$8)</f>
        <v>0</v>
      </c>
      <c r="N91" s="39">
        <f>+'FY21'!N91*(1+MYP!$G$8)</f>
        <v>0</v>
      </c>
      <c r="O91" s="39">
        <f>+'FY21'!O91*(1+MYP!$G$8)</f>
        <v>0</v>
      </c>
      <c r="P91" s="39">
        <f>+'FY21'!P91*(1+MYP!$G$8)</f>
        <v>0</v>
      </c>
      <c r="Q91" s="100"/>
      <c r="R91" s="41"/>
      <c r="S91" s="59">
        <f t="shared" ref="S91" si="28">SUM(E91:Q91)</f>
        <v>0</v>
      </c>
      <c r="T91" s="41"/>
      <c r="U91" s="39">
        <f>'FY21'!S91</f>
        <v>0</v>
      </c>
      <c r="V91" s="39">
        <f t="shared" ref="V91" si="29">U91-S91</f>
        <v>0</v>
      </c>
      <c r="W91" s="39"/>
    </row>
    <row r="92" spans="3:23" s="37" customFormat="1" ht="12" x14ac:dyDescent="0.2">
      <c r="C92" s="199">
        <v>6569</v>
      </c>
      <c r="D92" s="37" t="s">
        <v>32</v>
      </c>
      <c r="E92" s="39">
        <f>+'FY21'!E92*(1+MYP!$G$8)</f>
        <v>0</v>
      </c>
      <c r="F92" s="39">
        <f>+'FY21'!F92*(1+MYP!$G$8)</f>
        <v>0</v>
      </c>
      <c r="G92" s="39">
        <f>+'FY21'!G92*(1+MYP!$G$8)</f>
        <v>0</v>
      </c>
      <c r="H92" s="39">
        <f>+'FY21'!H92*(1+MYP!$G$8)</f>
        <v>42233.75</v>
      </c>
      <c r="I92" s="39">
        <f>+'FY21'!I92*(1+MYP!$G$8)</f>
        <v>56206.249999999993</v>
      </c>
      <c r="J92" s="39">
        <f>+'FY21'!J92*(1+MYP!$G$8)</f>
        <v>-1150</v>
      </c>
      <c r="K92" s="39">
        <f>+'FY21'!K92*(1+MYP!$G$8)</f>
        <v>0</v>
      </c>
      <c r="L92" s="39">
        <f>+'FY21'!L92*(1+MYP!$G$8)</f>
        <v>0</v>
      </c>
      <c r="M92" s="39">
        <f>+'FY21'!M92*(1+MYP!$G$8)</f>
        <v>48357.499999999993</v>
      </c>
      <c r="N92" s="39">
        <f>+'FY21'!N92*(1+MYP!$G$8)</f>
        <v>75037.5</v>
      </c>
      <c r="O92" s="39">
        <f>+'FY21'!O92*(1+MYP!$G$8)</f>
        <v>-1150</v>
      </c>
      <c r="P92" s="39">
        <f>+'FY21'!P92*(1+MYP!$G$8)</f>
        <v>0</v>
      </c>
      <c r="Q92" s="100"/>
      <c r="R92" s="41"/>
      <c r="S92" s="59">
        <f t="shared" si="26"/>
        <v>219535</v>
      </c>
      <c r="T92" s="41"/>
      <c r="U92" s="39">
        <f>'FY21'!S92</f>
        <v>190900</v>
      </c>
      <c r="V92" s="39">
        <f t="shared" si="27"/>
        <v>-28635</v>
      </c>
      <c r="W92" s="39"/>
    </row>
    <row r="93" spans="3:23" s="37" customFormat="1" ht="12" x14ac:dyDescent="0.2">
      <c r="C93" s="199">
        <v>6580</v>
      </c>
      <c r="D93" s="37" t="s">
        <v>33</v>
      </c>
      <c r="E93" s="39">
        <f>+'FY21'!E93*(1+MYP!$G$9)</f>
        <v>0</v>
      </c>
      <c r="F93" s="39">
        <f>+'FY21'!F93*(1+MYP!$G$9)</f>
        <v>0</v>
      </c>
      <c r="G93" s="39">
        <f>+'FY21'!G93*(1+MYP!$G$9)</f>
        <v>0</v>
      </c>
      <c r="H93" s="39">
        <f>+'FY21'!H93*(1+MYP!$G$9)</f>
        <v>0</v>
      </c>
      <c r="I93" s="39">
        <f>+'FY21'!I93*(1+MYP!$G$9)</f>
        <v>0</v>
      </c>
      <c r="J93" s="39">
        <f>+'FY21'!J93*(1+MYP!$G$9)</f>
        <v>0</v>
      </c>
      <c r="K93" s="39">
        <f>+'FY21'!K93*(1+MYP!$G$9)</f>
        <v>0</v>
      </c>
      <c r="L93" s="39">
        <f>+'FY21'!L93*(1+MYP!$G$9)</f>
        <v>0</v>
      </c>
      <c r="M93" s="39">
        <f>+'FY21'!M93*(1+MYP!$G$9)</f>
        <v>0</v>
      </c>
      <c r="N93" s="39">
        <f>+'FY21'!N93*(1+MYP!$G$9)</f>
        <v>0</v>
      </c>
      <c r="O93" s="39">
        <f>+'FY21'!O93*(1+MYP!$G$9)</f>
        <v>0</v>
      </c>
      <c r="P93" s="39">
        <f>+'FY21'!P93*(1+MYP!$G$9)</f>
        <v>0</v>
      </c>
      <c r="Q93" s="100"/>
      <c r="R93" s="41"/>
      <c r="S93" s="59">
        <f t="shared" si="26"/>
        <v>0</v>
      </c>
      <c r="T93" s="41"/>
      <c r="U93" s="39">
        <f>'FY21'!S93</f>
        <v>0</v>
      </c>
      <c r="V93" s="39">
        <f t="shared" si="27"/>
        <v>0</v>
      </c>
      <c r="W93" s="39"/>
    </row>
    <row r="94" spans="3:23" s="37" customFormat="1" ht="12" x14ac:dyDescent="0.2">
      <c r="C94" s="38"/>
      <c r="E94" s="50">
        <f>SUBTOTAL(9,E82:E93)</f>
        <v>308.04000000000002</v>
      </c>
      <c r="F94" s="50">
        <f t="shared" ref="F94:V94" si="30">SUBTOTAL(9,F82:F93)</f>
        <v>308.04000000000002</v>
      </c>
      <c r="G94" s="50">
        <f t="shared" si="30"/>
        <v>308.04000000000002</v>
      </c>
      <c r="H94" s="50">
        <f t="shared" si="30"/>
        <v>42541.79</v>
      </c>
      <c r="I94" s="50">
        <f t="shared" si="30"/>
        <v>56514.289999999994</v>
      </c>
      <c r="J94" s="50">
        <f t="shared" si="30"/>
        <v>-841.96</v>
      </c>
      <c r="K94" s="50">
        <f t="shared" si="30"/>
        <v>308.04000000000002</v>
      </c>
      <c r="L94" s="50">
        <f t="shared" si="30"/>
        <v>308.04000000000002</v>
      </c>
      <c r="M94" s="50">
        <f t="shared" si="30"/>
        <v>48665.539999999994</v>
      </c>
      <c r="N94" s="50">
        <f t="shared" si="30"/>
        <v>75345.539999999994</v>
      </c>
      <c r="O94" s="50">
        <f t="shared" si="30"/>
        <v>-841.96</v>
      </c>
      <c r="P94" s="50">
        <f t="shared" si="30"/>
        <v>308.04000000000002</v>
      </c>
      <c r="Q94" s="99"/>
      <c r="R94" s="41"/>
      <c r="S94" s="61">
        <f t="shared" si="30"/>
        <v>223231.48</v>
      </c>
      <c r="T94" s="41"/>
      <c r="U94" s="50">
        <f t="shared" si="30"/>
        <v>194524</v>
      </c>
      <c r="V94" s="50">
        <f t="shared" si="30"/>
        <v>-28707.48</v>
      </c>
      <c r="W94" s="39"/>
    </row>
    <row r="95" spans="3:23" s="37" customFormat="1" ht="12" x14ac:dyDescent="0.2">
      <c r="C95" s="49" t="s">
        <v>102</v>
      </c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100"/>
      <c r="R95" s="41"/>
      <c r="S95" s="59"/>
      <c r="T95" s="41"/>
      <c r="U95" s="39"/>
      <c r="V95" s="39"/>
      <c r="W95" s="39"/>
    </row>
    <row r="96" spans="3:23" s="37" customFormat="1" ht="12" x14ac:dyDescent="0.2">
      <c r="C96" s="199">
        <v>6610</v>
      </c>
      <c r="D96" s="37" t="s">
        <v>34</v>
      </c>
      <c r="E96" s="39">
        <f>+'FY21'!E96*(1+MYP!$G$9)</f>
        <v>178.5</v>
      </c>
      <c r="F96" s="39">
        <f>+'FY21'!F96*(1+MYP!$G$9)</f>
        <v>178.5</v>
      </c>
      <c r="G96" s="39">
        <f>+'FY21'!G96*(1+MYP!$G$9)</f>
        <v>178.5</v>
      </c>
      <c r="H96" s="39">
        <f>+'FY21'!H96*(1+MYP!$G$9)</f>
        <v>374.34000000000003</v>
      </c>
      <c r="I96" s="39">
        <f>+'FY21'!I96*(1+MYP!$G$9)</f>
        <v>178.5</v>
      </c>
      <c r="J96" s="39">
        <f>+'FY21'!J96*(1+MYP!$G$9)</f>
        <v>178.5</v>
      </c>
      <c r="K96" s="39">
        <f>+'FY21'!K96*(1+MYP!$G$9)</f>
        <v>178.5</v>
      </c>
      <c r="L96" s="39">
        <f>+'FY21'!L96*(1+MYP!$G$9)</f>
        <v>178.5</v>
      </c>
      <c r="M96" s="39">
        <f>+'FY21'!M96*(1+MYP!$G$9)</f>
        <v>178.5</v>
      </c>
      <c r="N96" s="39">
        <f>+'FY21'!N96*(1+MYP!$G$9)</f>
        <v>178.5</v>
      </c>
      <c r="O96" s="39">
        <f>+'FY21'!O96*(1+MYP!$G$9)</f>
        <v>178.5</v>
      </c>
      <c r="P96" s="39">
        <f>+'FY21'!P96*(1+MYP!$G$9)</f>
        <v>178.5</v>
      </c>
      <c r="Q96" s="100"/>
      <c r="R96" s="41"/>
      <c r="S96" s="59">
        <f t="shared" ref="S96:S102" si="31">SUM(E96:Q96)</f>
        <v>2337.84</v>
      </c>
      <c r="T96" s="41"/>
      <c r="U96" s="39">
        <f>'FY21'!S96</f>
        <v>2292</v>
      </c>
      <c r="V96" s="39">
        <f t="shared" ref="V96:V102" si="32">U96-S96</f>
        <v>-45.840000000000146</v>
      </c>
      <c r="W96" s="39"/>
    </row>
    <row r="97" spans="3:23" s="37" customFormat="1" ht="12" x14ac:dyDescent="0.2">
      <c r="C97" s="199">
        <v>6612</v>
      </c>
      <c r="D97" s="37" t="s">
        <v>35</v>
      </c>
      <c r="E97" s="39">
        <f>+'FY21'!E97*(1+MYP!$G$9)</f>
        <v>0</v>
      </c>
      <c r="F97" s="39">
        <f>+'FY21'!F97*(1+MYP!$G$9)</f>
        <v>0</v>
      </c>
      <c r="G97" s="39">
        <f>+'FY21'!G97*(1+MYP!$G$9)</f>
        <v>0</v>
      </c>
      <c r="H97" s="39">
        <f>+'FY21'!H97*(1+MYP!$G$9)</f>
        <v>0</v>
      </c>
      <c r="I97" s="39">
        <f>+'FY21'!I97*(1+MYP!$G$9)</f>
        <v>0</v>
      </c>
      <c r="J97" s="39">
        <f>+'FY21'!J97*(1+MYP!$G$9)</f>
        <v>0</v>
      </c>
      <c r="K97" s="39">
        <f>+'FY21'!K97*(1+MYP!$G$9)</f>
        <v>0</v>
      </c>
      <c r="L97" s="39">
        <f>+'FY21'!L97*(1+MYP!$G$9)</f>
        <v>0</v>
      </c>
      <c r="M97" s="39">
        <f>+'FY21'!M97*(1+MYP!$G$9)</f>
        <v>0</v>
      </c>
      <c r="N97" s="39">
        <f>+'FY21'!N97*(1+MYP!$G$9)</f>
        <v>0</v>
      </c>
      <c r="O97" s="39">
        <f>+'FY21'!O97*(1+MYP!$G$9)</f>
        <v>0</v>
      </c>
      <c r="P97" s="39">
        <f>+'FY21'!P97*(1+MYP!$G$9)</f>
        <v>0</v>
      </c>
      <c r="Q97" s="100"/>
      <c r="R97" s="41"/>
      <c r="S97" s="59">
        <f t="shared" si="31"/>
        <v>0</v>
      </c>
      <c r="T97" s="41"/>
      <c r="U97" s="39">
        <f>'FY21'!S97</f>
        <v>0</v>
      </c>
      <c r="V97" s="39">
        <f t="shared" si="32"/>
        <v>0</v>
      </c>
      <c r="W97" s="39"/>
    </row>
    <row r="98" spans="3:23" s="37" customFormat="1" ht="12" x14ac:dyDescent="0.2">
      <c r="C98" s="199">
        <v>6622</v>
      </c>
      <c r="D98" s="37" t="s">
        <v>36</v>
      </c>
      <c r="E98" s="39">
        <f>+'FY21'!E98*(1+MYP!$G$9)</f>
        <v>102</v>
      </c>
      <c r="F98" s="39">
        <f>+'FY21'!F98*(1+MYP!$G$9)</f>
        <v>102</v>
      </c>
      <c r="G98" s="39">
        <f>+'FY21'!G98*(1+MYP!$G$9)</f>
        <v>102</v>
      </c>
      <c r="H98" s="39">
        <f>+'FY21'!H98*(1+MYP!$G$9)</f>
        <v>102</v>
      </c>
      <c r="I98" s="39">
        <f>+'FY21'!I98*(1+MYP!$G$9)</f>
        <v>102</v>
      </c>
      <c r="J98" s="39">
        <f>+'FY21'!J98*(1+MYP!$G$9)</f>
        <v>102</v>
      </c>
      <c r="K98" s="39">
        <f>+'FY21'!K98*(1+MYP!$G$9)</f>
        <v>102</v>
      </c>
      <c r="L98" s="39">
        <f>+'FY21'!L98*(1+MYP!$G$9)</f>
        <v>102</v>
      </c>
      <c r="M98" s="39">
        <f>+'FY21'!M98*(1+MYP!$G$9)</f>
        <v>102</v>
      </c>
      <c r="N98" s="39">
        <f>+'FY21'!N98*(1+MYP!$G$9)</f>
        <v>102</v>
      </c>
      <c r="O98" s="39">
        <f>+'FY21'!O98*(1+MYP!$G$9)</f>
        <v>102</v>
      </c>
      <c r="P98" s="39">
        <f>+'FY21'!P98*(1+MYP!$G$9)</f>
        <v>102</v>
      </c>
      <c r="Q98" s="100"/>
      <c r="R98" s="41"/>
      <c r="S98" s="59">
        <f t="shared" si="31"/>
        <v>1224</v>
      </c>
      <c r="T98" s="41"/>
      <c r="U98" s="39">
        <f>'FY21'!S98</f>
        <v>1200</v>
      </c>
      <c r="V98" s="39">
        <f t="shared" si="32"/>
        <v>-24</v>
      </c>
      <c r="W98" s="39"/>
    </row>
    <row r="99" spans="3:23" s="37" customFormat="1" ht="12" x14ac:dyDescent="0.2">
      <c r="C99" s="199">
        <v>6641</v>
      </c>
      <c r="D99" s="37" t="s">
        <v>37</v>
      </c>
      <c r="E99" s="39">
        <f>+'FY21'!E99*(1+MYP!$G$8)</f>
        <v>0</v>
      </c>
      <c r="F99" s="39">
        <f>+'FY21'!F99*(1+MYP!$G$8)</f>
        <v>0</v>
      </c>
      <c r="G99" s="39">
        <f>+'FY21'!G99*(1+MYP!$G$8)</f>
        <v>0</v>
      </c>
      <c r="H99" s="39">
        <f>+'FY21'!H99*(1+MYP!$G$8)</f>
        <v>8136.2499999999991</v>
      </c>
      <c r="I99" s="39">
        <f>+'FY21'!I99*(1+MYP!$G$8)</f>
        <v>3996.2499999999995</v>
      </c>
      <c r="J99" s="39">
        <f>+'FY21'!J99*(1+MYP!$G$8)</f>
        <v>0</v>
      </c>
      <c r="K99" s="39">
        <f>+'FY21'!K99*(1+MYP!$G$8)</f>
        <v>0</v>
      </c>
      <c r="L99" s="39">
        <f>+'FY21'!L99*(1+MYP!$G$8)</f>
        <v>0</v>
      </c>
      <c r="M99" s="39">
        <f>+'FY21'!M99*(1+MYP!$G$8)</f>
        <v>0</v>
      </c>
      <c r="N99" s="39">
        <f>+'FY21'!N99*(1+MYP!$G$8)</f>
        <v>4901.875</v>
      </c>
      <c r="O99" s="39">
        <f>+'FY21'!O99*(1+MYP!$G$8)</f>
        <v>2653.625</v>
      </c>
      <c r="P99" s="39">
        <f>+'FY21'!P99*(1+MYP!$G$8)</f>
        <v>0</v>
      </c>
      <c r="Q99" s="100"/>
      <c r="R99" s="41"/>
      <c r="S99" s="59">
        <f t="shared" si="31"/>
        <v>19688</v>
      </c>
      <c r="T99" s="41"/>
      <c r="U99" s="39">
        <f>'FY21'!S99</f>
        <v>17120</v>
      </c>
      <c r="V99" s="39">
        <f t="shared" si="32"/>
        <v>-2568</v>
      </c>
      <c r="W99" s="39"/>
    </row>
    <row r="100" spans="3:23" s="37" customFormat="1" ht="12" x14ac:dyDescent="0.2">
      <c r="C100" s="199">
        <v>6642</v>
      </c>
      <c r="D100" s="37" t="s">
        <v>38</v>
      </c>
      <c r="E100" s="39">
        <f>+'FY21'!E100*(1+MYP!$G$8)</f>
        <v>0</v>
      </c>
      <c r="F100" s="39">
        <f>+'FY21'!F100*(1+MYP!$G$8)</f>
        <v>0</v>
      </c>
      <c r="G100" s="39">
        <f>+'FY21'!G100*(1+MYP!$G$8)</f>
        <v>0</v>
      </c>
      <c r="H100" s="39">
        <f>+'FY21'!H100*(1+MYP!$G$8)</f>
        <v>4082.4999999999995</v>
      </c>
      <c r="I100" s="39">
        <f>+'FY21'!I100*(1+MYP!$G$8)</f>
        <v>6037.4999999999991</v>
      </c>
      <c r="J100" s="39">
        <f>+'FY21'!J100*(1+MYP!$G$8)</f>
        <v>0</v>
      </c>
      <c r="K100" s="39">
        <f>+'FY21'!K100*(1+MYP!$G$8)</f>
        <v>0</v>
      </c>
      <c r="L100" s="39">
        <f>+'FY21'!L100*(1+MYP!$G$8)</f>
        <v>0</v>
      </c>
      <c r="M100" s="39">
        <f>+'FY21'!M100*(1+MYP!$G$8)</f>
        <v>0</v>
      </c>
      <c r="N100" s="39">
        <f>+'FY21'!N100*(1+MYP!$G$8)</f>
        <v>8150.6249999999991</v>
      </c>
      <c r="O100" s="39">
        <f>+'FY21'!O100*(1+MYP!$G$8)</f>
        <v>5511.375</v>
      </c>
      <c r="P100" s="39">
        <f>+'FY21'!P100*(1+MYP!$G$8)</f>
        <v>0</v>
      </c>
      <c r="Q100" s="100"/>
      <c r="R100" s="41"/>
      <c r="S100" s="59">
        <f t="shared" si="31"/>
        <v>23781.999999999996</v>
      </c>
      <c r="T100" s="41"/>
      <c r="U100" s="39">
        <f>'FY21'!S100</f>
        <v>20680</v>
      </c>
      <c r="V100" s="39">
        <f t="shared" si="32"/>
        <v>-3101.9999999999964</v>
      </c>
      <c r="W100" s="39"/>
    </row>
    <row r="101" spans="3:23" s="37" customFormat="1" ht="12" x14ac:dyDescent="0.2">
      <c r="C101" s="199">
        <v>6651</v>
      </c>
      <c r="D101" s="37" t="s">
        <v>39</v>
      </c>
      <c r="E101" s="39">
        <f>+'FY21'!E101*(1+MYP!$G$9)</f>
        <v>0</v>
      </c>
      <c r="F101" s="39">
        <f>+'FY21'!F101*(1+MYP!$G$9)</f>
        <v>0</v>
      </c>
      <c r="G101" s="39">
        <f>+'FY21'!G101*(1+MYP!$G$9)</f>
        <v>0</v>
      </c>
      <c r="H101" s="39">
        <f>+'FY21'!H101*(1+MYP!$G$9)</f>
        <v>0</v>
      </c>
      <c r="I101" s="39">
        <f>+'FY21'!I101*(1+MYP!$G$9)</f>
        <v>0</v>
      </c>
      <c r="J101" s="39">
        <f>+'FY21'!J101*(1+MYP!$G$9)</f>
        <v>0</v>
      </c>
      <c r="K101" s="39">
        <f>+'FY21'!K101*(1+MYP!$G$9)</f>
        <v>0</v>
      </c>
      <c r="L101" s="39">
        <f>+'FY21'!L101*(1+MYP!$G$9)</f>
        <v>0</v>
      </c>
      <c r="M101" s="39">
        <f>+'FY21'!M101*(1+MYP!$G$9)</f>
        <v>0</v>
      </c>
      <c r="N101" s="39">
        <f>+'FY21'!N101*(1+MYP!$G$9)</f>
        <v>0</v>
      </c>
      <c r="O101" s="39">
        <f>+'FY21'!O101*(1+MYP!$G$9)</f>
        <v>0</v>
      </c>
      <c r="P101" s="39">
        <f>+'FY21'!P101*(1+MYP!$G$9)</f>
        <v>0</v>
      </c>
      <c r="Q101" s="100"/>
      <c r="R101" s="41"/>
      <c r="S101" s="59">
        <f t="shared" si="31"/>
        <v>0</v>
      </c>
      <c r="T101" s="41"/>
      <c r="U101" s="39">
        <f>'FY21'!S101</f>
        <v>0</v>
      </c>
      <c r="V101" s="39">
        <f t="shared" si="32"/>
        <v>0</v>
      </c>
      <c r="W101" s="39"/>
    </row>
    <row r="102" spans="3:23" s="37" customFormat="1" ht="12" x14ac:dyDescent="0.2">
      <c r="C102" s="199">
        <v>6652</v>
      </c>
      <c r="D102" s="37" t="s">
        <v>40</v>
      </c>
      <c r="E102" s="39">
        <f>+'FY21'!E102*(1+MYP!$G$9)</f>
        <v>0</v>
      </c>
      <c r="F102" s="39">
        <f>+'FY21'!F102*(1+MYP!$G$9)</f>
        <v>0</v>
      </c>
      <c r="G102" s="39">
        <f>+'FY21'!G102*(1+MYP!$G$9)</f>
        <v>0</v>
      </c>
      <c r="H102" s="39">
        <f>+'FY21'!H102*(1+MYP!$G$9)</f>
        <v>0</v>
      </c>
      <c r="I102" s="39">
        <f>+'FY21'!I102*(1+MYP!$G$9)</f>
        <v>0</v>
      </c>
      <c r="J102" s="39">
        <f>+'FY21'!J102*(1+MYP!$G$9)</f>
        <v>0</v>
      </c>
      <c r="K102" s="39">
        <f>+'FY21'!K102*(1+MYP!$G$9)</f>
        <v>0</v>
      </c>
      <c r="L102" s="39">
        <f>+'FY21'!L102*(1+MYP!$G$9)</f>
        <v>0</v>
      </c>
      <c r="M102" s="39">
        <f>+'FY21'!M102*(1+MYP!$G$9)</f>
        <v>0</v>
      </c>
      <c r="N102" s="39">
        <f>+'FY21'!N102*(1+MYP!$G$9)</f>
        <v>0</v>
      </c>
      <c r="O102" s="39">
        <f>+'FY21'!O102*(1+MYP!$G$9)</f>
        <v>0</v>
      </c>
      <c r="P102" s="39">
        <f>+'FY21'!P102*(1+MYP!$G$9)</f>
        <v>0</v>
      </c>
      <c r="Q102" s="100"/>
      <c r="R102" s="41"/>
      <c r="S102" s="59">
        <f t="shared" si="31"/>
        <v>0</v>
      </c>
      <c r="T102" s="41"/>
      <c r="U102" s="39">
        <f>'FY21'!S102</f>
        <v>0</v>
      </c>
      <c r="V102" s="39">
        <f t="shared" si="32"/>
        <v>0</v>
      </c>
      <c r="W102" s="39"/>
    </row>
    <row r="103" spans="3:23" s="37" customFormat="1" ht="12" x14ac:dyDescent="0.2">
      <c r="C103" s="38"/>
      <c r="E103" s="50">
        <f>SUBTOTAL(9,E96:E102)</f>
        <v>280.5</v>
      </c>
      <c r="F103" s="50">
        <f t="shared" ref="F103:V103" si="33">SUBTOTAL(9,F96:F102)</f>
        <v>280.5</v>
      </c>
      <c r="G103" s="50">
        <f t="shared" si="33"/>
        <v>280.5</v>
      </c>
      <c r="H103" s="50">
        <f t="shared" si="33"/>
        <v>12695.089999999998</v>
      </c>
      <c r="I103" s="50">
        <f t="shared" si="33"/>
        <v>10314.25</v>
      </c>
      <c r="J103" s="50">
        <f t="shared" si="33"/>
        <v>280.5</v>
      </c>
      <c r="K103" s="50">
        <f t="shared" si="33"/>
        <v>280.5</v>
      </c>
      <c r="L103" s="50">
        <f t="shared" si="33"/>
        <v>280.5</v>
      </c>
      <c r="M103" s="50">
        <f t="shared" si="33"/>
        <v>280.5</v>
      </c>
      <c r="N103" s="50">
        <f t="shared" si="33"/>
        <v>13333</v>
      </c>
      <c r="O103" s="50">
        <f t="shared" si="33"/>
        <v>8445.5</v>
      </c>
      <c r="P103" s="50">
        <f t="shared" si="33"/>
        <v>280.5</v>
      </c>
      <c r="Q103" s="99"/>
      <c r="R103" s="41"/>
      <c r="S103" s="61">
        <f t="shared" si="33"/>
        <v>47031.839999999997</v>
      </c>
      <c r="T103" s="41"/>
      <c r="U103" s="50">
        <f t="shared" si="33"/>
        <v>41292</v>
      </c>
      <c r="V103" s="50">
        <f t="shared" si="33"/>
        <v>-5739.8399999999965</v>
      </c>
      <c r="W103" s="39"/>
    </row>
    <row r="104" spans="3:23" s="37" customFormat="1" ht="12" x14ac:dyDescent="0.2">
      <c r="C104" s="49" t="s">
        <v>103</v>
      </c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100"/>
      <c r="R104" s="41"/>
      <c r="S104" s="59"/>
      <c r="T104" s="41"/>
      <c r="U104" s="39"/>
      <c r="V104" s="39"/>
      <c r="W104" s="39"/>
    </row>
    <row r="105" spans="3:23" s="37" customFormat="1" ht="12" x14ac:dyDescent="0.2">
      <c r="C105" s="199">
        <v>6734</v>
      </c>
      <c r="D105" s="37" t="s">
        <v>41</v>
      </c>
      <c r="E105" s="39">
        <f>+'FY21'!E105*(1+MYP!$G$9)</f>
        <v>0</v>
      </c>
      <c r="F105" s="39">
        <f>+'FY21'!F105*(1+MYP!$G$9)</f>
        <v>0</v>
      </c>
      <c r="G105" s="39">
        <f>+'FY21'!G105*(1+MYP!$G$9)</f>
        <v>0</v>
      </c>
      <c r="H105" s="39">
        <f>+'FY21'!H105*(1+MYP!$G$9)</f>
        <v>0</v>
      </c>
      <c r="I105" s="39">
        <f>+'FY21'!I105*(1+MYP!$G$9)</f>
        <v>0</v>
      </c>
      <c r="J105" s="39">
        <f>+'FY21'!J105*(1+MYP!$G$9)</f>
        <v>0</v>
      </c>
      <c r="K105" s="39">
        <f>+'FY21'!K105*(1+MYP!$G$9)</f>
        <v>0</v>
      </c>
      <c r="L105" s="39">
        <f>+'FY21'!L105*(1+MYP!$G$9)</f>
        <v>0</v>
      </c>
      <c r="M105" s="39">
        <f>+'FY21'!M105*(1+MYP!$G$9)</f>
        <v>0</v>
      </c>
      <c r="N105" s="39">
        <f>+'FY21'!N105*(1+MYP!$G$9)</f>
        <v>0</v>
      </c>
      <c r="O105" s="39">
        <f>+'FY21'!O105*(1+MYP!$G$9)</f>
        <v>0</v>
      </c>
      <c r="P105" s="39">
        <f>+'FY21'!P105*(1+MYP!$G$9)</f>
        <v>0</v>
      </c>
      <c r="Q105" s="100"/>
      <c r="R105" s="41"/>
      <c r="S105" s="59">
        <f t="shared" ref="S105" si="34">SUM(E105:Q105)</f>
        <v>0</v>
      </c>
      <c r="T105" s="41"/>
      <c r="U105" s="39">
        <f>'FY21'!S105</f>
        <v>0</v>
      </c>
      <c r="V105" s="39">
        <f t="shared" ref="V105" si="35">U105-S105</f>
        <v>0</v>
      </c>
      <c r="W105" s="39"/>
    </row>
    <row r="106" spans="3:23" s="37" customFormat="1" ht="12" x14ac:dyDescent="0.2">
      <c r="C106" s="38"/>
      <c r="E106" s="50">
        <f>SUBTOTAL(9,E105)</f>
        <v>0</v>
      </c>
      <c r="F106" s="50">
        <f t="shared" ref="F106:V106" si="36">SUBTOTAL(9,F105)</f>
        <v>0</v>
      </c>
      <c r="G106" s="50">
        <f t="shared" si="36"/>
        <v>0</v>
      </c>
      <c r="H106" s="50">
        <f t="shared" si="36"/>
        <v>0</v>
      </c>
      <c r="I106" s="50">
        <f t="shared" si="36"/>
        <v>0</v>
      </c>
      <c r="J106" s="50">
        <f t="shared" si="36"/>
        <v>0</v>
      </c>
      <c r="K106" s="50">
        <f t="shared" si="36"/>
        <v>0</v>
      </c>
      <c r="L106" s="50">
        <f t="shared" si="36"/>
        <v>0</v>
      </c>
      <c r="M106" s="50">
        <f t="shared" si="36"/>
        <v>0</v>
      </c>
      <c r="N106" s="50">
        <f t="shared" si="36"/>
        <v>0</v>
      </c>
      <c r="O106" s="50">
        <f t="shared" si="36"/>
        <v>0</v>
      </c>
      <c r="P106" s="50">
        <f t="shared" si="36"/>
        <v>0</v>
      </c>
      <c r="Q106" s="99"/>
      <c r="R106" s="41"/>
      <c r="S106" s="61">
        <f t="shared" si="36"/>
        <v>0</v>
      </c>
      <c r="T106" s="41"/>
      <c r="U106" s="50">
        <f t="shared" si="36"/>
        <v>0</v>
      </c>
      <c r="V106" s="50">
        <f t="shared" si="36"/>
        <v>0</v>
      </c>
      <c r="W106" s="39"/>
    </row>
    <row r="107" spans="3:23" s="37" customFormat="1" ht="12" x14ac:dyDescent="0.2">
      <c r="C107" s="49" t="s">
        <v>104</v>
      </c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100"/>
      <c r="R107" s="41"/>
      <c r="S107" s="59"/>
      <c r="T107" s="41"/>
      <c r="U107" s="39"/>
      <c r="V107" s="39"/>
      <c r="W107" s="39"/>
    </row>
    <row r="108" spans="3:23" s="37" customFormat="1" ht="12" x14ac:dyDescent="0.2">
      <c r="C108" s="199">
        <v>6810</v>
      </c>
      <c r="D108" s="37" t="s">
        <v>42</v>
      </c>
      <c r="E108" s="39">
        <f>+'FY21'!E108*(1+MYP!$G$9)</f>
        <v>10.199999999999999</v>
      </c>
      <c r="F108" s="39">
        <f>+'FY21'!F108*(1+MYP!$G$9)</f>
        <v>71.400000000000006</v>
      </c>
      <c r="G108" s="39">
        <f>+'FY21'!G108*(1+MYP!$G$9)</f>
        <v>367.2</v>
      </c>
      <c r="H108" s="39">
        <f>+'FY21'!H108*(1+MYP!$G$9)</f>
        <v>10.199999999999999</v>
      </c>
      <c r="I108" s="39">
        <f>+'FY21'!I108*(1+MYP!$G$9)</f>
        <v>10.199999999999999</v>
      </c>
      <c r="J108" s="39">
        <f>+'FY21'!J108*(1+MYP!$G$9)</f>
        <v>71.400000000000006</v>
      </c>
      <c r="K108" s="39">
        <f>+'FY21'!K108*(1+MYP!$G$9)</f>
        <v>10.199999999999999</v>
      </c>
      <c r="L108" s="39">
        <f>+'FY21'!L108*(1+MYP!$G$9)</f>
        <v>102</v>
      </c>
      <c r="M108" s="39">
        <f>+'FY21'!M108*(1+MYP!$G$9)</f>
        <v>10.199999999999999</v>
      </c>
      <c r="N108" s="39">
        <f>+'FY21'!N108*(1+MYP!$G$9)</f>
        <v>10.199999999999999</v>
      </c>
      <c r="O108" s="39">
        <f>+'FY21'!O108*(1+MYP!$G$9)</f>
        <v>10.199999999999999</v>
      </c>
      <c r="P108" s="39">
        <f>+'FY21'!P108*(1+MYP!$G$9)</f>
        <v>10.199999999999999</v>
      </c>
      <c r="Q108" s="100"/>
      <c r="R108" s="41"/>
      <c r="S108" s="59">
        <f t="shared" ref="S108" si="37">SUM(E108:Q108)</f>
        <v>693.60000000000025</v>
      </c>
      <c r="T108" s="41"/>
      <c r="U108" s="39">
        <f>'FY21'!S108</f>
        <v>680</v>
      </c>
      <c r="V108" s="39">
        <f t="shared" ref="V108" si="38">U108-S108</f>
        <v>-13.60000000000025</v>
      </c>
      <c r="W108" s="39"/>
    </row>
    <row r="109" spans="3:23" s="37" customFormat="1" ht="12" x14ac:dyDescent="0.2">
      <c r="C109" s="38"/>
      <c r="E109" s="50">
        <f>SUBTOTAL(9,E108)</f>
        <v>10.199999999999999</v>
      </c>
      <c r="F109" s="50">
        <f t="shared" ref="F109:P109" si="39">SUBTOTAL(9,F108)</f>
        <v>71.400000000000006</v>
      </c>
      <c r="G109" s="50">
        <f t="shared" si="39"/>
        <v>367.2</v>
      </c>
      <c r="H109" s="50">
        <f t="shared" si="39"/>
        <v>10.199999999999999</v>
      </c>
      <c r="I109" s="50">
        <f t="shared" si="39"/>
        <v>10.199999999999999</v>
      </c>
      <c r="J109" s="50">
        <f t="shared" si="39"/>
        <v>71.400000000000006</v>
      </c>
      <c r="K109" s="50">
        <f t="shared" si="39"/>
        <v>10.199999999999999</v>
      </c>
      <c r="L109" s="50">
        <f t="shared" si="39"/>
        <v>102</v>
      </c>
      <c r="M109" s="50">
        <f t="shared" si="39"/>
        <v>10.199999999999999</v>
      </c>
      <c r="N109" s="50">
        <f t="shared" si="39"/>
        <v>10.199999999999999</v>
      </c>
      <c r="O109" s="50">
        <f t="shared" si="39"/>
        <v>10.199999999999999</v>
      </c>
      <c r="P109" s="50">
        <f t="shared" si="39"/>
        <v>10.199999999999999</v>
      </c>
      <c r="Q109" s="99"/>
      <c r="R109" s="41"/>
      <c r="S109" s="61">
        <f t="shared" ref="S109" si="40">SUBTOTAL(9,S108)</f>
        <v>693.60000000000025</v>
      </c>
      <c r="T109" s="41"/>
      <c r="U109" s="50">
        <f t="shared" ref="U109:V109" si="41">SUBTOTAL(9,U108)</f>
        <v>680</v>
      </c>
      <c r="V109" s="50">
        <f t="shared" si="41"/>
        <v>-13.60000000000025</v>
      </c>
      <c r="W109" s="39"/>
    </row>
    <row r="110" spans="3:23" s="45" customFormat="1" ht="12" x14ac:dyDescent="0.2">
      <c r="C110" s="49" t="s">
        <v>43</v>
      </c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101"/>
      <c r="R110" s="48"/>
      <c r="S110" s="62"/>
      <c r="T110" s="48"/>
      <c r="U110" s="48"/>
      <c r="V110" s="48"/>
      <c r="W110" s="40"/>
    </row>
    <row r="111" spans="3:23" s="37" customFormat="1" ht="12" x14ac:dyDescent="0.2">
      <c r="C111" s="199">
        <v>7306</v>
      </c>
      <c r="D111" s="37" t="s">
        <v>43</v>
      </c>
      <c r="E111" s="39">
        <f>+'FY21'!E111*(1+MYP!$G$9)</f>
        <v>0</v>
      </c>
      <c r="F111" s="39">
        <f>+'FY21'!F111*(1+MYP!$G$9)</f>
        <v>0</v>
      </c>
      <c r="G111" s="39">
        <f>+'FY21'!G111*(1+MYP!$G$9)</f>
        <v>0</v>
      </c>
      <c r="H111" s="39">
        <f>+'FY21'!H111*(1+MYP!$G$9)</f>
        <v>0</v>
      </c>
      <c r="I111" s="39">
        <f>+'FY21'!I111*(1+MYP!$G$9)</f>
        <v>0</v>
      </c>
      <c r="J111" s="39">
        <f>+'FY21'!J111*(1+MYP!$G$9)</f>
        <v>0</v>
      </c>
      <c r="K111" s="39">
        <f>+'FY21'!K111*(1+MYP!$G$9)</f>
        <v>0</v>
      </c>
      <c r="L111" s="39">
        <f>+'FY21'!L111*(1+MYP!$G$9)</f>
        <v>0</v>
      </c>
      <c r="M111" s="39">
        <f>+'FY21'!M111*(1+MYP!$G$9)</f>
        <v>0</v>
      </c>
      <c r="N111" s="39">
        <f>+'FY21'!N111*(1+MYP!$G$9)</f>
        <v>0</v>
      </c>
      <c r="O111" s="39">
        <f>+'FY21'!O111*(1+MYP!$G$9)</f>
        <v>0</v>
      </c>
      <c r="P111" s="39">
        <f>+'FY21'!P111*(1+MYP!$G$9)</f>
        <v>0</v>
      </c>
      <c r="Q111" s="101"/>
      <c r="R111" s="41"/>
      <c r="S111" s="62">
        <f t="shared" ref="S111:S112" si="42">SUM(E111:Q111)</f>
        <v>0</v>
      </c>
      <c r="T111" s="41"/>
      <c r="U111" s="41">
        <f>'FY21'!S111</f>
        <v>0</v>
      </c>
      <c r="V111" s="41">
        <f t="shared" ref="V111" si="43">U111-S111</f>
        <v>0</v>
      </c>
      <c r="W111" s="39"/>
    </row>
    <row r="112" spans="3:23" s="37" customFormat="1" ht="12" x14ac:dyDescent="0.2">
      <c r="C112" s="38">
        <v>7901</v>
      </c>
      <c r="D112" s="37" t="s">
        <v>178</v>
      </c>
      <c r="E112" s="39">
        <f>+'FY21'!E112*(1+MYP!$G$9)</f>
        <v>0</v>
      </c>
      <c r="F112" s="39">
        <f>+'FY21'!F112*(1+MYP!$G$9)</f>
        <v>0</v>
      </c>
      <c r="G112" s="39">
        <f>+'FY21'!G112*(1+MYP!$G$9)</f>
        <v>0</v>
      </c>
      <c r="H112" s="39">
        <f>+'FY21'!H112*(1+MYP!$G$9)</f>
        <v>0</v>
      </c>
      <c r="I112" s="39">
        <f>+'FY21'!I112*(1+MYP!$G$9)</f>
        <v>0</v>
      </c>
      <c r="J112" s="39">
        <f>+'FY21'!J112*(1+MYP!$G$9)</f>
        <v>0</v>
      </c>
      <c r="K112" s="39">
        <f>+'FY21'!K112*(1+MYP!$G$9)</f>
        <v>0</v>
      </c>
      <c r="L112" s="39">
        <f>+'FY21'!L112*(1+MYP!$G$9)</f>
        <v>0</v>
      </c>
      <c r="M112" s="39">
        <f>+'FY21'!M112*(1+MYP!$G$9)</f>
        <v>0</v>
      </c>
      <c r="N112" s="39">
        <f>+'FY21'!N112*(1+MYP!$G$9)</f>
        <v>0</v>
      </c>
      <c r="O112" s="39">
        <f>+'FY21'!O112*(1+MYP!$G$9)</f>
        <v>0</v>
      </c>
      <c r="P112" s="39">
        <f>+'FY21'!P112*(1+MYP!$G$9)</f>
        <v>0</v>
      </c>
      <c r="Q112" s="101"/>
      <c r="R112" s="41"/>
      <c r="S112" s="62">
        <f t="shared" si="42"/>
        <v>0</v>
      </c>
      <c r="T112" s="41"/>
      <c r="U112" s="41">
        <f>'FY21'!S112</f>
        <v>0</v>
      </c>
      <c r="V112" s="41">
        <f t="shared" ref="V112" si="44">U112-S112</f>
        <v>0</v>
      </c>
      <c r="W112" s="39"/>
    </row>
    <row r="113" spans="1:23" s="37" customFormat="1" ht="12" x14ac:dyDescent="0.2">
      <c r="C113" s="38"/>
      <c r="E113" s="50">
        <f>SUBTOTAL(9,E111:E112)</f>
        <v>0</v>
      </c>
      <c r="F113" s="50">
        <f t="shared" ref="F113:P113" si="45">SUBTOTAL(9,F111:F112)</f>
        <v>0</v>
      </c>
      <c r="G113" s="50">
        <f t="shared" si="45"/>
        <v>0</v>
      </c>
      <c r="H113" s="50">
        <f t="shared" si="45"/>
        <v>0</v>
      </c>
      <c r="I113" s="50">
        <f t="shared" si="45"/>
        <v>0</v>
      </c>
      <c r="J113" s="50">
        <f t="shared" si="45"/>
        <v>0</v>
      </c>
      <c r="K113" s="50">
        <f t="shared" si="45"/>
        <v>0</v>
      </c>
      <c r="L113" s="50">
        <f t="shared" si="45"/>
        <v>0</v>
      </c>
      <c r="M113" s="50">
        <f t="shared" si="45"/>
        <v>0</v>
      </c>
      <c r="N113" s="50">
        <f t="shared" si="45"/>
        <v>0</v>
      </c>
      <c r="O113" s="50">
        <f t="shared" si="45"/>
        <v>0</v>
      </c>
      <c r="P113" s="50">
        <f t="shared" si="45"/>
        <v>0</v>
      </c>
      <c r="Q113" s="99"/>
      <c r="R113" s="41"/>
      <c r="S113" s="61">
        <f>SUBTOTAL(9,S111:S112)</f>
        <v>0</v>
      </c>
      <c r="T113" s="41"/>
      <c r="U113" s="50">
        <f>SUBTOTAL(9,U111:U112)</f>
        <v>0</v>
      </c>
      <c r="V113" s="50">
        <f>SUBTOTAL(9,V111:V112)</f>
        <v>0</v>
      </c>
      <c r="W113" s="39"/>
    </row>
    <row r="114" spans="1:23" s="37" customFormat="1" ht="9" customHeight="1" x14ac:dyDescent="0.2">
      <c r="C114" s="38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100"/>
      <c r="R114" s="41"/>
      <c r="S114" s="59"/>
      <c r="T114" s="41"/>
      <c r="U114" s="39"/>
      <c r="V114" s="39"/>
      <c r="W114" s="39"/>
    </row>
    <row r="115" spans="1:23" s="45" customFormat="1" ht="12" x14ac:dyDescent="0.2">
      <c r="A115" s="45" t="s">
        <v>107</v>
      </c>
      <c r="C115" s="46"/>
      <c r="E115" s="43">
        <f t="shared" ref="E115:P115" si="46">SUBTOTAL(9,E30:E114)</f>
        <v>24568.615384269997</v>
      </c>
      <c r="F115" s="43">
        <f t="shared" si="46"/>
        <v>22052.571484269993</v>
      </c>
      <c r="G115" s="43">
        <f t="shared" si="46"/>
        <v>22450.371484269992</v>
      </c>
      <c r="H115" s="43">
        <f t="shared" si="46"/>
        <v>75863.618984269982</v>
      </c>
      <c r="I115" s="43">
        <f t="shared" si="46"/>
        <v>89370.65538426998</v>
      </c>
      <c r="J115" s="43">
        <f t="shared" si="46"/>
        <v>19359.255384269996</v>
      </c>
      <c r="K115" s="43">
        <f t="shared" si="46"/>
        <v>21122.147884269994</v>
      </c>
      <c r="L115" s="43">
        <f t="shared" si="46"/>
        <v>22083.171484269991</v>
      </c>
      <c r="M115" s="43">
        <f t="shared" si="46"/>
        <v>70544.002584269983</v>
      </c>
      <c r="N115" s="43">
        <f t="shared" si="46"/>
        <v>108563.55538426999</v>
      </c>
      <c r="O115" s="43">
        <f t="shared" si="46"/>
        <v>28381.055384269996</v>
      </c>
      <c r="P115" s="43">
        <f t="shared" si="46"/>
        <v>21224.147884269994</v>
      </c>
      <c r="Q115" s="47"/>
      <c r="R115" s="48"/>
      <c r="S115" s="60">
        <f>SUBTOTAL(9,S30:S114)</f>
        <v>525583.16871123994</v>
      </c>
      <c r="T115" s="48"/>
      <c r="U115" s="43">
        <f>SUBTOTAL(9,U30:U114)</f>
        <v>479259.81246199994</v>
      </c>
      <c r="V115" s="43">
        <f>SUBTOTAL(9,V30:V114)</f>
        <v>-46323.356249239987</v>
      </c>
      <c r="W115" s="40"/>
    </row>
    <row r="116" spans="1:23" s="37" customFormat="1" ht="12" x14ac:dyDescent="0.2">
      <c r="C116" s="38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44"/>
      <c r="R116" s="41"/>
      <c r="S116" s="59"/>
      <c r="T116" s="41"/>
      <c r="U116" s="39"/>
      <c r="V116" s="39"/>
      <c r="W116" s="39"/>
    </row>
    <row r="117" spans="1:23" s="45" customFormat="1" ht="12.75" thickBot="1" x14ac:dyDescent="0.25">
      <c r="A117" s="45" t="s">
        <v>108</v>
      </c>
      <c r="C117" s="46"/>
      <c r="E117" s="181">
        <f t="shared" ref="E117:P117" si="47">E27-E115</f>
        <v>17935.384615729989</v>
      </c>
      <c r="F117" s="181">
        <f t="shared" si="47"/>
        <v>20451.428515729993</v>
      </c>
      <c r="G117" s="181">
        <f t="shared" si="47"/>
        <v>20053.628515729994</v>
      </c>
      <c r="H117" s="181">
        <f t="shared" si="47"/>
        <v>-33359.618984269997</v>
      </c>
      <c r="I117" s="181">
        <f t="shared" si="47"/>
        <v>-46866.655384269994</v>
      </c>
      <c r="J117" s="181">
        <f t="shared" si="47"/>
        <v>23144.744615729989</v>
      </c>
      <c r="K117" s="181">
        <f t="shared" si="47"/>
        <v>21381.852115729991</v>
      </c>
      <c r="L117" s="181">
        <f t="shared" si="47"/>
        <v>20420.828515729994</v>
      </c>
      <c r="M117" s="181">
        <f t="shared" si="47"/>
        <v>-28040.002584269998</v>
      </c>
      <c r="N117" s="181">
        <f t="shared" si="47"/>
        <v>-66059.555384270003</v>
      </c>
      <c r="O117" s="181">
        <f t="shared" si="47"/>
        <v>14122.94461572999</v>
      </c>
      <c r="P117" s="181">
        <f t="shared" si="47"/>
        <v>21279.852115729991</v>
      </c>
      <c r="Q117" s="190"/>
      <c r="R117" s="191"/>
      <c r="S117" s="192">
        <f>S27-S115</f>
        <v>-15535.168711240054</v>
      </c>
      <c r="T117" s="191"/>
      <c r="U117" s="181">
        <f>U27-U115</f>
        <v>15452.187537999998</v>
      </c>
      <c r="V117" s="181">
        <f>V27+V115</f>
        <v>-30987.356249240118</v>
      </c>
      <c r="W117" s="40"/>
    </row>
    <row r="118" spans="1:23" s="37" customFormat="1" ht="12.75" thickTop="1" x14ac:dyDescent="0.2">
      <c r="C118" s="38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44"/>
      <c r="R118" s="41"/>
      <c r="S118" s="59"/>
      <c r="T118" s="41"/>
      <c r="U118" s="39"/>
      <c r="V118" s="39"/>
      <c r="W118" s="39"/>
    </row>
    <row r="119" spans="1:23" s="37" customFormat="1" ht="12" x14ac:dyDescent="0.2">
      <c r="A119" s="53" t="s">
        <v>109</v>
      </c>
      <c r="B119" s="54"/>
      <c r="C119" s="54"/>
      <c r="D119" s="54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44"/>
      <c r="R119" s="41"/>
      <c r="S119" s="59"/>
      <c r="T119" s="41"/>
      <c r="U119" s="39"/>
      <c r="V119" s="39"/>
      <c r="W119" s="39"/>
    </row>
    <row r="120" spans="1:23" s="37" customFormat="1" ht="12" x14ac:dyDescent="0.2">
      <c r="A120" s="53"/>
      <c r="B120" s="53"/>
      <c r="C120" s="54" t="s">
        <v>110</v>
      </c>
      <c r="D120" s="54"/>
      <c r="E120" s="39">
        <f>E117</f>
        <v>17935.384615729989</v>
      </c>
      <c r="F120" s="39">
        <f t="shared" ref="F120:P120" si="48">F117</f>
        <v>20451.428515729993</v>
      </c>
      <c r="G120" s="39">
        <f t="shared" si="48"/>
        <v>20053.628515729994</v>
      </c>
      <c r="H120" s="39">
        <f t="shared" si="48"/>
        <v>-33359.618984269997</v>
      </c>
      <c r="I120" s="39">
        <f t="shared" si="48"/>
        <v>-46866.655384269994</v>
      </c>
      <c r="J120" s="39">
        <f t="shared" si="48"/>
        <v>23144.744615729989</v>
      </c>
      <c r="K120" s="39">
        <f t="shared" si="48"/>
        <v>21381.852115729991</v>
      </c>
      <c r="L120" s="39">
        <f t="shared" si="48"/>
        <v>20420.828515729994</v>
      </c>
      <c r="M120" s="39">
        <f t="shared" si="48"/>
        <v>-28040.002584269998</v>
      </c>
      <c r="N120" s="39">
        <f t="shared" si="48"/>
        <v>-66059.555384270003</v>
      </c>
      <c r="O120" s="39">
        <f t="shared" si="48"/>
        <v>14122.94461572999</v>
      </c>
      <c r="P120" s="39">
        <f t="shared" si="48"/>
        <v>21279.852115729991</v>
      </c>
      <c r="Q120" s="44"/>
      <c r="R120" s="41"/>
      <c r="S120" s="59">
        <f t="shared" ref="S120:S136" si="49">SUM(E120:Q120)</f>
        <v>-15535.168711240061</v>
      </c>
      <c r="T120" s="41"/>
      <c r="U120" s="39"/>
      <c r="V120" s="39"/>
      <c r="W120" s="39"/>
    </row>
    <row r="121" spans="1:23" s="37" customFormat="1" ht="12" x14ac:dyDescent="0.2">
      <c r="A121" s="54"/>
      <c r="B121" s="54" t="s">
        <v>111</v>
      </c>
      <c r="C121" s="54" t="s">
        <v>112</v>
      </c>
      <c r="D121" s="54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44"/>
      <c r="R121" s="41"/>
      <c r="S121" s="59"/>
      <c r="T121" s="41"/>
      <c r="U121" s="39"/>
      <c r="V121" s="39"/>
      <c r="W121" s="39"/>
    </row>
    <row r="122" spans="1:23" s="37" customFormat="1" ht="12" x14ac:dyDescent="0.2">
      <c r="A122" s="54"/>
      <c r="B122" s="54" t="s">
        <v>111</v>
      </c>
      <c r="C122" s="54"/>
      <c r="D122" s="55" t="s">
        <v>113</v>
      </c>
      <c r="E122" s="39">
        <f>E112</f>
        <v>0</v>
      </c>
      <c r="F122" s="39">
        <f t="shared" ref="F122:P122" si="50">F112</f>
        <v>0</v>
      </c>
      <c r="G122" s="39">
        <f t="shared" si="50"/>
        <v>0</v>
      </c>
      <c r="H122" s="39">
        <f t="shared" si="50"/>
        <v>0</v>
      </c>
      <c r="I122" s="39">
        <f t="shared" si="50"/>
        <v>0</v>
      </c>
      <c r="J122" s="39">
        <f t="shared" si="50"/>
        <v>0</v>
      </c>
      <c r="K122" s="39">
        <f t="shared" si="50"/>
        <v>0</v>
      </c>
      <c r="L122" s="39">
        <f t="shared" si="50"/>
        <v>0</v>
      </c>
      <c r="M122" s="39">
        <f t="shared" si="50"/>
        <v>0</v>
      </c>
      <c r="N122" s="39">
        <f t="shared" si="50"/>
        <v>0</v>
      </c>
      <c r="O122" s="39">
        <f t="shared" si="50"/>
        <v>0</v>
      </c>
      <c r="P122" s="39">
        <f t="shared" si="50"/>
        <v>0</v>
      </c>
      <c r="Q122" s="44"/>
      <c r="R122" s="41"/>
      <c r="S122" s="59">
        <f t="shared" si="49"/>
        <v>0</v>
      </c>
      <c r="T122" s="41"/>
      <c r="U122" s="39"/>
      <c r="V122" s="39"/>
      <c r="W122" s="39"/>
    </row>
    <row r="123" spans="1:23" s="37" customFormat="1" ht="12" x14ac:dyDescent="0.2">
      <c r="A123" s="54"/>
      <c r="B123" s="54" t="s">
        <v>111</v>
      </c>
      <c r="C123" s="54"/>
      <c r="D123" s="55" t="s">
        <v>114</v>
      </c>
      <c r="E123" s="39">
        <f>-'FY21'!Q123</f>
        <v>0</v>
      </c>
      <c r="F123" s="39">
        <v>0</v>
      </c>
      <c r="G123" s="39">
        <v>0</v>
      </c>
      <c r="H123" s="39">
        <v>0</v>
      </c>
      <c r="I123" s="39">
        <v>0</v>
      </c>
      <c r="J123" s="39">
        <v>0</v>
      </c>
      <c r="K123" s="39">
        <v>0</v>
      </c>
      <c r="L123" s="39">
        <v>0</v>
      </c>
      <c r="M123" s="39">
        <v>0</v>
      </c>
      <c r="N123" s="39">
        <v>0</v>
      </c>
      <c r="O123" s="39">
        <v>0</v>
      </c>
      <c r="P123" s="39">
        <v>0</v>
      </c>
      <c r="Q123" s="44"/>
      <c r="R123" s="41"/>
      <c r="S123" s="59">
        <f t="shared" si="49"/>
        <v>0</v>
      </c>
      <c r="T123" s="41"/>
      <c r="U123" s="39"/>
      <c r="V123" s="39"/>
      <c r="W123" s="39"/>
    </row>
    <row r="124" spans="1:23" s="37" customFormat="1" ht="12" x14ac:dyDescent="0.2">
      <c r="A124" s="54"/>
      <c r="B124" s="54" t="s">
        <v>111</v>
      </c>
      <c r="C124" s="54"/>
      <c r="D124" s="55" t="s">
        <v>115</v>
      </c>
      <c r="E124" s="39">
        <v>0</v>
      </c>
      <c r="F124" s="39">
        <v>0</v>
      </c>
      <c r="G124" s="39">
        <v>0</v>
      </c>
      <c r="H124" s="39">
        <v>0</v>
      </c>
      <c r="I124" s="39">
        <v>0</v>
      </c>
      <c r="J124" s="39">
        <v>0</v>
      </c>
      <c r="K124" s="39">
        <v>0</v>
      </c>
      <c r="L124" s="39">
        <v>0</v>
      </c>
      <c r="M124" s="39">
        <v>0</v>
      </c>
      <c r="N124" s="39">
        <v>0</v>
      </c>
      <c r="O124" s="39">
        <v>0</v>
      </c>
      <c r="P124" s="39">
        <v>0</v>
      </c>
      <c r="Q124" s="44"/>
      <c r="R124" s="41"/>
      <c r="S124" s="59">
        <f t="shared" si="49"/>
        <v>0</v>
      </c>
      <c r="T124" s="41"/>
      <c r="U124" s="39"/>
      <c r="V124" s="39"/>
      <c r="W124" s="39"/>
    </row>
    <row r="125" spans="1:23" s="37" customFormat="1" ht="12" x14ac:dyDescent="0.2">
      <c r="A125" s="54"/>
      <c r="B125" s="54" t="s">
        <v>111</v>
      </c>
      <c r="C125" s="54"/>
      <c r="D125" s="55" t="s">
        <v>116</v>
      </c>
      <c r="E125" s="39">
        <v>0</v>
      </c>
      <c r="F125" s="39">
        <v>0</v>
      </c>
      <c r="G125" s="39">
        <v>0</v>
      </c>
      <c r="H125" s="39">
        <v>0</v>
      </c>
      <c r="I125" s="39">
        <v>0</v>
      </c>
      <c r="J125" s="39">
        <v>0</v>
      </c>
      <c r="K125" s="39">
        <v>0</v>
      </c>
      <c r="L125" s="39">
        <v>0</v>
      </c>
      <c r="M125" s="39">
        <v>0</v>
      </c>
      <c r="N125" s="39">
        <v>0</v>
      </c>
      <c r="O125" s="39">
        <v>0</v>
      </c>
      <c r="P125" s="39">
        <v>0</v>
      </c>
      <c r="Q125" s="44"/>
      <c r="R125" s="41"/>
      <c r="S125" s="59">
        <f t="shared" si="49"/>
        <v>0</v>
      </c>
      <c r="T125" s="41"/>
      <c r="U125" s="39"/>
      <c r="V125" s="39"/>
      <c r="W125" s="39"/>
    </row>
    <row r="126" spans="1:23" s="37" customFormat="1" ht="12" x14ac:dyDescent="0.2">
      <c r="A126" s="54"/>
      <c r="B126" s="54" t="s">
        <v>111</v>
      </c>
      <c r="C126" s="54"/>
      <c r="D126" s="55" t="s">
        <v>117</v>
      </c>
      <c r="E126" s="39">
        <v>0</v>
      </c>
      <c r="F126" s="39">
        <v>0</v>
      </c>
      <c r="G126" s="39">
        <v>0</v>
      </c>
      <c r="H126" s="39">
        <v>0</v>
      </c>
      <c r="I126" s="39">
        <v>0</v>
      </c>
      <c r="J126" s="39">
        <v>0</v>
      </c>
      <c r="K126" s="39">
        <v>0</v>
      </c>
      <c r="L126" s="39">
        <v>0</v>
      </c>
      <c r="M126" s="39">
        <v>0</v>
      </c>
      <c r="N126" s="39">
        <v>0</v>
      </c>
      <c r="O126" s="39">
        <v>0</v>
      </c>
      <c r="P126" s="39">
        <v>0</v>
      </c>
      <c r="Q126" s="44"/>
      <c r="R126" s="41"/>
      <c r="S126" s="59">
        <f t="shared" si="49"/>
        <v>0</v>
      </c>
      <c r="T126" s="41"/>
      <c r="U126" s="39"/>
      <c r="V126" s="39"/>
      <c r="W126" s="39"/>
    </row>
    <row r="127" spans="1:23" s="37" customFormat="1" ht="12" x14ac:dyDescent="0.2">
      <c r="A127" s="54"/>
      <c r="B127" s="54" t="s">
        <v>111</v>
      </c>
      <c r="C127" s="54"/>
      <c r="D127" s="55" t="s">
        <v>118</v>
      </c>
      <c r="E127" s="39">
        <v>0</v>
      </c>
      <c r="F127" s="39">
        <v>0</v>
      </c>
      <c r="G127" s="39">
        <v>0</v>
      </c>
      <c r="H127" s="39">
        <v>0</v>
      </c>
      <c r="I127" s="39">
        <v>0</v>
      </c>
      <c r="J127" s="39">
        <v>0</v>
      </c>
      <c r="K127" s="39">
        <v>0</v>
      </c>
      <c r="L127" s="39">
        <v>0</v>
      </c>
      <c r="M127" s="39">
        <v>0</v>
      </c>
      <c r="N127" s="39">
        <v>0</v>
      </c>
      <c r="O127" s="39">
        <v>0</v>
      </c>
      <c r="P127" s="39">
        <v>0</v>
      </c>
      <c r="Q127" s="44"/>
      <c r="R127" s="41"/>
      <c r="S127" s="59">
        <f t="shared" si="49"/>
        <v>0</v>
      </c>
      <c r="T127" s="41"/>
      <c r="U127" s="39"/>
      <c r="V127" s="39"/>
      <c r="W127" s="39"/>
    </row>
    <row r="128" spans="1:23" s="37" customFormat="1" ht="12" x14ac:dyDescent="0.2">
      <c r="A128" s="54"/>
      <c r="B128" s="54" t="s">
        <v>111</v>
      </c>
      <c r="C128" s="54"/>
      <c r="D128" s="55" t="s">
        <v>119</v>
      </c>
      <c r="E128" s="39">
        <f>-'FY21'!Q128</f>
        <v>0</v>
      </c>
      <c r="F128" s="39">
        <v>0</v>
      </c>
      <c r="G128" s="39">
        <v>0</v>
      </c>
      <c r="H128" s="39">
        <v>0</v>
      </c>
      <c r="I128" s="39">
        <v>0</v>
      </c>
      <c r="J128" s="39">
        <v>0</v>
      </c>
      <c r="K128" s="39">
        <v>0</v>
      </c>
      <c r="L128" s="39">
        <v>0</v>
      </c>
      <c r="M128" s="39">
        <v>0</v>
      </c>
      <c r="N128" s="39">
        <v>0</v>
      </c>
      <c r="O128" s="39">
        <v>0</v>
      </c>
      <c r="P128" s="39">
        <v>0</v>
      </c>
      <c r="Q128" s="44"/>
      <c r="R128" s="41"/>
      <c r="S128" s="59">
        <f t="shared" si="49"/>
        <v>0</v>
      </c>
      <c r="T128" s="41"/>
      <c r="U128" s="39"/>
      <c r="V128" s="39"/>
      <c r="W128" s="39"/>
    </row>
    <row r="129" spans="1:23" s="37" customFormat="1" ht="12" x14ac:dyDescent="0.2">
      <c r="A129" s="54"/>
      <c r="B129" s="54" t="s">
        <v>111</v>
      </c>
      <c r="C129" s="54"/>
      <c r="D129" s="55" t="s">
        <v>120</v>
      </c>
      <c r="E129" s="39">
        <v>0</v>
      </c>
      <c r="F129" s="39">
        <v>0</v>
      </c>
      <c r="G129" s="39">
        <v>0</v>
      </c>
      <c r="H129" s="39">
        <v>0</v>
      </c>
      <c r="I129" s="39">
        <v>0</v>
      </c>
      <c r="J129" s="39">
        <v>0</v>
      </c>
      <c r="K129" s="39">
        <v>0</v>
      </c>
      <c r="L129" s="39">
        <v>0</v>
      </c>
      <c r="M129" s="39">
        <v>0</v>
      </c>
      <c r="N129" s="39">
        <v>0</v>
      </c>
      <c r="O129" s="39">
        <v>0</v>
      </c>
      <c r="P129" s="39">
        <v>0</v>
      </c>
      <c r="Q129" s="44"/>
      <c r="R129" s="41"/>
      <c r="S129" s="59">
        <f t="shared" si="49"/>
        <v>0</v>
      </c>
      <c r="T129" s="41"/>
      <c r="U129" s="39"/>
      <c r="V129" s="39"/>
      <c r="W129" s="39"/>
    </row>
    <row r="130" spans="1:23" s="37" customFormat="1" ht="12" x14ac:dyDescent="0.2">
      <c r="A130" s="54"/>
      <c r="B130" s="54" t="s">
        <v>111</v>
      </c>
      <c r="C130" s="54"/>
      <c r="D130" s="55" t="s">
        <v>121</v>
      </c>
      <c r="E130" s="39">
        <v>0</v>
      </c>
      <c r="F130" s="39">
        <v>0</v>
      </c>
      <c r="G130" s="39">
        <v>0</v>
      </c>
      <c r="H130" s="39">
        <v>0</v>
      </c>
      <c r="I130" s="39">
        <v>0</v>
      </c>
      <c r="J130" s="39">
        <v>0</v>
      </c>
      <c r="K130" s="39">
        <v>0</v>
      </c>
      <c r="L130" s="39">
        <v>0</v>
      </c>
      <c r="M130" s="39">
        <v>0</v>
      </c>
      <c r="N130" s="39">
        <v>0</v>
      </c>
      <c r="O130" s="39">
        <v>0</v>
      </c>
      <c r="P130" s="39">
        <v>0</v>
      </c>
      <c r="Q130" s="44"/>
      <c r="R130" s="41"/>
      <c r="S130" s="59">
        <f t="shared" si="49"/>
        <v>0</v>
      </c>
      <c r="T130" s="41"/>
      <c r="U130" s="39"/>
      <c r="V130" s="39"/>
      <c r="W130" s="39"/>
    </row>
    <row r="131" spans="1:23" s="37" customFormat="1" ht="12" x14ac:dyDescent="0.2">
      <c r="A131" s="54"/>
      <c r="B131" s="54" t="s">
        <v>111</v>
      </c>
      <c r="C131" s="54" t="s">
        <v>122</v>
      </c>
      <c r="D131" s="55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44"/>
      <c r="R131" s="41"/>
      <c r="S131" s="59"/>
      <c r="T131" s="41"/>
      <c r="U131" s="39"/>
      <c r="V131" s="39"/>
      <c r="W131" s="39"/>
    </row>
    <row r="132" spans="1:23" s="37" customFormat="1" ht="12" x14ac:dyDescent="0.2">
      <c r="A132" s="54"/>
      <c r="B132" s="54" t="s">
        <v>111</v>
      </c>
      <c r="C132" s="54"/>
      <c r="D132" s="55" t="s">
        <v>123</v>
      </c>
      <c r="E132" s="39">
        <v>0</v>
      </c>
      <c r="F132" s="39">
        <v>0</v>
      </c>
      <c r="G132" s="39">
        <v>0</v>
      </c>
      <c r="H132" s="39">
        <v>0</v>
      </c>
      <c r="I132" s="39">
        <v>0</v>
      </c>
      <c r="J132" s="39">
        <v>0</v>
      </c>
      <c r="K132" s="39">
        <v>0</v>
      </c>
      <c r="L132" s="39">
        <v>0</v>
      </c>
      <c r="M132" s="39">
        <v>0</v>
      </c>
      <c r="N132" s="39">
        <v>0</v>
      </c>
      <c r="O132" s="39">
        <v>0</v>
      </c>
      <c r="P132" s="39">
        <v>0</v>
      </c>
      <c r="Q132" s="44"/>
      <c r="R132" s="41"/>
      <c r="S132" s="59">
        <f t="shared" si="49"/>
        <v>0</v>
      </c>
      <c r="T132" s="41"/>
      <c r="U132" s="39"/>
      <c r="V132" s="39"/>
      <c r="W132" s="39"/>
    </row>
    <row r="133" spans="1:23" s="37" customFormat="1" ht="12" x14ac:dyDescent="0.2">
      <c r="A133" s="54"/>
      <c r="B133" s="54"/>
      <c r="C133" s="54"/>
      <c r="D133" s="54" t="s">
        <v>124</v>
      </c>
      <c r="E133" s="39">
        <v>0</v>
      </c>
      <c r="F133" s="39">
        <v>0</v>
      </c>
      <c r="G133" s="39">
        <v>0</v>
      </c>
      <c r="H133" s="39">
        <v>0</v>
      </c>
      <c r="I133" s="39">
        <v>0</v>
      </c>
      <c r="J133" s="39">
        <v>0</v>
      </c>
      <c r="K133" s="39">
        <v>0</v>
      </c>
      <c r="L133" s="39">
        <v>0</v>
      </c>
      <c r="M133" s="39">
        <v>0</v>
      </c>
      <c r="N133" s="39">
        <v>0</v>
      </c>
      <c r="O133" s="39">
        <v>0</v>
      </c>
      <c r="P133" s="39">
        <v>0</v>
      </c>
      <c r="Q133" s="44"/>
      <c r="R133" s="41"/>
      <c r="S133" s="59">
        <f t="shared" si="49"/>
        <v>0</v>
      </c>
      <c r="T133" s="41"/>
      <c r="U133" s="39"/>
      <c r="V133" s="39"/>
      <c r="W133" s="39"/>
    </row>
    <row r="134" spans="1:23" s="37" customFormat="1" ht="12" x14ac:dyDescent="0.2">
      <c r="A134" s="54"/>
      <c r="B134" s="54"/>
      <c r="C134" s="54" t="s">
        <v>125</v>
      </c>
      <c r="D134" s="54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44"/>
      <c r="R134" s="41"/>
      <c r="S134" s="59"/>
      <c r="T134" s="41"/>
      <c r="U134" s="39"/>
      <c r="V134" s="39"/>
      <c r="W134" s="39"/>
    </row>
    <row r="135" spans="1:23" s="37" customFormat="1" ht="12" x14ac:dyDescent="0.2">
      <c r="A135" s="54"/>
      <c r="B135" s="54"/>
      <c r="C135" s="54"/>
      <c r="D135" s="54" t="s">
        <v>129</v>
      </c>
      <c r="E135" s="39">
        <v>0</v>
      </c>
      <c r="F135" s="39">
        <v>0</v>
      </c>
      <c r="G135" s="39">
        <v>0</v>
      </c>
      <c r="H135" s="39">
        <v>0</v>
      </c>
      <c r="I135" s="39">
        <v>0</v>
      </c>
      <c r="J135" s="39">
        <v>0</v>
      </c>
      <c r="K135" s="39">
        <v>0</v>
      </c>
      <c r="L135" s="39">
        <v>0</v>
      </c>
      <c r="M135" s="39">
        <v>0</v>
      </c>
      <c r="N135" s="39">
        <v>0</v>
      </c>
      <c r="O135" s="39">
        <v>0</v>
      </c>
      <c r="P135" s="39">
        <v>0</v>
      </c>
      <c r="Q135" s="44"/>
      <c r="R135" s="41"/>
      <c r="S135" s="59">
        <f t="shared" si="49"/>
        <v>0</v>
      </c>
      <c r="T135" s="41"/>
      <c r="U135" s="39"/>
      <c r="V135" s="39"/>
      <c r="W135" s="39"/>
    </row>
    <row r="136" spans="1:23" s="37" customFormat="1" ht="12" x14ac:dyDescent="0.2">
      <c r="A136" s="54"/>
      <c r="B136" s="54"/>
      <c r="C136" s="54"/>
      <c r="D136" s="54" t="s">
        <v>130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  <c r="P136" s="42">
        <v>0</v>
      </c>
      <c r="Q136" s="47"/>
      <c r="R136" s="41"/>
      <c r="S136" s="59">
        <f t="shared" si="49"/>
        <v>0</v>
      </c>
      <c r="T136" s="41"/>
      <c r="U136" s="39"/>
      <c r="V136" s="39"/>
      <c r="W136" s="39"/>
    </row>
    <row r="137" spans="1:23" s="37" customFormat="1" ht="12" x14ac:dyDescent="0.2">
      <c r="A137" s="54"/>
      <c r="B137" s="54"/>
      <c r="C137" s="54"/>
      <c r="D137" s="54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41"/>
      <c r="S137" s="40"/>
      <c r="T137" s="41"/>
      <c r="U137" s="39"/>
      <c r="V137" s="39"/>
      <c r="W137" s="39"/>
    </row>
    <row r="138" spans="1:23" s="37" customFormat="1" ht="12" x14ac:dyDescent="0.2">
      <c r="A138" s="54"/>
      <c r="B138" s="54" t="s">
        <v>126</v>
      </c>
      <c r="C138" s="54"/>
      <c r="D138" s="54"/>
      <c r="E138" s="39">
        <f>SUM(E120:E136)</f>
        <v>17935.384615729989</v>
      </c>
      <c r="F138" s="39">
        <f>SUM(F120:F136)</f>
        <v>20451.428515729993</v>
      </c>
      <c r="G138" s="39">
        <f t="shared" ref="G138:P138" si="51">SUM(G120:G136)</f>
        <v>20053.628515729994</v>
      </c>
      <c r="H138" s="39">
        <f t="shared" si="51"/>
        <v>-33359.618984269997</v>
      </c>
      <c r="I138" s="39">
        <f t="shared" si="51"/>
        <v>-46866.655384269994</v>
      </c>
      <c r="J138" s="39">
        <f t="shared" si="51"/>
        <v>23144.744615729989</v>
      </c>
      <c r="K138" s="39">
        <f t="shared" si="51"/>
        <v>21381.852115729991</v>
      </c>
      <c r="L138" s="39">
        <f t="shared" si="51"/>
        <v>20420.828515729994</v>
      </c>
      <c r="M138" s="39">
        <f t="shared" si="51"/>
        <v>-28040.002584269998</v>
      </c>
      <c r="N138" s="39">
        <f t="shared" si="51"/>
        <v>-66059.555384270003</v>
      </c>
      <c r="O138" s="39">
        <f t="shared" si="51"/>
        <v>14122.94461572999</v>
      </c>
      <c r="P138" s="39">
        <f t="shared" si="51"/>
        <v>21279.852115729991</v>
      </c>
      <c r="Q138" s="39"/>
      <c r="R138" s="41"/>
      <c r="S138" s="40"/>
      <c r="T138" s="41"/>
      <c r="U138" s="39"/>
      <c r="V138" s="39"/>
      <c r="W138" s="39"/>
    </row>
    <row r="139" spans="1:23" s="37" customFormat="1" ht="12" x14ac:dyDescent="0.2">
      <c r="A139" s="54"/>
      <c r="B139" s="54" t="s">
        <v>127</v>
      </c>
      <c r="C139" s="54"/>
      <c r="D139" s="54"/>
      <c r="E139" s="42">
        <f>'FY21'!P141</f>
        <v>15452.1875379999</v>
      </c>
      <c r="F139" s="42">
        <f>E141</f>
        <v>33387.572153729889</v>
      </c>
      <c r="G139" s="42">
        <f t="shared" ref="G139:P139" si="52">F141</f>
        <v>53839.000669459885</v>
      </c>
      <c r="H139" s="42">
        <f t="shared" si="52"/>
        <v>73892.629185189871</v>
      </c>
      <c r="I139" s="42">
        <f t="shared" si="52"/>
        <v>40533.010200919874</v>
      </c>
      <c r="J139" s="42">
        <f t="shared" si="52"/>
        <v>-6333.6451833501196</v>
      </c>
      <c r="K139" s="42">
        <f t="shared" si="52"/>
        <v>16811.09943237987</v>
      </c>
      <c r="L139" s="42">
        <f t="shared" si="52"/>
        <v>38192.951548109864</v>
      </c>
      <c r="M139" s="42">
        <f t="shared" si="52"/>
        <v>58613.780063839862</v>
      </c>
      <c r="N139" s="42">
        <f t="shared" si="52"/>
        <v>30573.777479569864</v>
      </c>
      <c r="O139" s="42">
        <f t="shared" si="52"/>
        <v>-35485.777904700139</v>
      </c>
      <c r="P139" s="42">
        <f t="shared" si="52"/>
        <v>-21362.833288970149</v>
      </c>
      <c r="Q139" s="39"/>
      <c r="R139" s="41"/>
      <c r="S139" s="40"/>
      <c r="T139" s="41"/>
      <c r="U139" s="39"/>
      <c r="V139" s="39"/>
      <c r="W139" s="39"/>
    </row>
    <row r="140" spans="1:23" s="37" customFormat="1" ht="12" x14ac:dyDescent="0.2">
      <c r="A140" s="54"/>
      <c r="B140" s="54"/>
      <c r="C140" s="54"/>
      <c r="D140" s="54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41"/>
      <c r="S140" s="40"/>
      <c r="T140" s="41"/>
      <c r="U140" s="39"/>
      <c r="V140" s="39"/>
      <c r="W140" s="39"/>
    </row>
    <row r="141" spans="1:23" s="37" customFormat="1" ht="12.75" thickBot="1" x14ac:dyDescent="0.25">
      <c r="A141" s="53"/>
      <c r="B141" s="53" t="s">
        <v>128</v>
      </c>
      <c r="C141" s="53"/>
      <c r="D141" s="53"/>
      <c r="E141" s="194">
        <f>SUM(E138:E140)</f>
        <v>33387.572153729889</v>
      </c>
      <c r="F141" s="194">
        <f>SUM(F138:F140)</f>
        <v>53839.000669459885</v>
      </c>
      <c r="G141" s="194">
        <f t="shared" ref="G141:P141" si="53">SUM(G138:G140)</f>
        <v>73892.629185189871</v>
      </c>
      <c r="H141" s="194">
        <f t="shared" si="53"/>
        <v>40533.010200919874</v>
      </c>
      <c r="I141" s="194">
        <f t="shared" si="53"/>
        <v>-6333.6451833501196</v>
      </c>
      <c r="J141" s="194">
        <f t="shared" si="53"/>
        <v>16811.09943237987</v>
      </c>
      <c r="K141" s="194">
        <f t="shared" si="53"/>
        <v>38192.951548109864</v>
      </c>
      <c r="L141" s="194">
        <f t="shared" si="53"/>
        <v>58613.780063839862</v>
      </c>
      <c r="M141" s="194">
        <f t="shared" si="53"/>
        <v>30573.777479569864</v>
      </c>
      <c r="N141" s="194">
        <f t="shared" si="53"/>
        <v>-35485.777904700139</v>
      </c>
      <c r="O141" s="194">
        <f t="shared" si="53"/>
        <v>-21362.833288970149</v>
      </c>
      <c r="P141" s="194">
        <f t="shared" si="53"/>
        <v>-82.981173240157659</v>
      </c>
      <c r="Q141" s="39"/>
      <c r="R141" s="41"/>
      <c r="S141" s="40"/>
      <c r="T141" s="41"/>
      <c r="U141" s="39"/>
      <c r="V141" s="39"/>
      <c r="W141" s="39"/>
    </row>
    <row r="142" spans="1:23" s="37" customFormat="1" ht="12.75" thickTop="1" x14ac:dyDescent="0.2">
      <c r="C142" s="38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41"/>
      <c r="S142" s="40"/>
      <c r="T142" s="41"/>
      <c r="U142" s="39"/>
      <c r="V142" s="39"/>
      <c r="W142" s="39"/>
    </row>
    <row r="143" spans="1:23" s="37" customFormat="1" ht="12" x14ac:dyDescent="0.2">
      <c r="C143" s="38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41"/>
      <c r="S143" s="40"/>
      <c r="T143" s="41"/>
      <c r="U143" s="39"/>
      <c r="V143" s="39"/>
      <c r="W143" s="39"/>
    </row>
    <row r="144" spans="1:23" s="37" customFormat="1" ht="12" x14ac:dyDescent="0.2">
      <c r="C144" s="38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41"/>
      <c r="S144" s="40"/>
      <c r="T144" s="41"/>
      <c r="U144" s="39"/>
      <c r="V144" s="39"/>
      <c r="W144" s="39"/>
    </row>
    <row r="145" spans="3:23" s="37" customFormat="1" ht="12" x14ac:dyDescent="0.2">
      <c r="C145" s="38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41"/>
      <c r="S145" s="40"/>
      <c r="T145" s="41"/>
      <c r="U145" s="39"/>
      <c r="V145" s="39"/>
      <c r="W145" s="39"/>
    </row>
    <row r="146" spans="3:23" s="37" customFormat="1" ht="12" x14ac:dyDescent="0.2">
      <c r="C146" s="38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41"/>
      <c r="S146" s="40"/>
      <c r="T146" s="41"/>
      <c r="U146" s="39"/>
      <c r="V146" s="39"/>
      <c r="W146" s="39"/>
    </row>
    <row r="147" spans="3:23" s="37" customFormat="1" ht="12" x14ac:dyDescent="0.2">
      <c r="C147" s="38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41"/>
      <c r="S147" s="40"/>
      <c r="T147" s="41"/>
      <c r="U147" s="39"/>
      <c r="V147" s="39"/>
      <c r="W147" s="39"/>
    </row>
    <row r="148" spans="3:23" s="37" customFormat="1" ht="12" x14ac:dyDescent="0.2">
      <c r="C148" s="38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41"/>
      <c r="S148" s="40"/>
      <c r="T148" s="41"/>
      <c r="U148" s="39"/>
      <c r="V148" s="39"/>
      <c r="W148" s="39"/>
    </row>
    <row r="149" spans="3:23" s="37" customFormat="1" ht="12" x14ac:dyDescent="0.2">
      <c r="C149" s="38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41"/>
      <c r="S149" s="40"/>
      <c r="T149" s="41"/>
      <c r="U149" s="39"/>
      <c r="V149" s="39"/>
      <c r="W149" s="39"/>
    </row>
    <row r="150" spans="3:23" s="37" customFormat="1" ht="12" x14ac:dyDescent="0.2">
      <c r="C150" s="38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41"/>
      <c r="S150" s="40"/>
      <c r="T150" s="41"/>
      <c r="U150" s="39"/>
      <c r="V150" s="39"/>
      <c r="W150" s="39"/>
    </row>
    <row r="151" spans="3:23" s="37" customFormat="1" ht="12" x14ac:dyDescent="0.2">
      <c r="C151" s="38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41"/>
      <c r="S151" s="40"/>
      <c r="T151" s="41"/>
      <c r="U151" s="39"/>
      <c r="V151" s="39"/>
      <c r="W151" s="39"/>
    </row>
    <row r="152" spans="3:23" s="37" customFormat="1" ht="12" x14ac:dyDescent="0.2">
      <c r="C152" s="38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41"/>
      <c r="S152" s="40"/>
      <c r="T152" s="41"/>
      <c r="U152" s="39"/>
      <c r="V152" s="39"/>
      <c r="W152" s="39"/>
    </row>
    <row r="153" spans="3:23" s="37" customFormat="1" ht="12" x14ac:dyDescent="0.2">
      <c r="C153" s="38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41"/>
      <c r="S153" s="40"/>
      <c r="T153" s="41"/>
      <c r="U153" s="39"/>
      <c r="V153" s="39"/>
      <c r="W153" s="39"/>
    </row>
    <row r="154" spans="3:23" s="37" customFormat="1" ht="12" x14ac:dyDescent="0.2">
      <c r="C154" s="38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41"/>
      <c r="S154" s="40"/>
      <c r="T154" s="41"/>
      <c r="U154" s="39"/>
      <c r="V154" s="39"/>
      <c r="W154" s="39"/>
    </row>
    <row r="155" spans="3:23" s="37" customFormat="1" ht="12" x14ac:dyDescent="0.2">
      <c r="C155" s="38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41"/>
      <c r="S155" s="40"/>
      <c r="T155" s="41"/>
      <c r="U155" s="39"/>
      <c r="V155" s="39"/>
      <c r="W155" s="39"/>
    </row>
    <row r="156" spans="3:23" s="37" customFormat="1" ht="12" x14ac:dyDescent="0.2">
      <c r="C156" s="38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41"/>
      <c r="S156" s="40"/>
      <c r="T156" s="41"/>
      <c r="U156" s="39"/>
      <c r="V156" s="39"/>
      <c r="W156" s="39"/>
    </row>
    <row r="157" spans="3:23" s="37" customFormat="1" ht="12" x14ac:dyDescent="0.2">
      <c r="C157" s="38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41"/>
      <c r="S157" s="40"/>
      <c r="T157" s="41"/>
      <c r="U157" s="39"/>
      <c r="V157" s="39"/>
      <c r="W157" s="39"/>
    </row>
    <row r="158" spans="3:23" s="37" customFormat="1" ht="12" x14ac:dyDescent="0.2">
      <c r="C158" s="38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41"/>
      <c r="S158" s="40"/>
      <c r="T158" s="41"/>
      <c r="U158" s="39"/>
      <c r="V158" s="39"/>
      <c r="W158" s="39"/>
    </row>
    <row r="159" spans="3:23" s="37" customFormat="1" ht="12" x14ac:dyDescent="0.2">
      <c r="C159" s="38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41"/>
      <c r="S159" s="40"/>
      <c r="T159" s="41"/>
      <c r="U159" s="39"/>
      <c r="V159" s="39"/>
      <c r="W159" s="39"/>
    </row>
    <row r="160" spans="3:23" s="37" customFormat="1" ht="12" x14ac:dyDescent="0.2">
      <c r="C160" s="38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41"/>
      <c r="S160" s="40"/>
      <c r="T160" s="41"/>
      <c r="U160" s="39"/>
      <c r="V160" s="39"/>
      <c r="W160" s="39"/>
    </row>
    <row r="161" spans="3:23" s="37" customFormat="1" ht="12" x14ac:dyDescent="0.2">
      <c r="C161" s="38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41"/>
      <c r="S161" s="40"/>
      <c r="T161" s="41"/>
      <c r="U161" s="39"/>
      <c r="V161" s="39"/>
      <c r="W161" s="39"/>
    </row>
    <row r="162" spans="3:23" s="37" customFormat="1" ht="12" x14ac:dyDescent="0.2">
      <c r="C162" s="38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41"/>
      <c r="S162" s="40"/>
      <c r="T162" s="41"/>
      <c r="U162" s="39"/>
      <c r="V162" s="39"/>
      <c r="W162" s="39"/>
    </row>
    <row r="163" spans="3:23" s="37" customFormat="1" ht="12" x14ac:dyDescent="0.2">
      <c r="C163" s="38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41"/>
      <c r="S163" s="40"/>
      <c r="T163" s="41"/>
      <c r="U163" s="39"/>
      <c r="V163" s="39"/>
      <c r="W163" s="39"/>
    </row>
    <row r="164" spans="3:23" s="37" customFormat="1" ht="12" x14ac:dyDescent="0.2">
      <c r="C164" s="38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41"/>
      <c r="S164" s="40"/>
      <c r="T164" s="41"/>
      <c r="U164" s="39"/>
      <c r="V164" s="39"/>
      <c r="W164" s="39"/>
    </row>
    <row r="165" spans="3:23" s="37" customFormat="1" ht="12" x14ac:dyDescent="0.2">
      <c r="C165" s="38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41"/>
      <c r="S165" s="40"/>
      <c r="T165" s="41"/>
      <c r="U165" s="39"/>
      <c r="V165" s="39"/>
      <c r="W165" s="39"/>
    </row>
    <row r="166" spans="3:23" s="37" customFormat="1" ht="12" x14ac:dyDescent="0.2">
      <c r="C166" s="38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41"/>
      <c r="S166" s="40"/>
      <c r="T166" s="41"/>
      <c r="U166" s="39"/>
      <c r="V166" s="39"/>
      <c r="W166" s="39"/>
    </row>
    <row r="167" spans="3:23" s="37" customFormat="1" ht="12" x14ac:dyDescent="0.2">
      <c r="C167" s="38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41"/>
      <c r="S167" s="40"/>
      <c r="T167" s="41"/>
      <c r="U167" s="39"/>
      <c r="V167" s="39"/>
      <c r="W167" s="39"/>
    </row>
    <row r="168" spans="3:23" s="37" customFormat="1" ht="12" x14ac:dyDescent="0.2">
      <c r="C168" s="38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41"/>
      <c r="S168" s="40"/>
      <c r="T168" s="41"/>
      <c r="U168" s="39"/>
      <c r="V168" s="39"/>
      <c r="W168" s="39"/>
    </row>
    <row r="169" spans="3:23" s="37" customFormat="1" ht="12" x14ac:dyDescent="0.2">
      <c r="C169" s="38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41"/>
      <c r="S169" s="40"/>
      <c r="T169" s="41"/>
      <c r="U169" s="39"/>
      <c r="V169" s="39"/>
      <c r="W169" s="39"/>
    </row>
    <row r="170" spans="3:23" s="37" customFormat="1" ht="12" x14ac:dyDescent="0.2">
      <c r="C170" s="38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41"/>
      <c r="S170" s="40"/>
      <c r="T170" s="41"/>
      <c r="U170" s="39"/>
      <c r="V170" s="39"/>
      <c r="W170" s="39"/>
    </row>
    <row r="171" spans="3:23" s="37" customFormat="1" ht="12" x14ac:dyDescent="0.2">
      <c r="C171" s="38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41"/>
      <c r="S171" s="40"/>
      <c r="T171" s="41"/>
      <c r="U171" s="39"/>
      <c r="V171" s="39"/>
      <c r="W171" s="39"/>
    </row>
    <row r="172" spans="3:23" s="37" customFormat="1" ht="12" x14ac:dyDescent="0.2">
      <c r="C172" s="38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41"/>
      <c r="S172" s="40"/>
      <c r="T172" s="41"/>
      <c r="U172" s="39"/>
      <c r="V172" s="39"/>
      <c r="W172" s="39"/>
    </row>
    <row r="173" spans="3:23" s="37" customFormat="1" ht="12" x14ac:dyDescent="0.2">
      <c r="C173" s="38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41"/>
      <c r="S173" s="40"/>
      <c r="T173" s="41"/>
      <c r="U173" s="39"/>
      <c r="V173" s="39"/>
      <c r="W173" s="39"/>
    </row>
    <row r="174" spans="3:23" s="37" customFormat="1" ht="12" x14ac:dyDescent="0.2">
      <c r="C174" s="38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41"/>
      <c r="S174" s="40"/>
      <c r="T174" s="41"/>
      <c r="U174" s="39"/>
      <c r="V174" s="39"/>
      <c r="W174" s="39"/>
    </row>
    <row r="175" spans="3:23" s="37" customFormat="1" ht="12" x14ac:dyDescent="0.2">
      <c r="C175" s="38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41"/>
      <c r="S175" s="40"/>
      <c r="T175" s="41"/>
      <c r="U175" s="39"/>
      <c r="V175" s="39"/>
      <c r="W175" s="39"/>
    </row>
    <row r="176" spans="3:23" s="37" customFormat="1" ht="12" x14ac:dyDescent="0.2">
      <c r="C176" s="38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41"/>
      <c r="S176" s="40"/>
      <c r="T176" s="41"/>
      <c r="U176" s="39"/>
      <c r="V176" s="39"/>
      <c r="W176" s="39"/>
    </row>
    <row r="177" spans="3:23" s="37" customFormat="1" ht="12" x14ac:dyDescent="0.2">
      <c r="C177" s="38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41"/>
      <c r="S177" s="40"/>
      <c r="T177" s="41"/>
      <c r="U177" s="39"/>
      <c r="V177" s="39"/>
      <c r="W177" s="39"/>
    </row>
    <row r="178" spans="3:23" s="37" customFormat="1" ht="12" x14ac:dyDescent="0.2">
      <c r="C178" s="38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41"/>
      <c r="S178" s="40"/>
      <c r="T178" s="41"/>
      <c r="U178" s="39"/>
      <c r="V178" s="39"/>
      <c r="W178" s="39"/>
    </row>
    <row r="179" spans="3:23" s="37" customFormat="1" ht="12" x14ac:dyDescent="0.2">
      <c r="C179" s="38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41"/>
      <c r="S179" s="40"/>
      <c r="T179" s="41"/>
      <c r="U179" s="39"/>
      <c r="V179" s="39"/>
      <c r="W179" s="39"/>
    </row>
    <row r="180" spans="3:23" s="37" customFormat="1" ht="12" x14ac:dyDescent="0.2">
      <c r="C180" s="38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41"/>
      <c r="S180" s="40"/>
      <c r="T180" s="41"/>
      <c r="U180" s="39"/>
      <c r="V180" s="39"/>
      <c r="W180" s="39"/>
    </row>
    <row r="181" spans="3:23" s="37" customFormat="1" ht="12" x14ac:dyDescent="0.2">
      <c r="C181" s="38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41"/>
      <c r="S181" s="40"/>
      <c r="T181" s="41"/>
      <c r="U181" s="39"/>
      <c r="V181" s="39"/>
      <c r="W181" s="39"/>
    </row>
    <row r="182" spans="3:23" s="37" customFormat="1" ht="12" x14ac:dyDescent="0.2">
      <c r="C182" s="38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41"/>
      <c r="S182" s="40"/>
      <c r="T182" s="41"/>
      <c r="U182" s="39"/>
      <c r="V182" s="39"/>
      <c r="W182" s="39"/>
    </row>
    <row r="183" spans="3:23" s="37" customFormat="1" ht="12" x14ac:dyDescent="0.2">
      <c r="C183" s="38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41"/>
      <c r="S183" s="40"/>
      <c r="T183" s="41"/>
      <c r="U183" s="39"/>
      <c r="V183" s="39"/>
      <c r="W183" s="39"/>
    </row>
    <row r="184" spans="3:23" s="37" customFormat="1" ht="12" x14ac:dyDescent="0.2">
      <c r="C184" s="38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41"/>
      <c r="S184" s="40"/>
      <c r="T184" s="41"/>
      <c r="U184" s="39"/>
      <c r="V184" s="39"/>
      <c r="W184" s="39"/>
    </row>
    <row r="185" spans="3:23" s="37" customFormat="1" ht="12" x14ac:dyDescent="0.2">
      <c r="C185" s="38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41"/>
      <c r="S185" s="40"/>
      <c r="T185" s="41"/>
      <c r="U185" s="39"/>
      <c r="V185" s="39"/>
      <c r="W185" s="39"/>
    </row>
    <row r="186" spans="3:23" s="37" customFormat="1" ht="12" x14ac:dyDescent="0.2">
      <c r="C186" s="38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41"/>
      <c r="S186" s="40"/>
      <c r="T186" s="41"/>
      <c r="U186" s="39"/>
      <c r="V186" s="39"/>
      <c r="W186" s="39"/>
    </row>
    <row r="187" spans="3:23" s="37" customFormat="1" ht="12" x14ac:dyDescent="0.2">
      <c r="C187" s="38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41"/>
      <c r="S187" s="40"/>
      <c r="T187" s="41"/>
      <c r="U187" s="39"/>
      <c r="V187" s="39"/>
      <c r="W187" s="39"/>
    </row>
    <row r="188" spans="3:23" s="37" customFormat="1" ht="12" x14ac:dyDescent="0.2">
      <c r="C188" s="38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41"/>
      <c r="S188" s="40"/>
      <c r="T188" s="41"/>
      <c r="U188" s="39"/>
      <c r="V188" s="39"/>
      <c r="W188" s="39"/>
    </row>
    <row r="189" spans="3:23" s="37" customFormat="1" ht="12" x14ac:dyDescent="0.2">
      <c r="C189" s="38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41"/>
      <c r="S189" s="40"/>
      <c r="T189" s="41"/>
      <c r="U189" s="39"/>
      <c r="V189" s="39"/>
      <c r="W189" s="39"/>
    </row>
    <row r="190" spans="3:23" s="37" customFormat="1" ht="12" x14ac:dyDescent="0.2">
      <c r="C190" s="38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41"/>
      <c r="S190" s="40"/>
      <c r="T190" s="41"/>
      <c r="U190" s="39"/>
      <c r="V190" s="39"/>
      <c r="W190" s="39"/>
    </row>
    <row r="191" spans="3:23" s="37" customFormat="1" ht="12" x14ac:dyDescent="0.2">
      <c r="C191" s="38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41"/>
      <c r="S191" s="40"/>
      <c r="T191" s="41"/>
      <c r="U191" s="39"/>
      <c r="V191" s="39"/>
      <c r="W191" s="39"/>
    </row>
    <row r="192" spans="3:23" s="37" customFormat="1" ht="12" x14ac:dyDescent="0.2">
      <c r="C192" s="38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41"/>
      <c r="S192" s="40"/>
      <c r="T192" s="41"/>
      <c r="U192" s="39"/>
      <c r="V192" s="39"/>
      <c r="W192" s="39"/>
    </row>
    <row r="193" spans="3:23" s="37" customFormat="1" ht="12" x14ac:dyDescent="0.2">
      <c r="C193" s="38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41"/>
      <c r="S193" s="40"/>
      <c r="T193" s="41"/>
      <c r="U193" s="39"/>
      <c r="V193" s="39"/>
      <c r="W193" s="39"/>
    </row>
    <row r="194" spans="3:23" s="37" customFormat="1" ht="12" x14ac:dyDescent="0.2">
      <c r="C194" s="38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41"/>
      <c r="S194" s="40"/>
      <c r="T194" s="41"/>
      <c r="U194" s="39"/>
      <c r="V194" s="39"/>
      <c r="W194" s="39"/>
    </row>
    <row r="195" spans="3:23" s="37" customFormat="1" ht="12" x14ac:dyDescent="0.2">
      <c r="C195" s="38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41"/>
      <c r="S195" s="40"/>
      <c r="T195" s="41"/>
      <c r="U195" s="39"/>
      <c r="V195" s="39"/>
      <c r="W195" s="39"/>
    </row>
    <row r="196" spans="3:23" s="37" customFormat="1" ht="12" x14ac:dyDescent="0.2">
      <c r="C196" s="38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41"/>
      <c r="S196" s="40"/>
      <c r="T196" s="41"/>
      <c r="U196" s="39"/>
      <c r="V196" s="39"/>
      <c r="W196" s="39"/>
    </row>
    <row r="197" spans="3:23" s="37" customFormat="1" ht="12" x14ac:dyDescent="0.2">
      <c r="C197" s="38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41"/>
      <c r="S197" s="40"/>
      <c r="T197" s="41"/>
      <c r="U197" s="39"/>
      <c r="V197" s="39"/>
      <c r="W197" s="39"/>
    </row>
    <row r="198" spans="3:23" s="37" customFormat="1" ht="12" x14ac:dyDescent="0.2">
      <c r="C198" s="38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41"/>
      <c r="S198" s="40"/>
      <c r="T198" s="41"/>
      <c r="U198" s="39"/>
      <c r="V198" s="39"/>
      <c r="W198" s="39"/>
    </row>
    <row r="199" spans="3:23" s="37" customFormat="1" ht="12" x14ac:dyDescent="0.2">
      <c r="C199" s="38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41"/>
      <c r="S199" s="40"/>
      <c r="T199" s="41"/>
      <c r="U199" s="39"/>
      <c r="V199" s="39"/>
      <c r="W199" s="39"/>
    </row>
    <row r="200" spans="3:23" s="37" customFormat="1" ht="12" x14ac:dyDescent="0.2">
      <c r="C200" s="38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41"/>
      <c r="S200" s="40"/>
      <c r="T200" s="41"/>
      <c r="U200" s="39"/>
      <c r="V200" s="39"/>
      <c r="W200" s="39"/>
    </row>
    <row r="201" spans="3:23" s="37" customFormat="1" ht="12" x14ac:dyDescent="0.2">
      <c r="C201" s="38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41"/>
      <c r="S201" s="40"/>
      <c r="T201" s="41"/>
      <c r="U201" s="39"/>
      <c r="V201" s="39"/>
      <c r="W201" s="39"/>
    </row>
    <row r="202" spans="3:23" s="37" customFormat="1" ht="12" x14ac:dyDescent="0.2">
      <c r="C202" s="38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41"/>
      <c r="S202" s="40"/>
      <c r="T202" s="41"/>
      <c r="U202" s="39"/>
      <c r="V202" s="39"/>
      <c r="W202" s="39"/>
    </row>
    <row r="203" spans="3:23" s="37" customFormat="1" ht="12" x14ac:dyDescent="0.2">
      <c r="C203" s="38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41"/>
      <c r="S203" s="40"/>
      <c r="T203" s="41"/>
      <c r="U203" s="39"/>
      <c r="V203" s="39"/>
      <c r="W203" s="39"/>
    </row>
    <row r="204" spans="3:23" s="37" customFormat="1" ht="12" x14ac:dyDescent="0.2">
      <c r="C204" s="38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41"/>
      <c r="S204" s="40"/>
      <c r="T204" s="41"/>
      <c r="U204" s="39"/>
      <c r="V204" s="39"/>
      <c r="W204" s="39"/>
    </row>
    <row r="205" spans="3:23" s="37" customFormat="1" ht="12" x14ac:dyDescent="0.2">
      <c r="C205" s="38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41"/>
      <c r="S205" s="40"/>
      <c r="T205" s="41"/>
      <c r="U205" s="39"/>
      <c r="V205" s="39"/>
      <c r="W205" s="39"/>
    </row>
    <row r="206" spans="3:23" s="37" customFormat="1" ht="12" x14ac:dyDescent="0.2">
      <c r="C206" s="38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41"/>
      <c r="S206" s="40"/>
      <c r="T206" s="41"/>
      <c r="U206" s="39"/>
      <c r="V206" s="39"/>
      <c r="W206" s="39"/>
    </row>
    <row r="207" spans="3:23" s="37" customFormat="1" ht="12" x14ac:dyDescent="0.2">
      <c r="C207" s="38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41"/>
      <c r="S207" s="40"/>
      <c r="T207" s="41"/>
      <c r="U207" s="39"/>
      <c r="V207" s="39"/>
      <c r="W207" s="39"/>
    </row>
    <row r="208" spans="3:23" s="37" customFormat="1" ht="12" x14ac:dyDescent="0.2">
      <c r="C208" s="38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41"/>
      <c r="S208" s="40"/>
      <c r="T208" s="41"/>
      <c r="U208" s="39"/>
      <c r="V208" s="39"/>
      <c r="W208" s="39"/>
    </row>
    <row r="209" spans="3:23" s="37" customFormat="1" ht="12" x14ac:dyDescent="0.2">
      <c r="C209" s="38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41"/>
      <c r="S209" s="40"/>
      <c r="T209" s="41"/>
      <c r="U209" s="39"/>
      <c r="V209" s="39"/>
      <c r="W209" s="39"/>
    </row>
    <row r="210" spans="3:23" s="37" customFormat="1" ht="12" x14ac:dyDescent="0.2">
      <c r="C210" s="38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41"/>
      <c r="S210" s="40"/>
      <c r="T210" s="41"/>
      <c r="U210" s="39"/>
      <c r="V210" s="39"/>
      <c r="W210" s="39"/>
    </row>
    <row r="211" spans="3:23" s="37" customFormat="1" ht="12" x14ac:dyDescent="0.2">
      <c r="C211" s="38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41"/>
      <c r="S211" s="40"/>
      <c r="T211" s="41"/>
      <c r="U211" s="39"/>
      <c r="V211" s="39"/>
      <c r="W211" s="39"/>
    </row>
    <row r="212" spans="3:23" s="37" customFormat="1" ht="12" x14ac:dyDescent="0.2">
      <c r="C212" s="38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41"/>
      <c r="S212" s="40"/>
      <c r="T212" s="41"/>
      <c r="U212" s="39"/>
      <c r="V212" s="39"/>
      <c r="W212" s="39"/>
    </row>
    <row r="213" spans="3:23" s="37" customFormat="1" ht="12" x14ac:dyDescent="0.2">
      <c r="C213" s="38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41"/>
      <c r="S213" s="40"/>
      <c r="T213" s="41"/>
      <c r="U213" s="39"/>
      <c r="V213" s="39"/>
      <c r="W213" s="39"/>
    </row>
    <row r="214" spans="3:23" s="37" customFormat="1" ht="12" x14ac:dyDescent="0.2">
      <c r="C214" s="38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41"/>
      <c r="S214" s="40"/>
      <c r="T214" s="41"/>
      <c r="U214" s="39"/>
      <c r="V214" s="39"/>
      <c r="W214" s="39"/>
    </row>
    <row r="215" spans="3:23" s="37" customFormat="1" ht="12" x14ac:dyDescent="0.2">
      <c r="C215" s="38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41"/>
      <c r="S215" s="40"/>
      <c r="T215" s="41"/>
      <c r="U215" s="39"/>
      <c r="V215" s="39"/>
      <c r="W215" s="39"/>
    </row>
    <row r="216" spans="3:23" s="37" customFormat="1" ht="12" x14ac:dyDescent="0.2">
      <c r="C216" s="38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41"/>
      <c r="S216" s="40"/>
      <c r="T216" s="41"/>
      <c r="U216" s="39"/>
      <c r="V216" s="39"/>
      <c r="W216" s="39"/>
    </row>
    <row r="217" spans="3:23" s="37" customFormat="1" ht="12" x14ac:dyDescent="0.2">
      <c r="C217" s="38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41"/>
      <c r="S217" s="40"/>
      <c r="T217" s="41"/>
      <c r="U217" s="39"/>
      <c r="V217" s="39"/>
      <c r="W217" s="39"/>
    </row>
    <row r="218" spans="3:23" s="37" customFormat="1" ht="12" x14ac:dyDescent="0.2">
      <c r="C218" s="38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41"/>
      <c r="S218" s="40"/>
      <c r="T218" s="41"/>
      <c r="U218" s="39"/>
      <c r="V218" s="39"/>
      <c r="W218" s="39"/>
    </row>
    <row r="219" spans="3:23" s="37" customFormat="1" ht="12" x14ac:dyDescent="0.2">
      <c r="C219" s="38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41"/>
      <c r="S219" s="40"/>
      <c r="T219" s="41"/>
      <c r="U219" s="39"/>
      <c r="V219" s="39"/>
      <c r="W219" s="39"/>
    </row>
    <row r="220" spans="3:23" s="37" customFormat="1" ht="12" x14ac:dyDescent="0.2">
      <c r="C220" s="38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41"/>
      <c r="S220" s="40"/>
      <c r="T220" s="41"/>
      <c r="U220" s="39"/>
      <c r="V220" s="39"/>
      <c r="W220" s="39"/>
    </row>
    <row r="221" spans="3:23" s="37" customFormat="1" ht="12" x14ac:dyDescent="0.2">
      <c r="C221" s="38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41"/>
      <c r="S221" s="40"/>
      <c r="T221" s="41"/>
      <c r="U221" s="39"/>
      <c r="V221" s="39"/>
      <c r="W221" s="39"/>
    </row>
    <row r="222" spans="3:23" s="37" customFormat="1" ht="12" x14ac:dyDescent="0.2">
      <c r="C222" s="38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41"/>
      <c r="S222" s="40"/>
      <c r="T222" s="41"/>
      <c r="U222" s="39"/>
      <c r="V222" s="39"/>
      <c r="W222" s="39"/>
    </row>
    <row r="223" spans="3:23" s="37" customFormat="1" ht="12" x14ac:dyDescent="0.2">
      <c r="C223" s="38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41"/>
      <c r="S223" s="40"/>
      <c r="T223" s="41"/>
      <c r="U223" s="39"/>
      <c r="V223" s="39"/>
      <c r="W223" s="39"/>
    </row>
    <row r="224" spans="3:23" s="37" customFormat="1" ht="12" x14ac:dyDescent="0.2">
      <c r="C224" s="38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41"/>
      <c r="S224" s="40"/>
      <c r="T224" s="41"/>
      <c r="U224" s="39"/>
      <c r="V224" s="39"/>
      <c r="W224" s="39"/>
    </row>
    <row r="225" spans="3:23" s="37" customFormat="1" ht="12" x14ac:dyDescent="0.2">
      <c r="C225" s="38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41"/>
      <c r="S225" s="40"/>
      <c r="T225" s="41"/>
      <c r="U225" s="39"/>
      <c r="V225" s="39"/>
      <c r="W225" s="39"/>
    </row>
    <row r="226" spans="3:23" s="37" customFormat="1" ht="12" x14ac:dyDescent="0.2">
      <c r="C226" s="38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41"/>
      <c r="S226" s="40"/>
      <c r="T226" s="41"/>
      <c r="U226" s="39"/>
      <c r="V226" s="39"/>
      <c r="W226" s="39"/>
    </row>
    <row r="227" spans="3:23" s="37" customFormat="1" ht="12" x14ac:dyDescent="0.2">
      <c r="C227" s="38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41"/>
      <c r="S227" s="40"/>
      <c r="T227" s="41"/>
      <c r="U227" s="39"/>
      <c r="V227" s="39"/>
      <c r="W227" s="39"/>
    </row>
    <row r="228" spans="3:23" s="37" customFormat="1" ht="12" x14ac:dyDescent="0.2">
      <c r="C228" s="38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41"/>
      <c r="S228" s="40"/>
      <c r="T228" s="41"/>
      <c r="U228" s="39"/>
      <c r="V228" s="39"/>
      <c r="W228" s="39"/>
    </row>
    <row r="229" spans="3:23" s="37" customFormat="1" ht="12" x14ac:dyDescent="0.2">
      <c r="C229" s="38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41"/>
      <c r="S229" s="40"/>
      <c r="T229" s="41"/>
      <c r="U229" s="39"/>
      <c r="V229" s="39"/>
      <c r="W229" s="39"/>
    </row>
    <row r="230" spans="3:23" s="37" customFormat="1" ht="12" x14ac:dyDescent="0.2">
      <c r="C230" s="38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41"/>
      <c r="S230" s="40"/>
      <c r="T230" s="41"/>
      <c r="U230" s="39"/>
      <c r="V230" s="39"/>
      <c r="W230" s="39"/>
    </row>
    <row r="231" spans="3:23" s="37" customFormat="1" ht="12" x14ac:dyDescent="0.2">
      <c r="C231" s="38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41"/>
      <c r="S231" s="40"/>
      <c r="T231" s="41"/>
      <c r="U231" s="39"/>
      <c r="V231" s="39"/>
      <c r="W231" s="39"/>
    </row>
    <row r="232" spans="3:23" s="37" customFormat="1" ht="12" x14ac:dyDescent="0.2">
      <c r="C232" s="38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41"/>
      <c r="S232" s="40"/>
      <c r="T232" s="41"/>
      <c r="U232" s="39"/>
      <c r="V232" s="39"/>
      <c r="W232" s="39"/>
    </row>
    <row r="233" spans="3:23" s="37" customFormat="1" ht="12" x14ac:dyDescent="0.2">
      <c r="C233" s="38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41"/>
      <c r="S233" s="40"/>
      <c r="T233" s="41"/>
      <c r="U233" s="39"/>
      <c r="V233" s="39"/>
      <c r="W233" s="39"/>
    </row>
    <row r="234" spans="3:23" s="37" customFormat="1" ht="12" x14ac:dyDescent="0.2">
      <c r="C234" s="38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41"/>
      <c r="S234" s="40"/>
      <c r="T234" s="41"/>
      <c r="U234" s="39"/>
      <c r="V234" s="39"/>
      <c r="W234" s="39"/>
    </row>
    <row r="235" spans="3:23" s="37" customFormat="1" ht="12" x14ac:dyDescent="0.2">
      <c r="C235" s="38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41"/>
      <c r="S235" s="40"/>
      <c r="T235" s="41"/>
      <c r="U235" s="39"/>
      <c r="V235" s="39"/>
      <c r="W235" s="39"/>
    </row>
    <row r="236" spans="3:23" s="37" customFormat="1" ht="12" x14ac:dyDescent="0.2">
      <c r="C236" s="38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41"/>
      <c r="S236" s="40"/>
      <c r="T236" s="41"/>
      <c r="U236" s="39"/>
      <c r="V236" s="39"/>
      <c r="W236" s="39"/>
    </row>
    <row r="237" spans="3:23" s="37" customFormat="1" ht="12" x14ac:dyDescent="0.2">
      <c r="C237" s="38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41"/>
      <c r="S237" s="40"/>
      <c r="T237" s="41"/>
      <c r="U237" s="39"/>
      <c r="V237" s="39"/>
      <c r="W237" s="39"/>
    </row>
    <row r="238" spans="3:23" s="37" customFormat="1" ht="12" x14ac:dyDescent="0.2">
      <c r="C238" s="38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41"/>
      <c r="S238" s="40"/>
      <c r="T238" s="41"/>
      <c r="U238" s="39"/>
      <c r="V238" s="39"/>
      <c r="W238" s="39"/>
    </row>
    <row r="239" spans="3:23" s="37" customFormat="1" ht="12" x14ac:dyDescent="0.2">
      <c r="C239" s="38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41"/>
      <c r="S239" s="40"/>
      <c r="T239" s="41"/>
      <c r="U239" s="39"/>
      <c r="V239" s="39"/>
      <c r="W239" s="39"/>
    </row>
    <row r="240" spans="3:23" s="37" customFormat="1" ht="12" x14ac:dyDescent="0.2">
      <c r="C240" s="38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41"/>
      <c r="S240" s="40"/>
      <c r="T240" s="41"/>
      <c r="U240" s="39"/>
      <c r="V240" s="39"/>
      <c r="W240" s="39"/>
    </row>
    <row r="241" spans="3:23" s="37" customFormat="1" ht="12" x14ac:dyDescent="0.2">
      <c r="C241" s="38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41"/>
      <c r="S241" s="40"/>
      <c r="T241" s="41"/>
      <c r="U241" s="39"/>
      <c r="V241" s="39"/>
      <c r="W241" s="39"/>
    </row>
    <row r="242" spans="3:23" s="37" customFormat="1" ht="12" x14ac:dyDescent="0.2">
      <c r="C242" s="38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41"/>
      <c r="S242" s="40"/>
      <c r="T242" s="41"/>
      <c r="U242" s="39"/>
      <c r="V242" s="39"/>
      <c r="W242" s="39"/>
    </row>
    <row r="243" spans="3:23" s="37" customFormat="1" ht="12" x14ac:dyDescent="0.2">
      <c r="C243" s="38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41"/>
      <c r="S243" s="40"/>
      <c r="T243" s="41"/>
      <c r="U243" s="39"/>
      <c r="V243" s="39"/>
      <c r="W243" s="39"/>
    </row>
    <row r="244" spans="3:23" s="37" customFormat="1" ht="12" x14ac:dyDescent="0.2">
      <c r="C244" s="38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41"/>
      <c r="S244" s="40"/>
      <c r="T244" s="41"/>
      <c r="U244" s="39"/>
      <c r="V244" s="39"/>
      <c r="W244" s="39"/>
    </row>
    <row r="245" spans="3:23" s="37" customFormat="1" ht="12" x14ac:dyDescent="0.2">
      <c r="C245" s="38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41"/>
      <c r="S245" s="40"/>
      <c r="T245" s="41"/>
      <c r="U245" s="39"/>
      <c r="V245" s="39"/>
      <c r="W245" s="39"/>
    </row>
    <row r="246" spans="3:23" s="37" customFormat="1" ht="12" x14ac:dyDescent="0.2">
      <c r="C246" s="38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41"/>
      <c r="S246" s="40"/>
      <c r="T246" s="41"/>
      <c r="U246" s="39"/>
      <c r="V246" s="39"/>
      <c r="W246" s="39"/>
    </row>
    <row r="247" spans="3:23" s="37" customFormat="1" ht="12" x14ac:dyDescent="0.2">
      <c r="C247" s="38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41"/>
      <c r="S247" s="40"/>
      <c r="T247" s="41"/>
      <c r="U247" s="39"/>
      <c r="V247" s="39"/>
      <c r="W247" s="39"/>
    </row>
    <row r="248" spans="3:23" s="37" customFormat="1" ht="12" x14ac:dyDescent="0.2">
      <c r="C248" s="38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41"/>
      <c r="S248" s="40"/>
      <c r="T248" s="41"/>
      <c r="U248" s="39"/>
      <c r="V248" s="39"/>
      <c r="W248" s="39"/>
    </row>
    <row r="249" spans="3:23" s="37" customFormat="1" ht="12" x14ac:dyDescent="0.2">
      <c r="C249" s="38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41"/>
      <c r="S249" s="40"/>
      <c r="T249" s="41"/>
      <c r="U249" s="39"/>
      <c r="V249" s="39"/>
      <c r="W249" s="39"/>
    </row>
    <row r="250" spans="3:23" s="37" customFormat="1" ht="12" x14ac:dyDescent="0.2">
      <c r="C250" s="38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41"/>
      <c r="S250" s="40"/>
      <c r="T250" s="41"/>
      <c r="U250" s="39"/>
      <c r="V250" s="39"/>
      <c r="W250" s="39"/>
    </row>
    <row r="251" spans="3:23" s="37" customFormat="1" ht="12" x14ac:dyDescent="0.2">
      <c r="C251" s="38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41"/>
      <c r="S251" s="40"/>
      <c r="T251" s="41"/>
      <c r="U251" s="39"/>
      <c r="V251" s="39"/>
      <c r="W251" s="39"/>
    </row>
    <row r="252" spans="3:23" s="37" customFormat="1" ht="12" x14ac:dyDescent="0.2">
      <c r="C252" s="38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41"/>
      <c r="S252" s="40"/>
      <c r="T252" s="41"/>
      <c r="U252" s="39"/>
      <c r="V252" s="39"/>
      <c r="W252" s="39"/>
    </row>
    <row r="253" spans="3:23" s="37" customFormat="1" ht="12" x14ac:dyDescent="0.2">
      <c r="C253" s="38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41"/>
      <c r="S253" s="40"/>
      <c r="T253" s="41"/>
      <c r="U253" s="39"/>
      <c r="V253" s="39"/>
      <c r="W253" s="39"/>
    </row>
    <row r="254" spans="3:23" s="37" customFormat="1" ht="12" x14ac:dyDescent="0.2">
      <c r="C254" s="38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41"/>
      <c r="S254" s="40"/>
      <c r="T254" s="41"/>
      <c r="U254" s="39"/>
      <c r="V254" s="39"/>
      <c r="W254" s="39"/>
    </row>
    <row r="255" spans="3:23" s="37" customFormat="1" ht="12" x14ac:dyDescent="0.2">
      <c r="C255" s="38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41"/>
      <c r="S255" s="40"/>
      <c r="T255" s="41"/>
      <c r="U255" s="39"/>
      <c r="V255" s="39"/>
      <c r="W255" s="39"/>
    </row>
    <row r="256" spans="3:23" s="37" customFormat="1" ht="12" x14ac:dyDescent="0.2">
      <c r="C256" s="38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41"/>
      <c r="S256" s="40"/>
      <c r="T256" s="41"/>
      <c r="U256" s="39"/>
      <c r="V256" s="39"/>
      <c r="W256" s="39"/>
    </row>
    <row r="257" spans="3:23" s="37" customFormat="1" ht="12" x14ac:dyDescent="0.2">
      <c r="C257" s="38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41"/>
      <c r="S257" s="40"/>
      <c r="T257" s="41"/>
      <c r="U257" s="39"/>
      <c r="V257" s="39"/>
      <c r="W257" s="39"/>
    </row>
    <row r="258" spans="3:23" s="37" customFormat="1" ht="12" x14ac:dyDescent="0.2">
      <c r="C258" s="38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41"/>
      <c r="S258" s="40"/>
      <c r="T258" s="41"/>
      <c r="U258" s="39"/>
      <c r="V258" s="39"/>
      <c r="W258" s="39"/>
    </row>
    <row r="259" spans="3:23" s="37" customFormat="1" ht="12" x14ac:dyDescent="0.2">
      <c r="C259" s="38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41"/>
      <c r="S259" s="40"/>
      <c r="T259" s="41"/>
      <c r="U259" s="39"/>
      <c r="V259" s="39"/>
      <c r="W259" s="39"/>
    </row>
    <row r="260" spans="3:23" s="37" customFormat="1" ht="12" x14ac:dyDescent="0.2">
      <c r="C260" s="38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41"/>
      <c r="S260" s="40"/>
      <c r="T260" s="41"/>
      <c r="U260" s="39"/>
      <c r="V260" s="39"/>
      <c r="W260" s="39"/>
    </row>
    <row r="261" spans="3:23" s="37" customFormat="1" ht="12" x14ac:dyDescent="0.2">
      <c r="C261" s="38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41"/>
      <c r="S261" s="40"/>
      <c r="T261" s="41"/>
      <c r="U261" s="39"/>
      <c r="V261" s="39"/>
      <c r="W261" s="39"/>
    </row>
    <row r="262" spans="3:23" s="37" customFormat="1" ht="12" x14ac:dyDescent="0.2">
      <c r="C262" s="38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41"/>
      <c r="S262" s="40"/>
      <c r="T262" s="41"/>
      <c r="U262" s="39"/>
      <c r="V262" s="39"/>
      <c r="W262" s="39"/>
    </row>
    <row r="263" spans="3:23" s="37" customFormat="1" ht="12" x14ac:dyDescent="0.2">
      <c r="C263" s="38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41"/>
      <c r="S263" s="40"/>
      <c r="T263" s="41"/>
      <c r="U263" s="39"/>
      <c r="V263" s="39"/>
      <c r="W263" s="39"/>
    </row>
    <row r="264" spans="3:23" s="37" customFormat="1" ht="12" x14ac:dyDescent="0.2">
      <c r="C264" s="38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41"/>
      <c r="S264" s="40"/>
      <c r="T264" s="41"/>
      <c r="U264" s="39"/>
      <c r="V264" s="39"/>
      <c r="W264" s="39"/>
    </row>
    <row r="265" spans="3:23" s="37" customFormat="1" ht="12" x14ac:dyDescent="0.2">
      <c r="C265" s="38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41"/>
      <c r="S265" s="40"/>
      <c r="T265" s="41"/>
      <c r="U265" s="39"/>
      <c r="V265" s="39"/>
      <c r="W265" s="39"/>
    </row>
    <row r="266" spans="3:23" s="37" customFormat="1" ht="12" x14ac:dyDescent="0.2">
      <c r="C266" s="38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41"/>
      <c r="S266" s="40"/>
      <c r="T266" s="41"/>
      <c r="U266" s="39"/>
      <c r="V266" s="39"/>
      <c r="W266" s="39"/>
    </row>
    <row r="267" spans="3:23" s="37" customFormat="1" ht="12" x14ac:dyDescent="0.2">
      <c r="C267" s="38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41"/>
      <c r="S267" s="40"/>
      <c r="T267" s="41"/>
      <c r="U267" s="39"/>
      <c r="V267" s="39"/>
      <c r="W267" s="39"/>
    </row>
    <row r="268" spans="3:23" s="37" customFormat="1" ht="12" x14ac:dyDescent="0.2">
      <c r="C268" s="38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41"/>
      <c r="S268" s="40"/>
      <c r="T268" s="41"/>
      <c r="U268" s="39"/>
      <c r="V268" s="39"/>
      <c r="W268" s="39"/>
    </row>
    <row r="269" spans="3:23" s="37" customFormat="1" ht="12" x14ac:dyDescent="0.2">
      <c r="C269" s="38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41"/>
      <c r="S269" s="40"/>
      <c r="T269" s="41"/>
      <c r="U269" s="39"/>
      <c r="V269" s="39"/>
      <c r="W269" s="39"/>
    </row>
    <row r="270" spans="3:23" s="37" customFormat="1" ht="12" x14ac:dyDescent="0.2">
      <c r="C270" s="38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41"/>
      <c r="S270" s="40"/>
      <c r="T270" s="41"/>
      <c r="U270" s="39"/>
      <c r="V270" s="39"/>
      <c r="W270" s="39"/>
    </row>
    <row r="271" spans="3:23" s="37" customFormat="1" ht="12" x14ac:dyDescent="0.2">
      <c r="C271" s="38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41"/>
      <c r="S271" s="40"/>
      <c r="T271" s="41"/>
      <c r="U271" s="39"/>
      <c r="V271" s="39"/>
      <c r="W271" s="39"/>
    </row>
    <row r="272" spans="3:23" s="37" customFormat="1" ht="12" x14ac:dyDescent="0.2">
      <c r="C272" s="38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41"/>
      <c r="S272" s="40"/>
      <c r="T272" s="41"/>
      <c r="U272" s="39"/>
      <c r="V272" s="39"/>
      <c r="W272" s="39"/>
    </row>
    <row r="273" spans="3:23" s="37" customFormat="1" ht="12" x14ac:dyDescent="0.2">
      <c r="C273" s="38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41"/>
      <c r="S273" s="40"/>
      <c r="T273" s="41"/>
      <c r="U273" s="39"/>
      <c r="V273" s="39"/>
      <c r="W273" s="39"/>
    </row>
    <row r="274" spans="3:23" s="37" customFormat="1" ht="12" x14ac:dyDescent="0.2">
      <c r="C274" s="38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41"/>
      <c r="S274" s="40"/>
      <c r="T274" s="41"/>
      <c r="U274" s="39"/>
      <c r="V274" s="39"/>
      <c r="W274" s="39"/>
    </row>
    <row r="275" spans="3:23" s="37" customFormat="1" ht="12" x14ac:dyDescent="0.2">
      <c r="C275" s="38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41"/>
      <c r="S275" s="40"/>
      <c r="T275" s="41"/>
      <c r="U275" s="39"/>
      <c r="V275" s="39"/>
      <c r="W275" s="39"/>
    </row>
    <row r="276" spans="3:23" s="37" customFormat="1" ht="12" x14ac:dyDescent="0.2">
      <c r="C276" s="38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41"/>
      <c r="S276" s="40"/>
      <c r="T276" s="41"/>
      <c r="U276" s="39"/>
      <c r="V276" s="39"/>
      <c r="W276" s="39"/>
    </row>
    <row r="277" spans="3:23" x14ac:dyDescent="0.25"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R277" s="27"/>
      <c r="S277" s="23"/>
      <c r="T277" s="27"/>
      <c r="U277" s="22"/>
      <c r="V277" s="22"/>
      <c r="W277" s="22"/>
    </row>
  </sheetData>
  <sheetProtection algorithmName="SHA-512" hashValue="erUfezPrX4X93XBNfRp3M6RN36mNAAhHmpyYcS78hhzxuck2FBA/LCdi6KxPrNLawZYQog0cSjc5Tr3U0GkPBA==" saltValue="r15sSPfTD1Y6kDtfMosMjw==" spinCount="100000" sheet="1" objects="1" scenarios="1" selectLockedCells="1"/>
  <pageMargins left="0.7" right="0.7" top="0.75" bottom="0.75" header="0.3" footer="0.3"/>
  <pageSetup orientation="portrait" horizontalDpi="1200" verticalDpi="120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1"/>
  </sheetPr>
  <dimension ref="A1:W277"/>
  <sheetViews>
    <sheetView workbookViewId="0">
      <selection sqref="A1:XFD1048576"/>
    </sheetView>
  </sheetViews>
  <sheetFormatPr defaultColWidth="8.85546875" defaultRowHeight="15" x14ac:dyDescent="0.25"/>
  <cols>
    <col min="1" max="2" width="3.140625" style="14" customWidth="1"/>
    <col min="3" max="3" width="7.85546875" style="20" customWidth="1"/>
    <col min="4" max="4" width="31.85546875" style="14" customWidth="1"/>
    <col min="5" max="16" width="8.85546875" style="14"/>
    <col min="17" max="17" width="8.85546875" style="22"/>
    <col min="18" max="18" width="2.140625" style="28" customWidth="1"/>
    <col min="19" max="19" width="8.85546875" style="21"/>
    <col min="20" max="20" width="2.140625" style="28" customWidth="1"/>
    <col min="21" max="16384" width="8.85546875" style="14"/>
  </cols>
  <sheetData>
    <row r="1" spans="1:23" s="1" customFormat="1" ht="21" x14ac:dyDescent="0.35">
      <c r="A1" s="11" t="str">
        <f>'Rev &amp; Enroll'!$F$5</f>
        <v>Nevada State High School (Northwest)</v>
      </c>
      <c r="B1" s="11"/>
      <c r="C1" s="17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4"/>
      <c r="R1" s="24"/>
      <c r="S1" s="3"/>
      <c r="T1" s="29"/>
      <c r="U1" s="2"/>
      <c r="V1" s="2"/>
    </row>
    <row r="2" spans="1:23" s="1" customFormat="1" x14ac:dyDescent="0.25">
      <c r="A2" s="12" t="str">
        <f>CONCATENATE("Monthly Cash Flow/Budget"," ",MYP!I4)</f>
        <v>Monthly Cash Flow/Budget FY23</v>
      </c>
      <c r="B2" s="12"/>
      <c r="C2" s="17"/>
      <c r="D2" s="13"/>
      <c r="E2" s="2"/>
      <c r="F2" s="2"/>
      <c r="G2" s="2"/>
      <c r="H2" s="2"/>
      <c r="I2" s="2"/>
      <c r="J2" s="2"/>
      <c r="M2" s="2"/>
      <c r="N2" s="2"/>
      <c r="O2" s="2"/>
      <c r="Q2" s="8"/>
      <c r="R2" s="25"/>
      <c r="S2" s="2"/>
      <c r="T2" s="29"/>
      <c r="U2" s="4"/>
      <c r="V2" s="4"/>
    </row>
    <row r="3" spans="1:23" s="6" customFormat="1" ht="13.5" customHeight="1" x14ac:dyDescent="0.2">
      <c r="A3" s="5" t="str">
        <f>'FY21'!A3</f>
        <v>Board Approved: Proposed: 4/16/2020</v>
      </c>
      <c r="B3" s="5"/>
      <c r="C3" s="1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8"/>
      <c r="R3" s="25"/>
      <c r="S3" s="7"/>
      <c r="T3" s="31"/>
      <c r="U3" s="7"/>
      <c r="V3" s="7"/>
    </row>
    <row r="4" spans="1:23" s="9" customFormat="1" ht="29.45" customHeight="1" x14ac:dyDescent="0.25">
      <c r="C4" s="19"/>
      <c r="D4" s="10"/>
      <c r="E4" s="33">
        <f>'FY21'!E4+(365*2)</f>
        <v>44743</v>
      </c>
      <c r="F4" s="33">
        <f t="shared" ref="F4:P4" si="0">E4+31</f>
        <v>44774</v>
      </c>
      <c r="G4" s="33">
        <f t="shared" si="0"/>
        <v>44805</v>
      </c>
      <c r="H4" s="33">
        <f t="shared" si="0"/>
        <v>44836</v>
      </c>
      <c r="I4" s="33">
        <f t="shared" si="0"/>
        <v>44867</v>
      </c>
      <c r="J4" s="33">
        <f t="shared" si="0"/>
        <v>44898</v>
      </c>
      <c r="K4" s="33">
        <f t="shared" si="0"/>
        <v>44929</v>
      </c>
      <c r="L4" s="33">
        <f t="shared" si="0"/>
        <v>44960</v>
      </c>
      <c r="M4" s="33">
        <f t="shared" si="0"/>
        <v>44991</v>
      </c>
      <c r="N4" s="33">
        <f t="shared" si="0"/>
        <v>45022</v>
      </c>
      <c r="O4" s="33">
        <f t="shared" si="0"/>
        <v>45053</v>
      </c>
      <c r="P4" s="56">
        <f t="shared" si="0"/>
        <v>45084</v>
      </c>
      <c r="Q4" s="35" t="s">
        <v>54</v>
      </c>
      <c r="R4" s="26"/>
      <c r="S4" s="58" t="s">
        <v>55</v>
      </c>
      <c r="T4" s="32"/>
      <c r="U4" s="33" t="s">
        <v>57</v>
      </c>
      <c r="V4" s="33" t="s">
        <v>56</v>
      </c>
    </row>
    <row r="5" spans="1:23" s="9" customFormat="1" ht="12" x14ac:dyDescent="0.2">
      <c r="C5" s="19"/>
      <c r="D5" s="208" t="s">
        <v>185</v>
      </c>
      <c r="E5" s="327">
        <f>IF(('Rev &amp; Enroll'!$F37*'Rev &amp; Enroll'!$F24)&gt;500000,0.08333,0)</f>
        <v>0</v>
      </c>
      <c r="F5" s="327">
        <f>IF(('Rev &amp; Enroll'!$F37*'Rev &amp; Enroll'!$F24)&gt;500000,0.08333,0.25)</f>
        <v>0.25</v>
      </c>
      <c r="G5" s="327">
        <f>IF(('Rev &amp; Enroll'!$F37*'Rev &amp; Enroll'!$F24)&gt;500000,0.08333,0)</f>
        <v>0</v>
      </c>
      <c r="H5" s="327">
        <f>IF(('Rev &amp; Enroll'!$F37*'Rev &amp; Enroll'!$F24)&gt;500000,0.08333,0)</f>
        <v>0</v>
      </c>
      <c r="I5" s="327">
        <f>IF(('Rev &amp; Enroll'!$F37*'Rev &amp; Enroll'!$F24)&gt;500000,0.08333,0.25)</f>
        <v>0.25</v>
      </c>
      <c r="J5" s="327">
        <f>IF(('Rev &amp; Enroll'!$F37*'Rev &amp; Enroll'!$F24)&gt;500000,0.08333,0)</f>
        <v>0</v>
      </c>
      <c r="K5" s="327">
        <f>IF(('Rev &amp; Enroll'!$F37*'Rev &amp; Enroll'!$F24)&gt;500000,0.08333,0)</f>
        <v>0</v>
      </c>
      <c r="L5" s="327">
        <f>IF(('Rev &amp; Enroll'!$F37*'Rev &amp; Enroll'!$F24)&gt;500000,0.08333,0.25)</f>
        <v>0.25</v>
      </c>
      <c r="M5" s="327">
        <f>IF(('Rev &amp; Enroll'!$F37*'Rev &amp; Enroll'!$F24)&gt;500000,0.08333,0)</f>
        <v>0</v>
      </c>
      <c r="N5" s="327">
        <f>IF(('Rev &amp; Enroll'!$F37*'Rev &amp; Enroll'!$F24)&gt;500000,0.08333,0)</f>
        <v>0</v>
      </c>
      <c r="O5" s="327">
        <f>IF(('Rev &amp; Enroll'!$F37*'Rev &amp; Enroll'!$F24)&gt;500000,0.08333,0.25)</f>
        <v>0.25</v>
      </c>
      <c r="P5" s="327">
        <f>IF(('Rev &amp; Enroll'!$F37*'Rev &amp; Enroll'!$F24)&gt;500000,0.08333,0)</f>
        <v>0</v>
      </c>
      <c r="Q5" s="222">
        <f>1-SUM(E5:P5)</f>
        <v>0</v>
      </c>
      <c r="R5" s="41"/>
      <c r="S5" s="59"/>
      <c r="T5" s="41"/>
      <c r="U5" s="39"/>
      <c r="V5" s="39"/>
      <c r="W5" s="32"/>
    </row>
    <row r="6" spans="1:23" s="37" customFormat="1" ht="11.45" customHeight="1" x14ac:dyDescent="0.2">
      <c r="A6" s="45" t="s">
        <v>58</v>
      </c>
      <c r="C6" s="38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6"/>
      <c r="R6" s="41"/>
      <c r="S6" s="59"/>
      <c r="T6" s="41"/>
      <c r="U6" s="39"/>
      <c r="V6" s="39"/>
      <c r="W6" s="39"/>
    </row>
    <row r="7" spans="1:23" s="37" customFormat="1" ht="12" x14ac:dyDescent="0.2">
      <c r="A7" s="45"/>
      <c r="C7" s="49" t="s">
        <v>172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6"/>
      <c r="R7" s="41"/>
      <c r="S7" s="59"/>
      <c r="T7" s="41"/>
      <c r="U7" s="39"/>
      <c r="V7" s="39"/>
      <c r="W7" s="39"/>
    </row>
    <row r="8" spans="1:23" s="37" customFormat="1" ht="12" x14ac:dyDescent="0.2">
      <c r="A8" s="45"/>
      <c r="C8" s="199">
        <v>1110</v>
      </c>
      <c r="D8" s="37" t="s">
        <v>0</v>
      </c>
      <c r="E8" s="180">
        <f>+'FY22'!E8*(1+MYP!$I$8)</f>
        <v>12904.214399999995</v>
      </c>
      <c r="F8" s="180">
        <f>+'FY22'!F8*(1+MYP!$I$8)</f>
        <v>12904.214399999995</v>
      </c>
      <c r="G8" s="180">
        <f>+'FY22'!G8*(1+MYP!$I$8)</f>
        <v>12904.214399999995</v>
      </c>
      <c r="H8" s="180">
        <f>+'FY22'!H8*(1+MYP!$I$8)</f>
        <v>12904.214399999995</v>
      </c>
      <c r="I8" s="180">
        <f>+'FY22'!I8*(1+MYP!$I$8)</f>
        <v>12904.214399999995</v>
      </c>
      <c r="J8" s="180">
        <f>+'FY22'!J8*(1+MYP!$I$8)</f>
        <v>12904.214399999995</v>
      </c>
      <c r="K8" s="180">
        <f>+'FY22'!K8*(1+MYP!$I$8)</f>
        <v>12904.214399999995</v>
      </c>
      <c r="L8" s="180">
        <f>+'FY22'!L8*(1+MYP!$I$8)</f>
        <v>12904.214399999995</v>
      </c>
      <c r="M8" s="180">
        <f>+'FY22'!M8*(1+MYP!$I$8)</f>
        <v>12904.214399999995</v>
      </c>
      <c r="N8" s="180">
        <f>+'FY22'!N8*(1+MYP!$I$8)</f>
        <v>12904.214399999995</v>
      </c>
      <c r="O8" s="180">
        <f>+'FY22'!O8*(1+MYP!$I$8)</f>
        <v>12904.214399999995</v>
      </c>
      <c r="P8" s="180">
        <f>+'FY22'!P8*(1+MYP!$I$8)</f>
        <v>12904.214399999995</v>
      </c>
      <c r="Q8" s="185"/>
      <c r="R8" s="186"/>
      <c r="S8" s="187">
        <f>SUM(E8:Q8)</f>
        <v>154850.57279999994</v>
      </c>
      <c r="T8" s="186"/>
      <c r="U8" s="180">
        <f>'FY22'!S8</f>
        <v>134652.67199999996</v>
      </c>
      <c r="V8" s="180">
        <f t="shared" ref="V8:V20" si="1">S8-U8</f>
        <v>20197.900799999974</v>
      </c>
      <c r="W8" s="39"/>
    </row>
    <row r="9" spans="1:23" s="37" customFormat="1" ht="12" x14ac:dyDescent="0.2">
      <c r="A9" s="45"/>
      <c r="C9" s="199">
        <v>1120</v>
      </c>
      <c r="D9" s="37" t="s">
        <v>1</v>
      </c>
      <c r="E9" s="362">
        <f>+'FY22'!E9*(1+MYP!$I$8)</f>
        <v>14175.083999999995</v>
      </c>
      <c r="F9" s="362">
        <f>+'FY22'!F9*(1+MYP!$I$8)</f>
        <v>14175.083999999995</v>
      </c>
      <c r="G9" s="362">
        <f>+'FY22'!G9*(1+MYP!$I$8)</f>
        <v>14175.083999999995</v>
      </c>
      <c r="H9" s="362">
        <f>+'FY22'!H9*(1+MYP!$I$8)</f>
        <v>14175.083999999995</v>
      </c>
      <c r="I9" s="362">
        <f>+'FY22'!I9*(1+MYP!$I$8)</f>
        <v>14175.083999999995</v>
      </c>
      <c r="J9" s="362">
        <f>+'FY22'!J9*(1+MYP!$I$8)</f>
        <v>14175.083999999995</v>
      </c>
      <c r="K9" s="362">
        <f>+'FY22'!K9*(1+MYP!$I$8)</f>
        <v>14175.083999999995</v>
      </c>
      <c r="L9" s="362">
        <f>+'FY22'!L9*(1+MYP!$I$8)</f>
        <v>14175.083999999995</v>
      </c>
      <c r="M9" s="362">
        <f>+'FY22'!M9*(1+MYP!$I$8)</f>
        <v>14175.083999999995</v>
      </c>
      <c r="N9" s="362">
        <f>+'FY22'!N9*(1+MYP!$I$8)</f>
        <v>14175.083999999995</v>
      </c>
      <c r="O9" s="362">
        <f>+'FY22'!O9*(1+MYP!$I$8)</f>
        <v>14175.083999999995</v>
      </c>
      <c r="P9" s="362">
        <f>+'FY22'!P9*(1+MYP!$I$8)</f>
        <v>14175.083999999995</v>
      </c>
      <c r="Q9" s="36"/>
      <c r="R9" s="41"/>
      <c r="S9" s="59">
        <f t="shared" ref="S9:S20" si="2">SUM(E9:Q9)</f>
        <v>170101.008</v>
      </c>
      <c r="T9" s="41"/>
      <c r="U9" s="39">
        <f>'FY22'!S9</f>
        <v>147913.91999999998</v>
      </c>
      <c r="V9" s="39">
        <f t="shared" si="1"/>
        <v>22187.088000000018</v>
      </c>
      <c r="W9" s="39"/>
    </row>
    <row r="10" spans="1:23" s="37" customFormat="1" ht="12" x14ac:dyDescent="0.2">
      <c r="A10" s="45"/>
      <c r="C10" s="199">
        <v>1191</v>
      </c>
      <c r="D10" s="37" t="s">
        <v>2</v>
      </c>
      <c r="E10" s="362">
        <f>+'FY22'!E10*(1+MYP!$I$8)</f>
        <v>48.879599999999982</v>
      </c>
      <c r="F10" s="362">
        <f>+'FY22'!F10*(1+MYP!$I$8)</f>
        <v>48.879599999999982</v>
      </c>
      <c r="G10" s="362">
        <f>+'FY22'!G10*(1+MYP!$I$8)</f>
        <v>48.879599999999982</v>
      </c>
      <c r="H10" s="362">
        <f>+'FY22'!H10*(1+MYP!$I$8)</f>
        <v>48.879599999999982</v>
      </c>
      <c r="I10" s="362">
        <f>+'FY22'!I10*(1+MYP!$I$8)</f>
        <v>48.879599999999982</v>
      </c>
      <c r="J10" s="362">
        <f>+'FY22'!J10*(1+MYP!$I$8)</f>
        <v>48.879599999999982</v>
      </c>
      <c r="K10" s="362">
        <f>+'FY22'!K10*(1+MYP!$I$8)</f>
        <v>48.879599999999982</v>
      </c>
      <c r="L10" s="362">
        <f>+'FY22'!L10*(1+MYP!$I$8)</f>
        <v>48.879599999999982</v>
      </c>
      <c r="M10" s="362">
        <f>+'FY22'!M10*(1+MYP!$I$8)</f>
        <v>48.879599999999982</v>
      </c>
      <c r="N10" s="362">
        <f>+'FY22'!N10*(1+MYP!$I$8)</f>
        <v>48.879599999999982</v>
      </c>
      <c r="O10" s="362">
        <f>+'FY22'!O10*(1+MYP!$I$8)</f>
        <v>48.879599999999982</v>
      </c>
      <c r="P10" s="362">
        <f>+'FY22'!P10*(1+MYP!$I$8)</f>
        <v>48.879599999999982</v>
      </c>
      <c r="Q10" s="36"/>
      <c r="R10" s="41"/>
      <c r="S10" s="59">
        <f t="shared" si="2"/>
        <v>586.55519999999979</v>
      </c>
      <c r="T10" s="41"/>
      <c r="U10" s="39">
        <f>'FY22'!S10</f>
        <v>510.048</v>
      </c>
      <c r="V10" s="39">
        <f t="shared" si="1"/>
        <v>76.507199999999784</v>
      </c>
      <c r="W10" s="39"/>
    </row>
    <row r="11" spans="1:23" s="37" customFormat="1" ht="12" x14ac:dyDescent="0.2">
      <c r="A11" s="45"/>
      <c r="C11" s="199">
        <v>1192</v>
      </c>
      <c r="D11" s="37" t="s">
        <v>3</v>
      </c>
      <c r="E11" s="362">
        <f>+'FY22'!E11*(1+MYP!$I$8)</f>
        <v>1515.2675999999997</v>
      </c>
      <c r="F11" s="362">
        <f>+'FY22'!F11*(1+MYP!$I$8)</f>
        <v>1515.2675999999997</v>
      </c>
      <c r="G11" s="362">
        <f>+'FY22'!G11*(1+MYP!$I$8)</f>
        <v>1515.2675999999997</v>
      </c>
      <c r="H11" s="362">
        <f>+'FY22'!H11*(1+MYP!$I$8)</f>
        <v>1515.2675999999997</v>
      </c>
      <c r="I11" s="362">
        <f>+'FY22'!I11*(1+MYP!$I$8)</f>
        <v>1515.2675999999997</v>
      </c>
      <c r="J11" s="362">
        <f>+'FY22'!J11*(1+MYP!$I$8)</f>
        <v>1515.2675999999997</v>
      </c>
      <c r="K11" s="362">
        <f>+'FY22'!K11*(1+MYP!$I$8)</f>
        <v>1515.2675999999997</v>
      </c>
      <c r="L11" s="362">
        <f>+'FY22'!L11*(1+MYP!$I$8)</f>
        <v>1515.2675999999997</v>
      </c>
      <c r="M11" s="362">
        <f>+'FY22'!M11*(1+MYP!$I$8)</f>
        <v>1515.2675999999997</v>
      </c>
      <c r="N11" s="362">
        <f>+'FY22'!N11*(1+MYP!$I$8)</f>
        <v>1515.2675999999997</v>
      </c>
      <c r="O11" s="362">
        <f>+'FY22'!O11*(1+MYP!$I$8)</f>
        <v>1515.2675999999997</v>
      </c>
      <c r="P11" s="362">
        <f>+'FY22'!P11*(1+MYP!$I$8)</f>
        <v>1515.2675999999997</v>
      </c>
      <c r="Q11" s="98"/>
      <c r="R11" s="41"/>
      <c r="S11" s="59">
        <f t="shared" si="2"/>
        <v>18183.211199999994</v>
      </c>
      <c r="T11" s="41"/>
      <c r="U11" s="39">
        <f>'FY22'!S11</f>
        <v>15811.487999999998</v>
      </c>
      <c r="V11" s="39">
        <f t="shared" si="1"/>
        <v>2371.7231999999967</v>
      </c>
      <c r="W11" s="39"/>
    </row>
    <row r="12" spans="1:23" s="37" customFormat="1" ht="12" x14ac:dyDescent="0.2">
      <c r="A12" s="45"/>
      <c r="C12" s="199">
        <v>3110</v>
      </c>
      <c r="D12" s="37" t="s">
        <v>73</v>
      </c>
      <c r="E12" s="362">
        <f>+'FY22'!E12*(1+MYP!$I$8)</f>
        <v>20236.154399999992</v>
      </c>
      <c r="F12" s="362">
        <f>+'FY22'!F12*(1+MYP!$I$8)</f>
        <v>20236.154399999992</v>
      </c>
      <c r="G12" s="362">
        <f>+'FY22'!G12*(1+MYP!$I$8)</f>
        <v>20236.154399999992</v>
      </c>
      <c r="H12" s="362">
        <f>+'FY22'!H12*(1+MYP!$I$8)</f>
        <v>20236.154399999992</v>
      </c>
      <c r="I12" s="362">
        <f>+'FY22'!I12*(1+MYP!$I$8)</f>
        <v>20236.154399999992</v>
      </c>
      <c r="J12" s="362">
        <f>+'FY22'!J12*(1+MYP!$I$8)</f>
        <v>20236.154399999992</v>
      </c>
      <c r="K12" s="362">
        <f>+'FY22'!K12*(1+MYP!$I$8)</f>
        <v>20236.154399999992</v>
      </c>
      <c r="L12" s="362">
        <f>+'FY22'!L12*(1+MYP!$I$8)</f>
        <v>20236.154399999992</v>
      </c>
      <c r="M12" s="362">
        <f>+'FY22'!M12*(1+MYP!$I$8)</f>
        <v>20236.154399999992</v>
      </c>
      <c r="N12" s="362">
        <f>+'FY22'!N12*(1+MYP!$I$8)</f>
        <v>20236.154399999992</v>
      </c>
      <c r="O12" s="362">
        <f>+'FY22'!O12*(1+MYP!$I$8)</f>
        <v>20236.154399999992</v>
      </c>
      <c r="P12" s="362">
        <f>+'FY22'!P12*(1+MYP!$I$8)</f>
        <v>20236.154399999992</v>
      </c>
      <c r="Q12" s="98"/>
      <c r="R12" s="41"/>
      <c r="S12" s="59">
        <f t="shared" si="2"/>
        <v>242833.85279999996</v>
      </c>
      <c r="T12" s="41"/>
      <c r="U12" s="39">
        <f>'FY22'!S12</f>
        <v>211159.87199999989</v>
      </c>
      <c r="V12" s="39">
        <f t="shared" si="1"/>
        <v>31673.980800000078</v>
      </c>
      <c r="W12" s="39"/>
    </row>
    <row r="13" spans="1:23" s="37" customFormat="1" ht="12" x14ac:dyDescent="0.2">
      <c r="A13" s="45"/>
      <c r="C13" s="38"/>
      <c r="E13" s="50">
        <f>SUBTOTAL(9,E8:E12)</f>
        <v>48879.599999999984</v>
      </c>
      <c r="F13" s="50">
        <f t="shared" ref="F13:S13" si="3">SUBTOTAL(9,F8:F12)</f>
        <v>48879.599999999984</v>
      </c>
      <c r="G13" s="50">
        <f t="shared" si="3"/>
        <v>48879.599999999984</v>
      </c>
      <c r="H13" s="50">
        <f t="shared" si="3"/>
        <v>48879.599999999984</v>
      </c>
      <c r="I13" s="50">
        <f t="shared" si="3"/>
        <v>48879.599999999984</v>
      </c>
      <c r="J13" s="50">
        <f t="shared" si="3"/>
        <v>48879.599999999984</v>
      </c>
      <c r="K13" s="50">
        <f t="shared" si="3"/>
        <v>48879.599999999984</v>
      </c>
      <c r="L13" s="50">
        <f t="shared" si="3"/>
        <v>48879.599999999984</v>
      </c>
      <c r="M13" s="50">
        <f t="shared" si="3"/>
        <v>48879.599999999984</v>
      </c>
      <c r="N13" s="50">
        <f t="shared" si="3"/>
        <v>48879.599999999984</v>
      </c>
      <c r="O13" s="50">
        <f t="shared" si="3"/>
        <v>48879.599999999984</v>
      </c>
      <c r="P13" s="50">
        <f t="shared" si="3"/>
        <v>48879.599999999984</v>
      </c>
      <c r="Q13" s="99"/>
      <c r="R13" s="41"/>
      <c r="S13" s="61">
        <f t="shared" si="3"/>
        <v>586555.19999999995</v>
      </c>
      <c r="T13" s="41"/>
      <c r="U13" s="50">
        <f t="shared" ref="U13" si="4">SUBTOTAL(9,U8:U12)</f>
        <v>510047.99999999988</v>
      </c>
      <c r="V13" s="50">
        <f t="shared" ref="V13" si="5">SUBTOTAL(9,V8:V12)</f>
        <v>76507.20000000007</v>
      </c>
      <c r="W13" s="39"/>
    </row>
    <row r="14" spans="1:23" s="37" customFormat="1" ht="12" x14ac:dyDescent="0.2">
      <c r="A14" s="45"/>
      <c r="C14" s="49" t="s">
        <v>171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98"/>
      <c r="R14" s="41"/>
      <c r="S14" s="59"/>
      <c r="T14" s="41"/>
      <c r="U14" s="39"/>
      <c r="V14" s="39"/>
      <c r="W14" s="39"/>
    </row>
    <row r="15" spans="1:23" s="37" customFormat="1" ht="12" x14ac:dyDescent="0.2">
      <c r="A15" s="45"/>
      <c r="C15" s="199">
        <v>3115</v>
      </c>
      <c r="D15" s="37" t="s">
        <v>5</v>
      </c>
      <c r="E15" s="362">
        <f>+'FY22'!E15*(1+MYP!$I$8)</f>
        <v>0</v>
      </c>
      <c r="F15" s="362">
        <f>+'FY22'!F15*(1+MYP!$I$8)</f>
        <v>0</v>
      </c>
      <c r="G15" s="362">
        <f>+'FY22'!G15*(1+MYP!$I$8)</f>
        <v>0</v>
      </c>
      <c r="H15" s="362">
        <f>+'FY22'!H15*(1+MYP!$I$8)</f>
        <v>0</v>
      </c>
      <c r="I15" s="362">
        <f>+'FY22'!I15*(1+MYP!$I$8)</f>
        <v>0</v>
      </c>
      <c r="J15" s="362">
        <f>+'FY22'!J15*(1+MYP!$I$8)</f>
        <v>0</v>
      </c>
      <c r="K15" s="362">
        <f>+'FY22'!K15*(1+MYP!$I$8)</f>
        <v>0</v>
      </c>
      <c r="L15" s="362">
        <f>+'FY22'!L15*(1+MYP!$I$8)</f>
        <v>0</v>
      </c>
      <c r="M15" s="362">
        <f>+'FY22'!M15*(1+MYP!$I$8)</f>
        <v>0</v>
      </c>
      <c r="N15" s="362">
        <f>+'FY22'!N15*(1+MYP!$I$8)</f>
        <v>0</v>
      </c>
      <c r="O15" s="362">
        <f>+'FY22'!O15*(1+MYP!$I$8)</f>
        <v>0</v>
      </c>
      <c r="P15" s="362">
        <f>+'FY22'!P15*(1+MYP!$I$8)</f>
        <v>0</v>
      </c>
      <c r="Q15" s="100"/>
      <c r="R15" s="41"/>
      <c r="S15" s="59">
        <f t="shared" si="2"/>
        <v>0</v>
      </c>
      <c r="T15" s="41"/>
      <c r="U15" s="39">
        <f>'FY22'!S15</f>
        <v>0</v>
      </c>
      <c r="V15" s="39">
        <f t="shared" si="1"/>
        <v>0</v>
      </c>
      <c r="W15" s="39"/>
    </row>
    <row r="16" spans="1:23" s="37" customFormat="1" ht="12" x14ac:dyDescent="0.2">
      <c r="A16" s="45"/>
      <c r="C16" s="199">
        <v>3200</v>
      </c>
      <c r="D16" s="37" t="s">
        <v>6</v>
      </c>
      <c r="E16" s="362">
        <f>+'FY22'!E16*(1+MYP!$I$8)</f>
        <v>0</v>
      </c>
      <c r="F16" s="362">
        <f>+'FY22'!F16*(1+MYP!$I$8)</f>
        <v>0</v>
      </c>
      <c r="G16" s="362">
        <f>+'FY22'!G16*(1+MYP!$I$8)</f>
        <v>0</v>
      </c>
      <c r="H16" s="362">
        <f>+'FY22'!H16*(1+MYP!$I$8)</f>
        <v>0</v>
      </c>
      <c r="I16" s="362">
        <f>+'FY22'!I16*(1+MYP!$I$8)</f>
        <v>0</v>
      </c>
      <c r="J16" s="362">
        <f>+'FY22'!J16*(1+MYP!$I$8)</f>
        <v>0</v>
      </c>
      <c r="K16" s="362">
        <v>0</v>
      </c>
      <c r="L16" s="362">
        <f>+'FY22'!L16*(1+MYP!$I$8)</f>
        <v>0</v>
      </c>
      <c r="M16" s="362">
        <v>0</v>
      </c>
      <c r="N16" s="362">
        <f>+'FY22'!N16*(1+MYP!$I$8)</f>
        <v>0</v>
      </c>
      <c r="O16" s="362">
        <v>0</v>
      </c>
      <c r="P16" s="362">
        <f>+'FY22'!P16*(1+MYP!$I$8)</f>
        <v>0</v>
      </c>
      <c r="Q16" s="100"/>
      <c r="R16" s="41"/>
      <c r="S16" s="59">
        <f t="shared" si="2"/>
        <v>0</v>
      </c>
      <c r="T16" s="41"/>
      <c r="U16" s="39">
        <f>'FY22'!S16</f>
        <v>0</v>
      </c>
      <c r="V16" s="39">
        <f t="shared" si="1"/>
        <v>0</v>
      </c>
      <c r="W16" s="39"/>
    </row>
    <row r="17" spans="1:23" s="37" customFormat="1" ht="12" x14ac:dyDescent="0.2">
      <c r="A17" s="45"/>
      <c r="C17" s="38"/>
      <c r="E17" s="50">
        <f>SUBTOTAL(9,E15:E16)</f>
        <v>0</v>
      </c>
      <c r="F17" s="50">
        <f t="shared" ref="F17:V17" si="6">SUBTOTAL(9,F15:F16)</f>
        <v>0</v>
      </c>
      <c r="G17" s="50">
        <f t="shared" si="6"/>
        <v>0</v>
      </c>
      <c r="H17" s="50">
        <f t="shared" si="6"/>
        <v>0</v>
      </c>
      <c r="I17" s="50">
        <f t="shared" si="6"/>
        <v>0</v>
      </c>
      <c r="J17" s="50">
        <f t="shared" si="6"/>
        <v>0</v>
      </c>
      <c r="K17" s="50">
        <f t="shared" si="6"/>
        <v>0</v>
      </c>
      <c r="L17" s="50">
        <f t="shared" si="6"/>
        <v>0</v>
      </c>
      <c r="M17" s="50">
        <f t="shared" si="6"/>
        <v>0</v>
      </c>
      <c r="N17" s="50">
        <f t="shared" si="6"/>
        <v>0</v>
      </c>
      <c r="O17" s="50">
        <f t="shared" si="6"/>
        <v>0</v>
      </c>
      <c r="P17" s="50">
        <f t="shared" si="6"/>
        <v>0</v>
      </c>
      <c r="Q17" s="99"/>
      <c r="R17" s="41"/>
      <c r="S17" s="61">
        <f t="shared" si="6"/>
        <v>0</v>
      </c>
      <c r="T17" s="41"/>
      <c r="U17" s="50">
        <f t="shared" si="6"/>
        <v>0</v>
      </c>
      <c r="V17" s="50">
        <f t="shared" si="6"/>
        <v>0</v>
      </c>
      <c r="W17" s="39"/>
    </row>
    <row r="18" spans="1:23" s="37" customFormat="1" ht="12" x14ac:dyDescent="0.2">
      <c r="A18" s="45"/>
      <c r="C18" s="49" t="s">
        <v>149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100"/>
      <c r="R18" s="41"/>
      <c r="S18" s="59"/>
      <c r="T18" s="41"/>
      <c r="U18" s="39"/>
      <c r="V18" s="39"/>
      <c r="W18" s="39"/>
    </row>
    <row r="19" spans="1:23" s="37" customFormat="1" ht="12" x14ac:dyDescent="0.2">
      <c r="A19" s="45"/>
      <c r="C19" s="199">
        <v>4500</v>
      </c>
      <c r="D19" s="37" t="s">
        <v>6</v>
      </c>
      <c r="E19" s="362">
        <f>+'FY22'!E19*(1+MYP!$I$8)</f>
        <v>0</v>
      </c>
      <c r="F19" s="362">
        <f>+'FY22'!F19*(1+MYP!$I$8)</f>
        <v>0</v>
      </c>
      <c r="G19" s="362">
        <f>+'FY22'!G19*(1+MYP!$I$8)</f>
        <v>0</v>
      </c>
      <c r="H19" s="362">
        <f>+'FY22'!H19*(1+MYP!$I$8)</f>
        <v>0</v>
      </c>
      <c r="I19" s="362">
        <f>+'FY22'!I19*(1+MYP!$I$8)</f>
        <v>0</v>
      </c>
      <c r="J19" s="362">
        <f>+'FY22'!J19*(1+MYP!$I$8)</f>
        <v>0</v>
      </c>
      <c r="K19" s="362">
        <f>+'FY22'!K19*(1+MYP!$I$8)</f>
        <v>0</v>
      </c>
      <c r="L19" s="362">
        <f>+'FY22'!L19*(1+MYP!$I$8)</f>
        <v>0</v>
      </c>
      <c r="M19" s="362">
        <f>+'FY22'!M19*(1+MYP!$I$8)</f>
        <v>0</v>
      </c>
      <c r="N19" s="362">
        <f>+'FY22'!N19*(1+MYP!$I$8)</f>
        <v>0</v>
      </c>
      <c r="O19" s="362">
        <f>+'FY22'!O19*(1+MYP!$I$8)</f>
        <v>0</v>
      </c>
      <c r="P19" s="362">
        <f>+'FY22'!P19*(1+MYP!$I$8)</f>
        <v>0</v>
      </c>
      <c r="Q19" s="100"/>
      <c r="R19" s="41"/>
      <c r="S19" s="59">
        <f t="shared" si="2"/>
        <v>0</v>
      </c>
      <c r="T19" s="41"/>
      <c r="U19" s="39">
        <f>'FY22'!S19</f>
        <v>0</v>
      </c>
      <c r="V19" s="39">
        <f t="shared" si="1"/>
        <v>0</v>
      </c>
      <c r="W19" s="39"/>
    </row>
    <row r="20" spans="1:23" s="37" customFormat="1" ht="12" x14ac:dyDescent="0.2">
      <c r="A20" s="45"/>
      <c r="C20" s="199">
        <v>4571</v>
      </c>
      <c r="D20" s="37" t="s">
        <v>7</v>
      </c>
      <c r="E20" s="362">
        <f>+'FY22'!E20*(1+MYP!$I$8)</f>
        <v>0</v>
      </c>
      <c r="F20" s="362">
        <f>+'FY22'!F20*(1+MYP!$I$8)</f>
        <v>0</v>
      </c>
      <c r="G20" s="362">
        <f>+'FY22'!G20*(1+MYP!$I$8)</f>
        <v>0</v>
      </c>
      <c r="H20" s="362">
        <f>+'FY22'!H20*(1+MYP!$I$8)</f>
        <v>0</v>
      </c>
      <c r="I20" s="362">
        <f>+'FY22'!I20*(1+MYP!$I$8)</f>
        <v>0</v>
      </c>
      <c r="J20" s="362">
        <f>+'FY22'!J20*(1+MYP!$I$8)</f>
        <v>0</v>
      </c>
      <c r="K20" s="362">
        <f>+'FY22'!K20*(1+MYP!$I$8)</f>
        <v>0</v>
      </c>
      <c r="L20" s="362">
        <f>+'FY22'!L20*(1+MYP!$I$8)</f>
        <v>0</v>
      </c>
      <c r="M20" s="362">
        <f>+'FY22'!M20*(1+MYP!$I$8)</f>
        <v>0</v>
      </c>
      <c r="N20" s="362">
        <f>+'FY22'!N20*(1+MYP!$I$8)</f>
        <v>0</v>
      </c>
      <c r="O20" s="362">
        <f>+'FY22'!O20*(1+MYP!$I$8)</f>
        <v>0</v>
      </c>
      <c r="P20" s="362">
        <f>+'FY22'!P20*(1+MYP!$I$8)</f>
        <v>0</v>
      </c>
      <c r="Q20" s="100"/>
      <c r="R20" s="41"/>
      <c r="S20" s="62">
        <f t="shared" si="2"/>
        <v>0</v>
      </c>
      <c r="T20" s="41"/>
      <c r="U20" s="41">
        <f>'FY22'!S20</f>
        <v>0</v>
      </c>
      <c r="V20" s="41">
        <f t="shared" si="1"/>
        <v>0</v>
      </c>
      <c r="W20" s="39"/>
    </row>
    <row r="21" spans="1:23" s="37" customFormat="1" ht="12" x14ac:dyDescent="0.2">
      <c r="A21" s="45"/>
      <c r="C21" s="38">
        <v>4703</v>
      </c>
      <c r="D21" s="37" t="s">
        <v>186</v>
      </c>
      <c r="E21" s="362">
        <f>+'FY22'!E21*(1+MYP!$I$8)</f>
        <v>0</v>
      </c>
      <c r="F21" s="362">
        <f>+'FY22'!F21*(1+MYP!$I$8)</f>
        <v>0</v>
      </c>
      <c r="G21" s="362">
        <f>+'FY22'!G21*(1+MYP!$I$8)</f>
        <v>0</v>
      </c>
      <c r="H21" s="362">
        <f>+'FY22'!H21*(1+MYP!$I$8)</f>
        <v>0</v>
      </c>
      <c r="I21" s="362">
        <f>+'FY22'!I21*(1+MYP!$I$8)</f>
        <v>0</v>
      </c>
      <c r="J21" s="362">
        <f>+'FY22'!J21*(1+MYP!$I$8)</f>
        <v>0</v>
      </c>
      <c r="K21" s="362">
        <f>+'FY22'!K21*(1+MYP!$I$8)</f>
        <v>0</v>
      </c>
      <c r="L21" s="362">
        <f>+'FY22'!L21*(1+MYP!$I$8)</f>
        <v>0</v>
      </c>
      <c r="M21" s="362">
        <f>+'FY22'!M21*(1+MYP!$I$8)</f>
        <v>0</v>
      </c>
      <c r="N21" s="362">
        <f>+'FY22'!N21*(1+MYP!$I$8)</f>
        <v>0</v>
      </c>
      <c r="O21" s="362">
        <f>+'FY22'!O21*(1+MYP!$I$8)</f>
        <v>0</v>
      </c>
      <c r="P21" s="362">
        <f>+'FY22'!P21*(1+MYP!$I$8)</f>
        <v>0</v>
      </c>
      <c r="Q21" s="100"/>
      <c r="R21" s="41"/>
      <c r="S21" s="62">
        <f t="shared" ref="S21" si="7">SUM(E21:Q21)</f>
        <v>0</v>
      </c>
      <c r="T21" s="41"/>
      <c r="U21" s="41">
        <f>'FY22'!S21</f>
        <v>0</v>
      </c>
      <c r="V21" s="41">
        <f t="shared" ref="V21" si="8">S21-U21</f>
        <v>0</v>
      </c>
      <c r="W21" s="39"/>
    </row>
    <row r="22" spans="1:23" s="37" customFormat="1" ht="12" x14ac:dyDescent="0.2">
      <c r="A22" s="45"/>
      <c r="C22" s="38"/>
      <c r="E22" s="50">
        <f>SUBTOTAL(9,E19:E21)</f>
        <v>0</v>
      </c>
      <c r="F22" s="50">
        <f t="shared" ref="F22:P22" si="9">SUBTOTAL(9,F19:F21)</f>
        <v>0</v>
      </c>
      <c r="G22" s="50">
        <f t="shared" si="9"/>
        <v>0</v>
      </c>
      <c r="H22" s="50">
        <f t="shared" si="9"/>
        <v>0</v>
      </c>
      <c r="I22" s="50">
        <f t="shared" si="9"/>
        <v>0</v>
      </c>
      <c r="J22" s="50">
        <f t="shared" si="9"/>
        <v>0</v>
      </c>
      <c r="K22" s="50">
        <f t="shared" si="9"/>
        <v>0</v>
      </c>
      <c r="L22" s="50">
        <f t="shared" si="9"/>
        <v>0</v>
      </c>
      <c r="M22" s="50">
        <f t="shared" si="9"/>
        <v>0</v>
      </c>
      <c r="N22" s="50">
        <f t="shared" si="9"/>
        <v>0</v>
      </c>
      <c r="O22" s="50">
        <f t="shared" si="9"/>
        <v>0</v>
      </c>
      <c r="P22" s="50">
        <f t="shared" si="9"/>
        <v>0</v>
      </c>
      <c r="Q22" s="99"/>
      <c r="R22" s="41"/>
      <c r="S22" s="61">
        <f>SUBTOTAL(9,S19:S21)</f>
        <v>0</v>
      </c>
      <c r="T22" s="41"/>
      <c r="U22" s="50">
        <f>SUBTOTAL(9,U19:U21)</f>
        <v>0</v>
      </c>
      <c r="V22" s="50">
        <f>SUBTOTAL(9,V19:V21)</f>
        <v>0</v>
      </c>
      <c r="W22" s="39"/>
    </row>
    <row r="23" spans="1:23" s="37" customFormat="1" ht="12" x14ac:dyDescent="0.2">
      <c r="A23" s="45"/>
      <c r="C23" s="49" t="s">
        <v>150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100"/>
      <c r="R23" s="41"/>
      <c r="S23" s="62"/>
      <c r="T23" s="41"/>
      <c r="U23" s="41"/>
      <c r="V23" s="41"/>
      <c r="W23" s="39"/>
    </row>
    <row r="24" spans="1:23" s="37" customFormat="1" ht="12" x14ac:dyDescent="0.2">
      <c r="A24" s="45"/>
      <c r="C24" s="199">
        <v>1790</v>
      </c>
      <c r="D24" s="37" t="s">
        <v>4</v>
      </c>
      <c r="E24" s="362">
        <f>+'FY22'!E24*(1+MYP!$I$8)</f>
        <v>0</v>
      </c>
      <c r="F24" s="362">
        <f>+'FY22'!F24*(1+MYP!$I$8)</f>
        <v>0</v>
      </c>
      <c r="G24" s="362">
        <f>+'FY22'!G24*(1+MYP!$I$8)</f>
        <v>0</v>
      </c>
      <c r="H24" s="362">
        <f>+'FY22'!H24*(1+MYP!$I$8)</f>
        <v>0</v>
      </c>
      <c r="I24" s="362">
        <f>+'FY22'!I24*(1+MYP!$I$8)</f>
        <v>0</v>
      </c>
      <c r="J24" s="362">
        <f>+'FY22'!J24*(1+MYP!$I$8)</f>
        <v>0</v>
      </c>
      <c r="K24" s="362">
        <f>+'FY22'!K24*(1+MYP!$I$8)</f>
        <v>0</v>
      </c>
      <c r="L24" s="362">
        <f>+'FY22'!L24*(1+MYP!$I$8)</f>
        <v>0</v>
      </c>
      <c r="M24" s="362">
        <f>+'FY22'!M24*(1+MYP!$I$8)</f>
        <v>0</v>
      </c>
      <c r="N24" s="362">
        <f>+'FY22'!N24*(1+MYP!$I$8)</f>
        <v>0</v>
      </c>
      <c r="O24" s="362">
        <f>+'FY22'!O24*(1+MYP!$I$8)</f>
        <v>0</v>
      </c>
      <c r="P24" s="362">
        <f>+'FY22'!P24*(1+MYP!$I$8)</f>
        <v>0</v>
      </c>
      <c r="Q24" s="100"/>
      <c r="R24" s="41"/>
      <c r="S24" s="59">
        <f>SUM(E24:Q24)</f>
        <v>0</v>
      </c>
      <c r="T24" s="41"/>
      <c r="U24" s="39">
        <f>'FY22'!S24</f>
        <v>0</v>
      </c>
      <c r="V24" s="39">
        <f>S24-U24</f>
        <v>0</v>
      </c>
      <c r="W24" s="39"/>
    </row>
    <row r="25" spans="1:23" s="37" customFormat="1" ht="12" x14ac:dyDescent="0.2">
      <c r="A25" s="45"/>
      <c r="C25" s="38"/>
      <c r="E25" s="50">
        <f>SUBTOTAL(9,E24)</f>
        <v>0</v>
      </c>
      <c r="F25" s="50">
        <f t="shared" ref="F25:S25" si="10">SUBTOTAL(9,F24)</f>
        <v>0</v>
      </c>
      <c r="G25" s="50">
        <f t="shared" si="10"/>
        <v>0</v>
      </c>
      <c r="H25" s="50">
        <f t="shared" si="10"/>
        <v>0</v>
      </c>
      <c r="I25" s="50">
        <f t="shared" si="10"/>
        <v>0</v>
      </c>
      <c r="J25" s="50">
        <f t="shared" si="10"/>
        <v>0</v>
      </c>
      <c r="K25" s="50">
        <f t="shared" si="10"/>
        <v>0</v>
      </c>
      <c r="L25" s="50">
        <f t="shared" si="10"/>
        <v>0</v>
      </c>
      <c r="M25" s="50">
        <f t="shared" si="10"/>
        <v>0</v>
      </c>
      <c r="N25" s="50">
        <f t="shared" si="10"/>
        <v>0</v>
      </c>
      <c r="O25" s="50">
        <f t="shared" si="10"/>
        <v>0</v>
      </c>
      <c r="P25" s="50">
        <f t="shared" si="10"/>
        <v>0</v>
      </c>
      <c r="Q25" s="99"/>
      <c r="R25" s="41"/>
      <c r="S25" s="61">
        <f t="shared" si="10"/>
        <v>0</v>
      </c>
      <c r="T25" s="41"/>
      <c r="U25" s="50">
        <f t="shared" ref="U25" si="11">SUBTOTAL(9,U24)</f>
        <v>0</v>
      </c>
      <c r="V25" s="50">
        <f t="shared" ref="V25" si="12">SUBTOTAL(9,V24)</f>
        <v>0</v>
      </c>
      <c r="W25" s="39"/>
    </row>
    <row r="26" spans="1:23" s="37" customFormat="1" ht="9" customHeight="1" x14ac:dyDescent="0.2">
      <c r="A26" s="45"/>
      <c r="C26" s="38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100"/>
      <c r="R26" s="41"/>
      <c r="S26" s="59"/>
      <c r="T26" s="41"/>
      <c r="U26" s="39"/>
      <c r="V26" s="39"/>
      <c r="W26" s="39"/>
    </row>
    <row r="27" spans="1:23" s="45" customFormat="1" ht="12" x14ac:dyDescent="0.2">
      <c r="A27" s="45" t="s">
        <v>105</v>
      </c>
      <c r="C27" s="46"/>
      <c r="E27" s="43">
        <f t="shared" ref="E27:P27" si="13">SUBTOTAL(9,E8:E26)</f>
        <v>48879.599999999984</v>
      </c>
      <c r="F27" s="43">
        <f t="shared" si="13"/>
        <v>48879.599999999984</v>
      </c>
      <c r="G27" s="43">
        <f t="shared" si="13"/>
        <v>48879.599999999984</v>
      </c>
      <c r="H27" s="43">
        <f t="shared" si="13"/>
        <v>48879.599999999984</v>
      </c>
      <c r="I27" s="43">
        <f t="shared" si="13"/>
        <v>48879.599999999984</v>
      </c>
      <c r="J27" s="43">
        <f t="shared" si="13"/>
        <v>48879.599999999984</v>
      </c>
      <c r="K27" s="43">
        <f t="shared" si="13"/>
        <v>48879.599999999984</v>
      </c>
      <c r="L27" s="43">
        <f t="shared" si="13"/>
        <v>48879.599999999984</v>
      </c>
      <c r="M27" s="43">
        <f t="shared" si="13"/>
        <v>48879.599999999984</v>
      </c>
      <c r="N27" s="43">
        <f t="shared" si="13"/>
        <v>48879.599999999984</v>
      </c>
      <c r="O27" s="43">
        <f t="shared" si="13"/>
        <v>48879.599999999984</v>
      </c>
      <c r="P27" s="43">
        <f t="shared" si="13"/>
        <v>48879.599999999984</v>
      </c>
      <c r="Q27" s="196"/>
      <c r="R27" s="48"/>
      <c r="S27" s="60">
        <f>SUBTOTAL(9,S8:S26)</f>
        <v>586555.19999999995</v>
      </c>
      <c r="T27" s="48"/>
      <c r="U27" s="43">
        <f>SUBTOTAL(9,U8:U26)</f>
        <v>510047.99999999988</v>
      </c>
      <c r="V27" s="43">
        <f>SUBTOTAL(9,V8:V26)</f>
        <v>76507.20000000007</v>
      </c>
      <c r="W27" s="40"/>
    </row>
    <row r="28" spans="1:23" s="45" customFormat="1" ht="12" x14ac:dyDescent="0.2">
      <c r="C28" s="46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100"/>
      <c r="R28" s="48"/>
      <c r="S28" s="59"/>
      <c r="T28" s="48"/>
      <c r="U28" s="40"/>
      <c r="V28" s="40"/>
      <c r="W28" s="40"/>
    </row>
    <row r="29" spans="1:23" s="37" customFormat="1" ht="12" x14ac:dyDescent="0.2">
      <c r="A29" s="45" t="s">
        <v>59</v>
      </c>
      <c r="C29" s="3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44"/>
      <c r="R29" s="41"/>
      <c r="S29" s="59"/>
      <c r="T29" s="41"/>
      <c r="U29" s="39"/>
      <c r="V29" s="39"/>
      <c r="W29" s="39"/>
    </row>
    <row r="30" spans="1:23" s="37" customFormat="1" ht="12" x14ac:dyDescent="0.2">
      <c r="C30" s="49" t="s">
        <v>8</v>
      </c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44"/>
      <c r="R30" s="41"/>
      <c r="S30" s="59"/>
      <c r="T30" s="41"/>
      <c r="U30" s="39"/>
      <c r="V30" s="39"/>
      <c r="W30" s="39"/>
    </row>
    <row r="31" spans="1:23" s="37" customFormat="1" ht="12" x14ac:dyDescent="0.2">
      <c r="C31" s="199">
        <v>6111</v>
      </c>
      <c r="D31" s="37" t="s">
        <v>192</v>
      </c>
      <c r="E31" s="39">
        <f>+'FY22'!E31*(1+MYP!$I$9)</f>
        <v>6092.7251948999992</v>
      </c>
      <c r="F31" s="39">
        <f>+'FY22'!F31*(1+MYP!$I$9)</f>
        <v>6092.7251948999992</v>
      </c>
      <c r="G31" s="39">
        <f>+'FY22'!G31*(1+MYP!$I$9)</f>
        <v>6092.7251948999992</v>
      </c>
      <c r="H31" s="39">
        <f>+'FY22'!H31*(1+MYP!$I$9)</f>
        <v>6092.7251948999992</v>
      </c>
      <c r="I31" s="39">
        <f>+'FY22'!I31*(1+MYP!$I$9)</f>
        <v>6092.7251948999992</v>
      </c>
      <c r="J31" s="39">
        <f>+'FY22'!J31*(1+MYP!$I$9)</f>
        <v>6092.7251948999992</v>
      </c>
      <c r="K31" s="39">
        <f>+'FY22'!K31*(1+MYP!$I$9)</f>
        <v>6092.7251948999992</v>
      </c>
      <c r="L31" s="39">
        <f>+'FY22'!L31*(1+MYP!$I$9)</f>
        <v>6092.7251948999992</v>
      </c>
      <c r="M31" s="39">
        <f>+'FY22'!M31*(1+MYP!$I$9)</f>
        <v>6092.7251948999992</v>
      </c>
      <c r="N31" s="39">
        <f>+'FY22'!N31*(1+MYP!$I$9)</f>
        <v>6092.7251948999992</v>
      </c>
      <c r="O31" s="39">
        <f>+'FY22'!O31*(1+MYP!$I$9)</f>
        <v>6092.7251948999992</v>
      </c>
      <c r="P31" s="39">
        <f>+'FY22'!P31*(1+MYP!$I$9)</f>
        <v>6092.7251948999992</v>
      </c>
      <c r="Q31" s="100"/>
      <c r="R31" s="41"/>
      <c r="S31" s="59">
        <f t="shared" ref="S31:S40" si="14">SUM(E31:Q31)</f>
        <v>73112.702338799994</v>
      </c>
      <c r="T31" s="41"/>
      <c r="U31" s="39">
        <f>'FY22'!S31</f>
        <v>71679.11993999999</v>
      </c>
      <c r="V31" s="39">
        <f>U31-S31</f>
        <v>-1433.5823988000047</v>
      </c>
      <c r="W31" s="39"/>
    </row>
    <row r="32" spans="1:23" s="37" customFormat="1" ht="12" x14ac:dyDescent="0.2">
      <c r="C32" s="199">
        <v>6114</v>
      </c>
      <c r="D32" s="37" t="s">
        <v>193</v>
      </c>
      <c r="E32" s="39">
        <f>+'FY22'!E32*(1+MYP!$I$9)</f>
        <v>1895.47875</v>
      </c>
      <c r="F32" s="39">
        <f>+'FY22'!F32*(1+MYP!$I$9)</f>
        <v>1895.47875</v>
      </c>
      <c r="G32" s="39">
        <f>+'FY22'!G32*(1+MYP!$I$9)</f>
        <v>1895.47875</v>
      </c>
      <c r="H32" s="39">
        <f>+'FY22'!H32*(1+MYP!$I$9)</f>
        <v>1895.47875</v>
      </c>
      <c r="I32" s="39">
        <f>+'FY22'!I32*(1+MYP!$I$9)</f>
        <v>1895.47875</v>
      </c>
      <c r="J32" s="39">
        <f>+'FY22'!J32*(1+MYP!$I$9)</f>
        <v>1895.47875</v>
      </c>
      <c r="K32" s="39">
        <f>+'FY22'!K32*(1+MYP!$I$9)</f>
        <v>1895.47875</v>
      </c>
      <c r="L32" s="39">
        <f>+'FY22'!L32*(1+MYP!$I$9)</f>
        <v>1895.47875</v>
      </c>
      <c r="M32" s="39">
        <f>+'FY22'!M32*(1+MYP!$I$9)</f>
        <v>1895.47875</v>
      </c>
      <c r="N32" s="39">
        <f>+'FY22'!N32*(1+MYP!$I$9)</f>
        <v>1895.47875</v>
      </c>
      <c r="O32" s="39">
        <f>+'FY22'!O32*(1+MYP!$I$9)</f>
        <v>1895.47875</v>
      </c>
      <c r="P32" s="39">
        <f>+'FY22'!P32*(1+MYP!$I$9)</f>
        <v>1895.47875</v>
      </c>
      <c r="Q32" s="100"/>
      <c r="R32" s="41"/>
      <c r="S32" s="59">
        <f t="shared" si="14"/>
        <v>22745.744999999995</v>
      </c>
      <c r="T32" s="41"/>
      <c r="U32" s="39">
        <f>'FY22'!S32</f>
        <v>22299.75</v>
      </c>
      <c r="V32" s="39">
        <f t="shared" ref="V32:V40" si="15">U32-S32</f>
        <v>-445.99499999999534</v>
      </c>
      <c r="W32" s="39"/>
    </row>
    <row r="33" spans="3:23" s="37" customFormat="1" ht="12" x14ac:dyDescent="0.2">
      <c r="C33" s="199">
        <v>6117</v>
      </c>
      <c r="D33" s="37" t="s">
        <v>229</v>
      </c>
      <c r="E33" s="39">
        <f>+'FY22'!E33*(1+MYP!$I$9)</f>
        <v>3495.8259315</v>
      </c>
      <c r="F33" s="39">
        <f>+'FY22'!F33*(1+MYP!$I$9)</f>
        <v>3495.8259315</v>
      </c>
      <c r="G33" s="39">
        <f>+'FY22'!G33*(1+MYP!$I$9)</f>
        <v>3495.8259315</v>
      </c>
      <c r="H33" s="39">
        <f>+'FY22'!H33*(1+MYP!$I$9)</f>
        <v>3495.8259315</v>
      </c>
      <c r="I33" s="39">
        <f>+'FY22'!I33*(1+MYP!$I$9)</f>
        <v>3495.8259315</v>
      </c>
      <c r="J33" s="39">
        <f>+'FY22'!J33*(1+MYP!$I$9)</f>
        <v>3495.8259315</v>
      </c>
      <c r="K33" s="39">
        <f>+'FY22'!K33*(1+MYP!$I$9)</f>
        <v>3495.8259315</v>
      </c>
      <c r="L33" s="39">
        <f>+'FY22'!L33*(1+MYP!$I$9)</f>
        <v>3495.8259315</v>
      </c>
      <c r="M33" s="39">
        <f>+'FY22'!M33*(1+MYP!$I$9)</f>
        <v>3495.8259315</v>
      </c>
      <c r="N33" s="39">
        <f>+'FY22'!N33*(1+MYP!$I$9)</f>
        <v>3495.8259315</v>
      </c>
      <c r="O33" s="39">
        <f>+'FY22'!O33*(1+MYP!$I$9)</f>
        <v>3495.8259315</v>
      </c>
      <c r="P33" s="39">
        <f>+'FY22'!P33*(1+MYP!$I$9)</f>
        <v>3495.8259315</v>
      </c>
      <c r="Q33" s="100"/>
      <c r="R33" s="41"/>
      <c r="S33" s="59">
        <f t="shared" si="14"/>
        <v>41949.911178000009</v>
      </c>
      <c r="T33" s="41"/>
      <c r="U33" s="39">
        <f>'FY22'!S33</f>
        <v>41127.363900000004</v>
      </c>
      <c r="V33" s="39">
        <f t="shared" si="15"/>
        <v>-822.54727800000546</v>
      </c>
      <c r="W33" s="39"/>
    </row>
    <row r="34" spans="3:23" s="37" customFormat="1" ht="12" x14ac:dyDescent="0.2">
      <c r="C34" s="199">
        <v>6127</v>
      </c>
      <c r="D34" s="37" t="s">
        <v>230</v>
      </c>
      <c r="E34" s="39">
        <f>+'FY22'!E34*(1+MYP!$I$9)</f>
        <v>901.68000000000006</v>
      </c>
      <c r="F34" s="39">
        <f>+'FY22'!F34*(1+MYP!$I$9)</f>
        <v>901.68000000000006</v>
      </c>
      <c r="G34" s="39">
        <f>+'FY22'!G34*(1+MYP!$I$9)</f>
        <v>901.68000000000006</v>
      </c>
      <c r="H34" s="39">
        <f>+'FY22'!H34*(1+MYP!$I$9)</f>
        <v>901.68000000000006</v>
      </c>
      <c r="I34" s="39">
        <f>+'FY22'!I34*(1+MYP!$I$9)</f>
        <v>901.68000000000006</v>
      </c>
      <c r="J34" s="39">
        <f>+'FY22'!J34*(1+MYP!$I$9)</f>
        <v>901.68000000000006</v>
      </c>
      <c r="K34" s="39">
        <f>+'FY22'!K34*(1+MYP!$I$9)</f>
        <v>901.68000000000006</v>
      </c>
      <c r="L34" s="39">
        <f>+'FY22'!L34*(1+MYP!$I$9)</f>
        <v>901.68000000000006</v>
      </c>
      <c r="M34" s="39">
        <f>+'FY22'!M34*(1+MYP!$I$9)</f>
        <v>901.68000000000006</v>
      </c>
      <c r="N34" s="39">
        <f>+'FY22'!N34*(1+MYP!$I$9)</f>
        <v>901.68000000000006</v>
      </c>
      <c r="O34" s="39">
        <f>+'FY22'!O34*(1+MYP!$I$9)</f>
        <v>901.68000000000006</v>
      </c>
      <c r="P34" s="39">
        <f>+'FY22'!P34*(1+MYP!$I$9)</f>
        <v>901.68000000000006</v>
      </c>
      <c r="Q34" s="100"/>
      <c r="R34" s="41"/>
      <c r="S34" s="59">
        <f t="shared" si="14"/>
        <v>10820.160000000002</v>
      </c>
      <c r="T34" s="41"/>
      <c r="U34" s="39">
        <f>'FY22'!S34</f>
        <v>10608</v>
      </c>
      <c r="V34" s="39">
        <f t="shared" si="15"/>
        <v>-212.16000000000167</v>
      </c>
      <c r="W34" s="39"/>
    </row>
    <row r="35" spans="3:23" s="37" customFormat="1" ht="12" x14ac:dyDescent="0.2">
      <c r="C35" s="199">
        <v>6151</v>
      </c>
      <c r="D35" s="37" t="s">
        <v>190</v>
      </c>
      <c r="E35" s="39">
        <f>+'FY22'!E35*(1+MYP!$I$9)</f>
        <v>0</v>
      </c>
      <c r="F35" s="39">
        <f>+'FY22'!F35*(1+MYP!$I$9)</f>
        <v>873.93600000000004</v>
      </c>
      <c r="G35" s="39">
        <f>+'FY22'!G35*(1+MYP!$I$9)</f>
        <v>873.93600000000004</v>
      </c>
      <c r="H35" s="39">
        <f>+'FY22'!H35*(1+MYP!$I$9)</f>
        <v>873.93600000000004</v>
      </c>
      <c r="I35" s="39">
        <f>+'FY22'!I35*(1+MYP!$I$9)</f>
        <v>0</v>
      </c>
      <c r="J35" s="39">
        <f>+'FY22'!J35*(1+MYP!$I$9)</f>
        <v>0</v>
      </c>
      <c r="K35" s="39">
        <f>+'FY22'!K35*(1+MYP!$I$9)</f>
        <v>0</v>
      </c>
      <c r="L35" s="39">
        <f>+'FY22'!L35*(1+MYP!$I$9)</f>
        <v>873.93600000000004</v>
      </c>
      <c r="M35" s="39">
        <f>+'FY22'!M35*(1+MYP!$I$9)</f>
        <v>873.93600000000004</v>
      </c>
      <c r="N35" s="39">
        <f>+'FY22'!N35*(1+MYP!$I$9)</f>
        <v>0</v>
      </c>
      <c r="O35" s="39">
        <f>+'FY22'!O35*(1+MYP!$I$9)</f>
        <v>0</v>
      </c>
      <c r="P35" s="39">
        <f>+'FY22'!P35*(1+MYP!$I$9)</f>
        <v>0</v>
      </c>
      <c r="Q35" s="100"/>
      <c r="R35" s="41"/>
      <c r="S35" s="59">
        <f t="shared" si="14"/>
        <v>4369.68</v>
      </c>
      <c r="T35" s="41"/>
      <c r="U35" s="39">
        <f>'FY22'!S35</f>
        <v>4284</v>
      </c>
      <c r="V35" s="39">
        <f t="shared" si="15"/>
        <v>-85.680000000000291</v>
      </c>
      <c r="W35" s="39"/>
    </row>
    <row r="36" spans="3:23" s="37" customFormat="1" ht="12" x14ac:dyDescent="0.2">
      <c r="C36" s="199">
        <v>6154</v>
      </c>
      <c r="D36" s="37" t="s">
        <v>191</v>
      </c>
      <c r="E36" s="39">
        <f>+'FY22'!E36*(1+MYP!$I$9)</f>
        <v>0</v>
      </c>
      <c r="F36" s="39">
        <f>+'FY22'!F36*(1+MYP!$I$9)</f>
        <v>0</v>
      </c>
      <c r="G36" s="39">
        <f>+'FY22'!G36*(1+MYP!$I$9)</f>
        <v>0</v>
      </c>
      <c r="H36" s="39">
        <f>+'FY22'!H36*(1+MYP!$I$9)</f>
        <v>0</v>
      </c>
      <c r="I36" s="39">
        <f>+'FY22'!I36*(1+MYP!$I$9)</f>
        <v>0</v>
      </c>
      <c r="J36" s="39">
        <f>+'FY22'!J36*(1+MYP!$I$9)</f>
        <v>0</v>
      </c>
      <c r="K36" s="39">
        <f>+'FY22'!K36*(1+MYP!$I$9)</f>
        <v>0</v>
      </c>
      <c r="L36" s="39">
        <f>+'FY22'!L36*(1+MYP!$I$9)</f>
        <v>0</v>
      </c>
      <c r="M36" s="39">
        <f>+'FY22'!M36*(1+MYP!$I$9)</f>
        <v>873.93600000000004</v>
      </c>
      <c r="N36" s="39">
        <f>+'FY22'!N36*(1+MYP!$I$9)</f>
        <v>0</v>
      </c>
      <c r="O36" s="39">
        <f>+'FY22'!O36*(1+MYP!$I$9)</f>
        <v>0</v>
      </c>
      <c r="P36" s="39">
        <f>+'FY22'!P36*(1+MYP!$I$9)</f>
        <v>780.30000000000007</v>
      </c>
      <c r="Q36" s="100"/>
      <c r="R36" s="41"/>
      <c r="S36" s="59">
        <f t="shared" si="14"/>
        <v>1654.2360000000001</v>
      </c>
      <c r="T36" s="41"/>
      <c r="U36" s="39">
        <f>'FY22'!S36</f>
        <v>1621.8000000000002</v>
      </c>
      <c r="V36" s="39">
        <f t="shared" si="15"/>
        <v>-32.435999999999922</v>
      </c>
      <c r="W36" s="39"/>
    </row>
    <row r="37" spans="3:23" s="37" customFormat="1" ht="12" x14ac:dyDescent="0.2">
      <c r="C37" s="199">
        <v>6157</v>
      </c>
      <c r="D37" s="37" t="s">
        <v>231</v>
      </c>
      <c r="E37" s="39">
        <f>+'FY22'!E37*(1+MYP!$I$9)</f>
        <v>0</v>
      </c>
      <c r="F37" s="39">
        <f>+'FY22'!F37*(1+MYP!$I$9)</f>
        <v>780.30000000000007</v>
      </c>
      <c r="G37" s="39">
        <f>+'FY22'!G37*(1+MYP!$I$9)</f>
        <v>780.30000000000007</v>
      </c>
      <c r="H37" s="39">
        <f>+'FY22'!H37*(1+MYP!$I$9)</f>
        <v>0</v>
      </c>
      <c r="I37" s="39">
        <f>+'FY22'!I37*(1+MYP!$I$9)</f>
        <v>0</v>
      </c>
      <c r="J37" s="39">
        <f>+'FY22'!J37*(1+MYP!$I$9)</f>
        <v>0</v>
      </c>
      <c r="K37" s="39">
        <f>+'FY22'!K37*(1+MYP!$I$9)</f>
        <v>780.30000000000007</v>
      </c>
      <c r="L37" s="39">
        <f>+'FY22'!L37*(1+MYP!$I$9)</f>
        <v>780.30000000000007</v>
      </c>
      <c r="M37" s="39">
        <f>+'FY22'!M37*(1+MYP!$I$9)</f>
        <v>0</v>
      </c>
      <c r="N37" s="39">
        <f>+'FY22'!N37*(1+MYP!$I$9)</f>
        <v>0</v>
      </c>
      <c r="O37" s="39">
        <f>+'FY22'!O37*(1+MYP!$I$9)</f>
        <v>0</v>
      </c>
      <c r="P37" s="39">
        <f>+'FY22'!P37*(1+MYP!$I$9)</f>
        <v>0</v>
      </c>
      <c r="Q37" s="100"/>
      <c r="R37" s="41"/>
      <c r="S37" s="59">
        <f t="shared" si="14"/>
        <v>3121.2000000000003</v>
      </c>
      <c r="T37" s="41"/>
      <c r="U37" s="39">
        <f>'FY22'!S37</f>
        <v>3060</v>
      </c>
      <c r="V37" s="39">
        <f t="shared" si="15"/>
        <v>-61.200000000000273</v>
      </c>
      <c r="W37" s="39"/>
    </row>
    <row r="38" spans="3:23" s="37" customFormat="1" ht="12" x14ac:dyDescent="0.2">
      <c r="C38" s="199">
        <v>6161</v>
      </c>
      <c r="D38" s="37" t="s">
        <v>97</v>
      </c>
      <c r="E38" s="39">
        <f>+'FY22'!E38*(1+MYP!$I$9)</f>
        <v>0</v>
      </c>
      <c r="F38" s="39">
        <f>+'FY22'!F38*(1+MYP!$I$9)</f>
        <v>0</v>
      </c>
      <c r="G38" s="39">
        <f>+'FY22'!G38*(1+MYP!$I$9)</f>
        <v>0</v>
      </c>
      <c r="H38" s="39">
        <f>+'FY22'!H38*(1+MYP!$I$9)</f>
        <v>0</v>
      </c>
      <c r="I38" s="39">
        <f>+'FY22'!I38*(1+MYP!$I$9)</f>
        <v>0</v>
      </c>
      <c r="J38" s="39">
        <f>+'FY22'!J38*(1+MYP!$I$9)</f>
        <v>0</v>
      </c>
      <c r="K38" s="39">
        <f>+'FY22'!K38*(1+MYP!$I$9)</f>
        <v>0</v>
      </c>
      <c r="L38" s="39">
        <f>+'FY22'!L38*(1+MYP!$I$9)</f>
        <v>0</v>
      </c>
      <c r="M38" s="39">
        <f>+'FY22'!M38*(1+MYP!$I$9)</f>
        <v>0</v>
      </c>
      <c r="N38" s="39">
        <f>+'FY22'!N38*(1+MYP!$I$9)</f>
        <v>0</v>
      </c>
      <c r="O38" s="39">
        <f>+'FY22'!O38*(1+MYP!$I$9)</f>
        <v>0</v>
      </c>
      <c r="P38" s="39">
        <f>+'FY22'!P38*(1+MYP!$I$9)</f>
        <v>0</v>
      </c>
      <c r="Q38" s="100"/>
      <c r="R38" s="41"/>
      <c r="S38" s="59">
        <f t="shared" si="14"/>
        <v>0</v>
      </c>
      <c r="T38" s="41"/>
      <c r="U38" s="39">
        <f>'FY22'!S38</f>
        <v>0</v>
      </c>
      <c r="V38" s="39">
        <f t="shared" si="15"/>
        <v>0</v>
      </c>
      <c r="W38" s="39"/>
    </row>
    <row r="39" spans="3:23" s="37" customFormat="1" ht="12" x14ac:dyDescent="0.2">
      <c r="C39" s="199">
        <v>6164</v>
      </c>
      <c r="D39" s="37" t="s">
        <v>98</v>
      </c>
      <c r="E39" s="39">
        <f>+'FY22'!E39*(1+MYP!$I$9)</f>
        <v>0</v>
      </c>
      <c r="F39" s="39">
        <f>+'FY22'!F39*(1+MYP!$I$9)</f>
        <v>0</v>
      </c>
      <c r="G39" s="39">
        <f>+'FY22'!G39*(1+MYP!$I$9)</f>
        <v>0</v>
      </c>
      <c r="H39" s="39">
        <f>+'FY22'!H39*(1+MYP!$I$9)</f>
        <v>0</v>
      </c>
      <c r="I39" s="39">
        <f>+'FY22'!I39*(1+MYP!$I$9)</f>
        <v>0</v>
      </c>
      <c r="J39" s="39">
        <f>+'FY22'!J39*(1+MYP!$I$9)</f>
        <v>0</v>
      </c>
      <c r="K39" s="39">
        <f>+'FY22'!K39*(1+MYP!$I$9)</f>
        <v>0</v>
      </c>
      <c r="L39" s="39">
        <f>+'FY22'!L39*(1+MYP!$I$9)</f>
        <v>0</v>
      </c>
      <c r="M39" s="39">
        <f>+'FY22'!M39*(1+MYP!$I$9)</f>
        <v>0</v>
      </c>
      <c r="N39" s="39">
        <f>+'FY22'!N39*(1+MYP!$I$9)</f>
        <v>0</v>
      </c>
      <c r="O39" s="39">
        <f>+'FY22'!O39*(1+MYP!$I$9)</f>
        <v>0</v>
      </c>
      <c r="P39" s="39">
        <f>+'FY22'!P39*(1+MYP!$I$9)</f>
        <v>0</v>
      </c>
      <c r="Q39" s="100"/>
      <c r="R39" s="41"/>
      <c r="S39" s="59">
        <f t="shared" si="14"/>
        <v>0</v>
      </c>
      <c r="T39" s="41"/>
      <c r="U39" s="39">
        <f>'FY22'!S39</f>
        <v>0</v>
      </c>
      <c r="V39" s="39">
        <f t="shared" si="15"/>
        <v>0</v>
      </c>
      <c r="W39" s="39"/>
    </row>
    <row r="40" spans="3:23" s="37" customFormat="1" ht="12" x14ac:dyDescent="0.2">
      <c r="C40" s="199">
        <v>6167</v>
      </c>
      <c r="D40" s="37" t="s">
        <v>232</v>
      </c>
      <c r="E40" s="39">
        <f>+'FY22'!E40*(1+MYP!$I$9)</f>
        <v>0</v>
      </c>
      <c r="F40" s="39">
        <f>+'FY22'!F40*(1+MYP!$I$9)</f>
        <v>0</v>
      </c>
      <c r="G40" s="39">
        <f>+'FY22'!G40*(1+MYP!$I$9)</f>
        <v>0</v>
      </c>
      <c r="H40" s="39">
        <f>+'FY22'!H40*(1+MYP!$I$9)</f>
        <v>0</v>
      </c>
      <c r="I40" s="39">
        <f>+'FY22'!I40*(1+MYP!$I$9)</f>
        <v>0</v>
      </c>
      <c r="J40" s="39">
        <f>+'FY22'!J40*(1+MYP!$I$9)</f>
        <v>0</v>
      </c>
      <c r="K40" s="39">
        <f>+'FY22'!K40*(1+MYP!$I$9)</f>
        <v>0</v>
      </c>
      <c r="L40" s="39">
        <f>+'FY22'!L40*(1+MYP!$I$9)</f>
        <v>0</v>
      </c>
      <c r="M40" s="39">
        <f>+'FY22'!M40*(1+MYP!$I$9)</f>
        <v>0</v>
      </c>
      <c r="N40" s="39">
        <f>+'FY22'!N40*(1+MYP!$I$9)</f>
        <v>0</v>
      </c>
      <c r="O40" s="39">
        <f>+'FY22'!O40*(1+MYP!$I$9)</f>
        <v>0</v>
      </c>
      <c r="P40" s="39">
        <f>+'FY22'!P40*(1+MYP!$I$9)</f>
        <v>0</v>
      </c>
      <c r="Q40" s="100"/>
      <c r="R40" s="41"/>
      <c r="S40" s="59">
        <f t="shared" si="14"/>
        <v>0</v>
      </c>
      <c r="T40" s="41"/>
      <c r="U40" s="39">
        <f>'FY22'!S40</f>
        <v>0</v>
      </c>
      <c r="V40" s="39">
        <f t="shared" si="15"/>
        <v>0</v>
      </c>
      <c r="W40" s="39"/>
    </row>
    <row r="41" spans="3:23" s="37" customFormat="1" ht="12" x14ac:dyDescent="0.2">
      <c r="C41" s="38"/>
      <c r="E41" s="50">
        <f t="shared" ref="E41:P41" si="16">SUBTOTAL(9,E31:E40)</f>
        <v>12385.7098764</v>
      </c>
      <c r="F41" s="50">
        <f t="shared" si="16"/>
        <v>14039.945876399999</v>
      </c>
      <c r="G41" s="50">
        <f t="shared" si="16"/>
        <v>14039.945876399999</v>
      </c>
      <c r="H41" s="50">
        <f t="shared" si="16"/>
        <v>13259.6458764</v>
      </c>
      <c r="I41" s="50">
        <f t="shared" si="16"/>
        <v>12385.7098764</v>
      </c>
      <c r="J41" s="50">
        <f t="shared" si="16"/>
        <v>12385.7098764</v>
      </c>
      <c r="K41" s="50">
        <f t="shared" si="16"/>
        <v>13166.009876399999</v>
      </c>
      <c r="L41" s="50">
        <f t="shared" si="16"/>
        <v>14039.945876399999</v>
      </c>
      <c r="M41" s="50">
        <f t="shared" si="16"/>
        <v>14133.5818764</v>
      </c>
      <c r="N41" s="50">
        <f t="shared" si="16"/>
        <v>12385.7098764</v>
      </c>
      <c r="O41" s="50">
        <f t="shared" si="16"/>
        <v>12385.7098764</v>
      </c>
      <c r="P41" s="50">
        <f t="shared" si="16"/>
        <v>13166.009876399999</v>
      </c>
      <c r="Q41" s="51"/>
      <c r="R41" s="41"/>
      <c r="S41" s="61">
        <f>SUBTOTAL(9,S31:S40)</f>
        <v>157773.6345168</v>
      </c>
      <c r="T41" s="41"/>
      <c r="U41" s="50">
        <f>SUBTOTAL(9,U31:U40)</f>
        <v>154680.03383999999</v>
      </c>
      <c r="V41" s="50">
        <f>SUBTOTAL(9,V31:V40)</f>
        <v>-3093.6006768000075</v>
      </c>
      <c r="W41" s="39"/>
    </row>
    <row r="42" spans="3:23" s="37" customFormat="1" ht="12" x14ac:dyDescent="0.2">
      <c r="C42" s="49" t="s">
        <v>99</v>
      </c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44"/>
      <c r="R42" s="41"/>
      <c r="S42" s="59"/>
      <c r="T42" s="41"/>
      <c r="U42" s="39"/>
      <c r="V42" s="39"/>
      <c r="W42" s="39"/>
    </row>
    <row r="43" spans="3:23" s="37" customFormat="1" ht="12" x14ac:dyDescent="0.2">
      <c r="C43" s="199">
        <v>6211</v>
      </c>
      <c r="D43" s="37" t="s">
        <v>199</v>
      </c>
      <c r="E43" s="39">
        <f>+'FY22'!E43*(1+MYP!$I$9)</f>
        <v>38.494800000000005</v>
      </c>
      <c r="F43" s="39">
        <f>+'FY22'!F43*(1+MYP!$I$9)</f>
        <v>38.494800000000005</v>
      </c>
      <c r="G43" s="39">
        <f>+'FY22'!G43*(1+MYP!$I$9)</f>
        <v>38.494800000000005</v>
      </c>
      <c r="H43" s="39">
        <f>+'FY22'!H43*(1+MYP!$I$9)</f>
        <v>38.494800000000005</v>
      </c>
      <c r="I43" s="39">
        <f>+'FY22'!I43*(1+MYP!$I$9)</f>
        <v>38.494800000000005</v>
      </c>
      <c r="J43" s="39">
        <f>+'FY22'!J43*(1+MYP!$I$9)</f>
        <v>38.494800000000005</v>
      </c>
      <c r="K43" s="39">
        <f>+'FY22'!K43*(1+MYP!$I$9)</f>
        <v>38.494800000000005</v>
      </c>
      <c r="L43" s="39">
        <f>+'FY22'!L43*(1+MYP!$I$9)</f>
        <v>38.494800000000005</v>
      </c>
      <c r="M43" s="39">
        <f>+'FY22'!M43*(1+MYP!$I$9)</f>
        <v>38.494800000000005</v>
      </c>
      <c r="N43" s="39">
        <f>+'FY22'!N43*(1+MYP!$I$9)</f>
        <v>38.494800000000005</v>
      </c>
      <c r="O43" s="39">
        <f>+'FY22'!O43*(1+MYP!$I$9)</f>
        <v>38.494800000000005</v>
      </c>
      <c r="P43" s="39">
        <f>+'FY22'!P43*(1+MYP!$I$9)</f>
        <v>38.494800000000005</v>
      </c>
      <c r="Q43" s="36"/>
      <c r="R43" s="41"/>
      <c r="S43" s="59">
        <f t="shared" ref="S43:S61" si="17">SUM(E43:Q43)</f>
        <v>461.93760000000003</v>
      </c>
      <c r="T43" s="41"/>
      <c r="U43" s="39">
        <f>'FY22'!S43</f>
        <v>452.88000000000005</v>
      </c>
      <c r="V43" s="39">
        <f t="shared" ref="V43:V61" si="18">U43-S43</f>
        <v>-9.0575999999999794</v>
      </c>
      <c r="W43" s="39"/>
    </row>
    <row r="44" spans="3:23" s="37" customFormat="1" ht="12" x14ac:dyDescent="0.2">
      <c r="C44" s="199">
        <v>6214</v>
      </c>
      <c r="D44" s="37" t="s">
        <v>200</v>
      </c>
      <c r="E44" s="39">
        <f>+'FY22'!E44*(1+MYP!$I$9)</f>
        <v>9.6237000000000013</v>
      </c>
      <c r="F44" s="39">
        <f>+'FY22'!F44*(1+MYP!$I$9)</f>
        <v>9.6237000000000013</v>
      </c>
      <c r="G44" s="39">
        <f>+'FY22'!G44*(1+MYP!$I$9)</f>
        <v>9.6237000000000013</v>
      </c>
      <c r="H44" s="39">
        <f>+'FY22'!H44*(1+MYP!$I$9)</f>
        <v>9.6237000000000013</v>
      </c>
      <c r="I44" s="39">
        <f>+'FY22'!I44*(1+MYP!$I$9)</f>
        <v>9.6237000000000013</v>
      </c>
      <c r="J44" s="39">
        <f>+'FY22'!J44*(1+MYP!$I$9)</f>
        <v>9.6237000000000013</v>
      </c>
      <c r="K44" s="39">
        <f>+'FY22'!K44*(1+MYP!$I$9)</f>
        <v>9.6237000000000013</v>
      </c>
      <c r="L44" s="39">
        <f>+'FY22'!L44*(1+MYP!$I$9)</f>
        <v>9.6237000000000013</v>
      </c>
      <c r="M44" s="39">
        <f>+'FY22'!M44*(1+MYP!$I$9)</f>
        <v>9.6237000000000013</v>
      </c>
      <c r="N44" s="39">
        <f>+'FY22'!N44*(1+MYP!$I$9)</f>
        <v>9.6237000000000013</v>
      </c>
      <c r="O44" s="39">
        <f>+'FY22'!O44*(1+MYP!$I$9)</f>
        <v>9.6237000000000013</v>
      </c>
      <c r="P44" s="39">
        <f>+'FY22'!P44*(1+MYP!$I$9)</f>
        <v>9.6237000000000013</v>
      </c>
      <c r="Q44" s="36"/>
      <c r="R44" s="41"/>
      <c r="S44" s="59">
        <f t="shared" si="17"/>
        <v>115.48440000000001</v>
      </c>
      <c r="T44" s="41"/>
      <c r="U44" s="39">
        <f>'FY22'!S44</f>
        <v>113.22000000000001</v>
      </c>
      <c r="V44" s="39">
        <f t="shared" si="18"/>
        <v>-2.2643999999999949</v>
      </c>
      <c r="W44" s="39"/>
    </row>
    <row r="45" spans="3:23" s="37" customFormat="1" ht="12" x14ac:dyDescent="0.2">
      <c r="C45" s="199">
        <v>6217</v>
      </c>
      <c r="D45" s="37" t="s">
        <v>223</v>
      </c>
      <c r="E45" s="39">
        <f>+'FY22'!E45*(1+MYP!$I$9)</f>
        <v>38.494800000000005</v>
      </c>
      <c r="F45" s="39">
        <f>+'FY22'!F45*(1+MYP!$I$9)</f>
        <v>38.494800000000005</v>
      </c>
      <c r="G45" s="39">
        <f>+'FY22'!G45*(1+MYP!$I$9)</f>
        <v>38.494800000000005</v>
      </c>
      <c r="H45" s="39">
        <f>+'FY22'!H45*(1+MYP!$I$9)</f>
        <v>38.494800000000005</v>
      </c>
      <c r="I45" s="39">
        <f>+'FY22'!I45*(1+MYP!$I$9)</f>
        <v>38.494800000000005</v>
      </c>
      <c r="J45" s="39">
        <f>+'FY22'!J45*(1+MYP!$I$9)</f>
        <v>38.494800000000005</v>
      </c>
      <c r="K45" s="39">
        <f>+'FY22'!K45*(1+MYP!$I$9)</f>
        <v>38.494800000000005</v>
      </c>
      <c r="L45" s="39">
        <f>+'FY22'!L45*(1+MYP!$I$9)</f>
        <v>38.494800000000005</v>
      </c>
      <c r="M45" s="39">
        <f>+'FY22'!M45*(1+MYP!$I$9)</f>
        <v>38.494800000000005</v>
      </c>
      <c r="N45" s="39">
        <f>+'FY22'!N45*(1+MYP!$I$9)</f>
        <v>38.494800000000005</v>
      </c>
      <c r="O45" s="39">
        <f>+'FY22'!O45*(1+MYP!$I$9)</f>
        <v>38.494800000000005</v>
      </c>
      <c r="P45" s="39">
        <f>+'FY22'!P45*(1+MYP!$I$9)</f>
        <v>38.494800000000005</v>
      </c>
      <c r="Q45" s="36"/>
      <c r="R45" s="41"/>
      <c r="S45" s="59">
        <f t="shared" si="17"/>
        <v>461.93760000000003</v>
      </c>
      <c r="T45" s="41"/>
      <c r="U45" s="39">
        <f>'FY22'!S45</f>
        <v>452.88000000000005</v>
      </c>
      <c r="V45" s="39">
        <f t="shared" si="18"/>
        <v>-9.0575999999999794</v>
      </c>
      <c r="W45" s="39"/>
    </row>
    <row r="46" spans="3:23" s="37" customFormat="1" ht="12" x14ac:dyDescent="0.2">
      <c r="C46" s="199">
        <v>6227</v>
      </c>
      <c r="D46" s="37" t="s">
        <v>222</v>
      </c>
      <c r="E46" s="39">
        <f>+'FY22'!E46*(1+MYP!$I$9)</f>
        <v>55.90415999999999</v>
      </c>
      <c r="F46" s="39">
        <f>+'FY22'!F46*(1+MYP!$I$9)</f>
        <v>55.90415999999999</v>
      </c>
      <c r="G46" s="39">
        <f>+'FY22'!G46*(1+MYP!$I$9)</f>
        <v>55.90415999999999</v>
      </c>
      <c r="H46" s="39">
        <f>+'FY22'!H46*(1+MYP!$I$9)</f>
        <v>55.90415999999999</v>
      </c>
      <c r="I46" s="39">
        <f>+'FY22'!I46*(1+MYP!$I$9)</f>
        <v>55.90415999999999</v>
      </c>
      <c r="J46" s="39">
        <f>+'FY22'!J46*(1+MYP!$I$9)</f>
        <v>55.90415999999999</v>
      </c>
      <c r="K46" s="39">
        <f>+'FY22'!K46*(1+MYP!$I$9)</f>
        <v>55.90415999999999</v>
      </c>
      <c r="L46" s="39">
        <f>+'FY22'!L46*(1+MYP!$I$9)</f>
        <v>55.90415999999999</v>
      </c>
      <c r="M46" s="39">
        <f>+'FY22'!M46*(1+MYP!$I$9)</f>
        <v>55.90415999999999</v>
      </c>
      <c r="N46" s="39">
        <f>+'FY22'!N46*(1+MYP!$I$9)</f>
        <v>55.90415999999999</v>
      </c>
      <c r="O46" s="39">
        <f>+'FY22'!O46*(1+MYP!$I$9)</f>
        <v>55.90415999999999</v>
      </c>
      <c r="P46" s="39">
        <f>+'FY22'!P46*(1+MYP!$I$9)</f>
        <v>55.90415999999999</v>
      </c>
      <c r="Q46" s="36"/>
      <c r="R46" s="41"/>
      <c r="S46" s="59">
        <f t="shared" si="17"/>
        <v>670.84991999999988</v>
      </c>
      <c r="T46" s="41"/>
      <c r="U46" s="39">
        <f>'FY22'!S46</f>
        <v>657.69599999999991</v>
      </c>
      <c r="V46" s="39">
        <f t="shared" si="18"/>
        <v>-13.153919999999971</v>
      </c>
      <c r="W46" s="39"/>
    </row>
    <row r="47" spans="3:23" s="37" customFormat="1" ht="12" x14ac:dyDescent="0.2">
      <c r="C47" s="199">
        <v>6231</v>
      </c>
      <c r="D47" s="37" t="s">
        <v>206</v>
      </c>
      <c r="E47" s="39">
        <f>+'FY22'!E47*(1+MYP!$I$9)</f>
        <v>929.14059222225001</v>
      </c>
      <c r="F47" s="39">
        <f>+'FY22'!F47*(1+MYP!$I$9)</f>
        <v>929.14059222225001</v>
      </c>
      <c r="G47" s="39">
        <f>+'FY22'!G47*(1+MYP!$I$9)</f>
        <v>929.14059222225001</v>
      </c>
      <c r="H47" s="39">
        <f>+'FY22'!H47*(1+MYP!$I$9)</f>
        <v>929.14059222225001</v>
      </c>
      <c r="I47" s="39">
        <f>+'FY22'!I47*(1+MYP!$I$9)</f>
        <v>929.14059222225001</v>
      </c>
      <c r="J47" s="39">
        <f>+'FY22'!J47*(1+MYP!$I$9)</f>
        <v>929.14059222225001</v>
      </c>
      <c r="K47" s="39">
        <f>+'FY22'!K47*(1+MYP!$I$9)</f>
        <v>929.14059222225001</v>
      </c>
      <c r="L47" s="39">
        <f>+'FY22'!L47*(1+MYP!$I$9)</f>
        <v>929.14059222225001</v>
      </c>
      <c r="M47" s="39">
        <f>+'FY22'!M47*(1+MYP!$I$9)</f>
        <v>929.14059222225001</v>
      </c>
      <c r="N47" s="39">
        <f>+'FY22'!N47*(1+MYP!$I$9)</f>
        <v>929.14059222225001</v>
      </c>
      <c r="O47" s="39">
        <f>+'FY22'!O47*(1+MYP!$I$9)</f>
        <v>929.14059222225001</v>
      </c>
      <c r="P47" s="39">
        <f>+'FY22'!P47*(1+MYP!$I$9)</f>
        <v>929.14059222225001</v>
      </c>
      <c r="Q47" s="36"/>
      <c r="R47" s="41"/>
      <c r="S47" s="59">
        <f>SUM(E47:Q47)</f>
        <v>11149.687106666999</v>
      </c>
      <c r="T47" s="41"/>
      <c r="U47" s="39">
        <f>'FY22'!S47</f>
        <v>10931.06579085</v>
      </c>
      <c r="V47" s="39">
        <f t="shared" si="18"/>
        <v>-218.62131581699941</v>
      </c>
      <c r="W47" s="39"/>
    </row>
    <row r="48" spans="3:23" s="37" customFormat="1" ht="12" x14ac:dyDescent="0.2">
      <c r="C48" s="199">
        <v>6234</v>
      </c>
      <c r="D48" s="37" t="s">
        <v>207</v>
      </c>
      <c r="E48" s="39">
        <f>+'FY22'!E48*(1+MYP!$I$9)</f>
        <v>554.42753437500005</v>
      </c>
      <c r="F48" s="39">
        <f>+'FY22'!F48*(1+MYP!$I$9)</f>
        <v>554.42753437500005</v>
      </c>
      <c r="G48" s="39">
        <f>+'FY22'!G48*(1+MYP!$I$9)</f>
        <v>554.42753437500005</v>
      </c>
      <c r="H48" s="39">
        <f>+'FY22'!H48*(1+MYP!$I$9)</f>
        <v>554.42753437500005</v>
      </c>
      <c r="I48" s="39">
        <f>+'FY22'!I48*(1+MYP!$I$9)</f>
        <v>554.42753437500005</v>
      </c>
      <c r="J48" s="39">
        <f>+'FY22'!J48*(1+MYP!$I$9)</f>
        <v>554.42753437500005</v>
      </c>
      <c r="K48" s="39">
        <f>+'FY22'!K48*(1+MYP!$I$9)</f>
        <v>554.42753437500005</v>
      </c>
      <c r="L48" s="39">
        <f>+'FY22'!L48*(1+MYP!$I$9)</f>
        <v>554.42753437500005</v>
      </c>
      <c r="M48" s="39">
        <f>+'FY22'!M48*(1+MYP!$I$9)</f>
        <v>554.42753437500005</v>
      </c>
      <c r="N48" s="39">
        <f>+'FY22'!N48*(1+MYP!$I$9)</f>
        <v>554.42753437500005</v>
      </c>
      <c r="O48" s="39">
        <f>+'FY22'!O48*(1+MYP!$I$9)</f>
        <v>554.42753437500005</v>
      </c>
      <c r="P48" s="39">
        <f>+'FY22'!P48*(1+MYP!$I$9)</f>
        <v>554.42753437500005</v>
      </c>
      <c r="Q48" s="36"/>
      <c r="R48" s="41"/>
      <c r="S48" s="59">
        <f t="shared" si="17"/>
        <v>6653.1304124999988</v>
      </c>
      <c r="T48" s="41"/>
      <c r="U48" s="39">
        <f>'FY22'!S48</f>
        <v>6522.6768749999983</v>
      </c>
      <c r="V48" s="39">
        <f t="shared" si="18"/>
        <v>-130.45353750000049</v>
      </c>
      <c r="W48" s="39"/>
    </row>
    <row r="49" spans="3:23" s="37" customFormat="1" ht="12" x14ac:dyDescent="0.2">
      <c r="C49" s="199">
        <v>6237</v>
      </c>
      <c r="D49" s="37" t="s">
        <v>224</v>
      </c>
      <c r="E49" s="39">
        <f>+'FY22'!E49*(1+MYP!$I$9)</f>
        <v>533.11345455374999</v>
      </c>
      <c r="F49" s="39">
        <f>+'FY22'!F49*(1+MYP!$I$9)</f>
        <v>533.11345455374999</v>
      </c>
      <c r="G49" s="39">
        <f>+'FY22'!G49*(1+MYP!$I$9)</f>
        <v>533.11345455374999</v>
      </c>
      <c r="H49" s="39">
        <f>+'FY22'!H49*(1+MYP!$I$9)</f>
        <v>533.11345455374999</v>
      </c>
      <c r="I49" s="39">
        <f>+'FY22'!I49*(1+MYP!$I$9)</f>
        <v>533.11345455374999</v>
      </c>
      <c r="J49" s="39">
        <f>+'FY22'!J49*(1+MYP!$I$9)</f>
        <v>533.11345455374999</v>
      </c>
      <c r="K49" s="39">
        <f>+'FY22'!K49*(1+MYP!$I$9)</f>
        <v>533.11345455374999</v>
      </c>
      <c r="L49" s="39">
        <f>+'FY22'!L49*(1+MYP!$I$9)</f>
        <v>533.11345455374999</v>
      </c>
      <c r="M49" s="39">
        <f>+'FY22'!M49*(1+MYP!$I$9)</f>
        <v>533.11345455374999</v>
      </c>
      <c r="N49" s="39">
        <f>+'FY22'!N49*(1+MYP!$I$9)</f>
        <v>533.11345455374999</v>
      </c>
      <c r="O49" s="39">
        <f>+'FY22'!O49*(1+MYP!$I$9)</f>
        <v>533.11345455374999</v>
      </c>
      <c r="P49" s="39">
        <f>+'FY22'!P49*(1+MYP!$I$9)</f>
        <v>533.11345455374999</v>
      </c>
      <c r="Q49" s="36"/>
      <c r="R49" s="41"/>
      <c r="S49" s="59">
        <f t="shared" si="17"/>
        <v>6397.361454644998</v>
      </c>
      <c r="T49" s="41"/>
      <c r="U49" s="39">
        <f>'FY22'!S49</f>
        <v>6271.9229947500016</v>
      </c>
      <c r="V49" s="39">
        <f t="shared" si="18"/>
        <v>-125.43845989499641</v>
      </c>
      <c r="W49" s="39"/>
    </row>
    <row r="50" spans="3:23" s="37" customFormat="1" ht="12" x14ac:dyDescent="0.2">
      <c r="C50" s="199">
        <v>6241</v>
      </c>
      <c r="D50" s="37" t="s">
        <v>197</v>
      </c>
      <c r="E50" s="39">
        <f>+'FY22'!E50*(1+MYP!$I$9)</f>
        <v>88.344515326050001</v>
      </c>
      <c r="F50" s="39">
        <f>+'FY22'!F50*(1+MYP!$I$9)</f>
        <v>101.01658732605</v>
      </c>
      <c r="G50" s="39">
        <f>+'FY22'!G50*(1+MYP!$I$9)</f>
        <v>101.01658732605</v>
      </c>
      <c r="H50" s="39">
        <f>+'FY22'!H50*(1+MYP!$I$9)</f>
        <v>101.01658732605</v>
      </c>
      <c r="I50" s="39">
        <f>+'FY22'!I50*(1+MYP!$I$9)</f>
        <v>88.344515326050001</v>
      </c>
      <c r="J50" s="39">
        <f>+'FY22'!J50*(1+MYP!$I$9)</f>
        <v>88.344515326050001</v>
      </c>
      <c r="K50" s="39">
        <f>+'FY22'!K50*(1+MYP!$I$9)</f>
        <v>88.344515326050001</v>
      </c>
      <c r="L50" s="39">
        <f>+'FY22'!L50*(1+MYP!$I$9)</f>
        <v>101.01658732605</v>
      </c>
      <c r="M50" s="39">
        <f>+'FY22'!M50*(1+MYP!$I$9)</f>
        <v>101.01658732605</v>
      </c>
      <c r="N50" s="39">
        <f>+'FY22'!N50*(1+MYP!$I$9)</f>
        <v>88.344515326050001</v>
      </c>
      <c r="O50" s="39">
        <f>+'FY22'!O50*(1+MYP!$I$9)</f>
        <v>88.344515326050001</v>
      </c>
      <c r="P50" s="39">
        <f>+'FY22'!P50*(1+MYP!$I$9)</f>
        <v>88.344515326050001</v>
      </c>
      <c r="Q50" s="36"/>
      <c r="R50" s="41"/>
      <c r="S50" s="59">
        <f t="shared" si="17"/>
        <v>1123.4945439126</v>
      </c>
      <c r="T50" s="41"/>
      <c r="U50" s="39">
        <f>'FY22'!S50</f>
        <v>1101.4652391299999</v>
      </c>
      <c r="V50" s="39">
        <f t="shared" si="18"/>
        <v>-22.029304782600093</v>
      </c>
      <c r="W50" s="39"/>
    </row>
    <row r="51" spans="3:23" s="37" customFormat="1" ht="12" x14ac:dyDescent="0.2">
      <c r="C51" s="199">
        <v>6244</v>
      </c>
      <c r="D51" s="37" t="s">
        <v>198</v>
      </c>
      <c r="E51" s="39">
        <f>+'FY22'!E51*(1+MYP!$I$9)</f>
        <v>27.484441875000002</v>
      </c>
      <c r="F51" s="39">
        <f>+'FY22'!F51*(1+MYP!$I$9)</f>
        <v>27.484441875000002</v>
      </c>
      <c r="G51" s="39">
        <f>+'FY22'!G51*(1+MYP!$I$9)</f>
        <v>27.484441875000002</v>
      </c>
      <c r="H51" s="39">
        <f>+'FY22'!H51*(1+MYP!$I$9)</f>
        <v>27.484441875000002</v>
      </c>
      <c r="I51" s="39">
        <f>+'FY22'!I51*(1+MYP!$I$9)</f>
        <v>27.484441875000002</v>
      </c>
      <c r="J51" s="39">
        <f>+'FY22'!J51*(1+MYP!$I$9)</f>
        <v>27.484441875000002</v>
      </c>
      <c r="K51" s="39">
        <f>+'FY22'!K51*(1+MYP!$I$9)</f>
        <v>27.484441875000002</v>
      </c>
      <c r="L51" s="39">
        <f>+'FY22'!L51*(1+MYP!$I$9)</f>
        <v>27.484441875000002</v>
      </c>
      <c r="M51" s="39">
        <f>+'FY22'!M51*(1+MYP!$I$9)</f>
        <v>40.156513875000002</v>
      </c>
      <c r="N51" s="39">
        <f>+'FY22'!N51*(1+MYP!$I$9)</f>
        <v>27.484441875000002</v>
      </c>
      <c r="O51" s="39">
        <f>+'FY22'!O51*(1+MYP!$I$9)</f>
        <v>27.484441875000002</v>
      </c>
      <c r="P51" s="39">
        <f>+'FY22'!P51*(1+MYP!$I$9)</f>
        <v>38.798791875000006</v>
      </c>
      <c r="Q51" s="36"/>
      <c r="R51" s="41"/>
      <c r="S51" s="59">
        <f t="shared" si="17"/>
        <v>353.79972450000014</v>
      </c>
      <c r="T51" s="41"/>
      <c r="U51" s="39">
        <f>'FY22'!S51</f>
        <v>346.86247499999996</v>
      </c>
      <c r="V51" s="39">
        <f t="shared" si="18"/>
        <v>-6.9372495000001777</v>
      </c>
      <c r="W51" s="39"/>
    </row>
    <row r="52" spans="3:23" s="37" customFormat="1" ht="12" x14ac:dyDescent="0.2">
      <c r="C52" s="199">
        <v>6247</v>
      </c>
      <c r="D52" s="37" t="s">
        <v>225</v>
      </c>
      <c r="E52" s="39">
        <f>+'FY22'!E52*(1+MYP!$I$9)</f>
        <v>63.763836006750005</v>
      </c>
      <c r="F52" s="39">
        <f>+'FY22'!F52*(1+MYP!$I$9)</f>
        <v>75.078186006750002</v>
      </c>
      <c r="G52" s="39">
        <f>+'FY22'!G52*(1+MYP!$I$9)</f>
        <v>75.078186006750002</v>
      </c>
      <c r="H52" s="39">
        <f>+'FY22'!H52*(1+MYP!$I$9)</f>
        <v>63.763836006750005</v>
      </c>
      <c r="I52" s="39">
        <f>+'FY22'!I52*(1+MYP!$I$9)</f>
        <v>63.763836006750005</v>
      </c>
      <c r="J52" s="39">
        <f>+'FY22'!J52*(1+MYP!$I$9)</f>
        <v>63.763836006750005</v>
      </c>
      <c r="K52" s="39">
        <f>+'FY22'!K52*(1+MYP!$I$9)</f>
        <v>75.078186006750002</v>
      </c>
      <c r="L52" s="39">
        <f>+'FY22'!L52*(1+MYP!$I$9)</f>
        <v>75.078186006750002</v>
      </c>
      <c r="M52" s="39">
        <f>+'FY22'!M52*(1+MYP!$I$9)</f>
        <v>63.763836006750005</v>
      </c>
      <c r="N52" s="39">
        <f>+'FY22'!N52*(1+MYP!$I$9)</f>
        <v>63.763836006750005</v>
      </c>
      <c r="O52" s="39">
        <f>+'FY22'!O52*(1+MYP!$I$9)</f>
        <v>63.763836006750005</v>
      </c>
      <c r="P52" s="39">
        <f>+'FY22'!P52*(1+MYP!$I$9)</f>
        <v>63.763836006750005</v>
      </c>
      <c r="Q52" s="36"/>
      <c r="R52" s="41"/>
      <c r="S52" s="59">
        <f t="shared" si="17"/>
        <v>810.4234320810001</v>
      </c>
      <c r="T52" s="41"/>
      <c r="U52" s="39">
        <f>'FY22'!S52</f>
        <v>794.53277655000022</v>
      </c>
      <c r="V52" s="39">
        <f t="shared" si="18"/>
        <v>-15.890655530999879</v>
      </c>
      <c r="W52" s="39"/>
    </row>
    <row r="53" spans="3:23" s="37" customFormat="1" ht="12" x14ac:dyDescent="0.2">
      <c r="C53" s="199">
        <v>6261</v>
      </c>
      <c r="D53" s="37" t="s">
        <v>208</v>
      </c>
      <c r="E53" s="39">
        <f>+'FY22'!E53*(1+MYP!$I$9)</f>
        <v>81.151200000000003</v>
      </c>
      <c r="F53" s="39">
        <f>+'FY22'!F53*(1+MYP!$I$9)</f>
        <v>81.151200000000003</v>
      </c>
      <c r="G53" s="39">
        <f>+'FY22'!G53*(1+MYP!$I$9)</f>
        <v>81.151200000000003</v>
      </c>
      <c r="H53" s="39">
        <f>+'FY22'!H53*(1+MYP!$I$9)</f>
        <v>81.151200000000003</v>
      </c>
      <c r="I53" s="39">
        <f>+'FY22'!I53*(1+MYP!$I$9)</f>
        <v>81.151200000000003</v>
      </c>
      <c r="J53" s="39">
        <f>+'FY22'!J53*(1+MYP!$I$9)</f>
        <v>81.151200000000003</v>
      </c>
      <c r="K53" s="39">
        <f>+'FY22'!K53*(1+MYP!$I$9)</f>
        <v>81.151200000000003</v>
      </c>
      <c r="L53" s="39">
        <f>+'FY22'!L53*(1+MYP!$I$9)</f>
        <v>81.151200000000003</v>
      </c>
      <c r="M53" s="39">
        <f>+'FY22'!M53*(1+MYP!$I$9)</f>
        <v>81.151200000000003</v>
      </c>
      <c r="N53" s="39">
        <f>+'FY22'!N53*(1+MYP!$I$9)</f>
        <v>81.151200000000003</v>
      </c>
      <c r="O53" s="39">
        <f>+'FY22'!O53*(1+MYP!$I$9)</f>
        <v>81.151200000000003</v>
      </c>
      <c r="P53" s="39">
        <f>+'FY22'!P53*(1+MYP!$I$9)</f>
        <v>81.151200000000003</v>
      </c>
      <c r="Q53" s="36"/>
      <c r="R53" s="41"/>
      <c r="S53" s="59">
        <f t="shared" si="17"/>
        <v>973.81440000000009</v>
      </c>
      <c r="T53" s="41"/>
      <c r="U53" s="39">
        <f>'FY22'!S53</f>
        <v>954.7199999999998</v>
      </c>
      <c r="V53" s="39">
        <f t="shared" si="18"/>
        <v>-19.094400000000292</v>
      </c>
      <c r="W53" s="39"/>
    </row>
    <row r="54" spans="3:23" s="37" customFormat="1" ht="12" x14ac:dyDescent="0.2">
      <c r="C54" s="199">
        <v>6264</v>
      </c>
      <c r="D54" s="37" t="s">
        <v>209</v>
      </c>
      <c r="E54" s="39">
        <f>+'FY22'!E54*(1+MYP!$I$9)</f>
        <v>56.864362499999999</v>
      </c>
      <c r="F54" s="39">
        <f>+'FY22'!F54*(1+MYP!$I$9)</f>
        <v>56.864362499999999</v>
      </c>
      <c r="G54" s="39">
        <f>+'FY22'!G54*(1+MYP!$I$9)</f>
        <v>56.864362499999999</v>
      </c>
      <c r="H54" s="39">
        <f>+'FY22'!H54*(1+MYP!$I$9)</f>
        <v>56.864362499999999</v>
      </c>
      <c r="I54" s="39">
        <f>+'FY22'!I54*(1+MYP!$I$9)</f>
        <v>56.864362499999999</v>
      </c>
      <c r="J54" s="39">
        <f>+'FY22'!J54*(1+MYP!$I$9)</f>
        <v>56.864362499999999</v>
      </c>
      <c r="K54" s="39">
        <f>+'FY22'!K54*(1+MYP!$I$9)</f>
        <v>56.864362499999999</v>
      </c>
      <c r="L54" s="39">
        <f>+'FY22'!L54*(1+MYP!$I$9)</f>
        <v>56.864362499999999</v>
      </c>
      <c r="M54" s="39">
        <f>+'FY22'!M54*(1+MYP!$I$9)</f>
        <v>56.864362499999999</v>
      </c>
      <c r="N54" s="39">
        <f>+'FY22'!N54*(1+MYP!$I$9)</f>
        <v>56.864362499999999</v>
      </c>
      <c r="O54" s="39">
        <f>+'FY22'!O54*(1+MYP!$I$9)</f>
        <v>56.864362499999999</v>
      </c>
      <c r="P54" s="39">
        <f>+'FY22'!P54*(1+MYP!$I$9)</f>
        <v>56.864362499999999</v>
      </c>
      <c r="Q54" s="36"/>
      <c r="R54" s="41"/>
      <c r="S54" s="59">
        <f t="shared" si="17"/>
        <v>682.37234999999976</v>
      </c>
      <c r="T54" s="41"/>
      <c r="U54" s="39">
        <f>'FY22'!S54</f>
        <v>668.99249999999995</v>
      </c>
      <c r="V54" s="39">
        <f t="shared" si="18"/>
        <v>-13.379849999999806</v>
      </c>
      <c r="W54" s="39"/>
    </row>
    <row r="55" spans="3:23" s="37" customFormat="1" ht="12" x14ac:dyDescent="0.2">
      <c r="C55" s="199">
        <v>6267</v>
      </c>
      <c r="D55" s="37" t="s">
        <v>226</v>
      </c>
      <c r="E55" s="39">
        <f>+'FY22'!E55*(1+MYP!$I$9)</f>
        <v>108.2016</v>
      </c>
      <c r="F55" s="39">
        <f>+'FY22'!F55*(1+MYP!$I$9)</f>
        <v>108.2016</v>
      </c>
      <c r="G55" s="39">
        <f>+'FY22'!G55*(1+MYP!$I$9)</f>
        <v>108.2016</v>
      </c>
      <c r="H55" s="39">
        <f>+'FY22'!H55*(1+MYP!$I$9)</f>
        <v>108.2016</v>
      </c>
      <c r="I55" s="39">
        <f>+'FY22'!I55*(1+MYP!$I$9)</f>
        <v>108.2016</v>
      </c>
      <c r="J55" s="39">
        <f>+'FY22'!J55*(1+MYP!$I$9)</f>
        <v>108.2016</v>
      </c>
      <c r="K55" s="39">
        <f>+'FY22'!K55*(1+MYP!$I$9)</f>
        <v>108.2016</v>
      </c>
      <c r="L55" s="39">
        <f>+'FY22'!L55*(1+MYP!$I$9)</f>
        <v>108.2016</v>
      </c>
      <c r="M55" s="39">
        <f>+'FY22'!M55*(1+MYP!$I$9)</f>
        <v>108.2016</v>
      </c>
      <c r="N55" s="39">
        <f>+'FY22'!N55*(1+MYP!$I$9)</f>
        <v>108.2016</v>
      </c>
      <c r="O55" s="39">
        <f>+'FY22'!O55*(1+MYP!$I$9)</f>
        <v>108.2016</v>
      </c>
      <c r="P55" s="39">
        <f>+'FY22'!P55*(1+MYP!$I$9)</f>
        <v>108.2016</v>
      </c>
      <c r="Q55" s="36"/>
      <c r="R55" s="41"/>
      <c r="S55" s="59">
        <f t="shared" si="17"/>
        <v>1298.4192000000003</v>
      </c>
      <c r="T55" s="41"/>
      <c r="U55" s="39">
        <f>'FY22'!S55</f>
        <v>1272.96</v>
      </c>
      <c r="V55" s="39">
        <f t="shared" si="18"/>
        <v>-25.459200000000237</v>
      </c>
      <c r="W55" s="39"/>
    </row>
    <row r="56" spans="3:23" s="37" customFormat="1" ht="12" x14ac:dyDescent="0.2">
      <c r="C56" s="199">
        <v>6271</v>
      </c>
      <c r="D56" s="37" t="s">
        <v>210</v>
      </c>
      <c r="E56" s="39">
        <f>+'FY22'!E56*(1+MYP!$I$9)</f>
        <v>41.969623766850006</v>
      </c>
      <c r="F56" s="39">
        <f>+'FY22'!F56*(1+MYP!$I$9)</f>
        <v>41.969623766850006</v>
      </c>
      <c r="G56" s="39">
        <f>+'FY22'!G56*(1+MYP!$I$9)</f>
        <v>41.969623766850006</v>
      </c>
      <c r="H56" s="39">
        <f>+'FY22'!H56*(1+MYP!$I$9)</f>
        <v>41.969623766850006</v>
      </c>
      <c r="I56" s="39">
        <f>+'FY22'!I56*(1+MYP!$I$9)</f>
        <v>41.969623766850006</v>
      </c>
      <c r="J56" s="39">
        <f>+'FY22'!J56*(1+MYP!$I$9)</f>
        <v>41.969623766850006</v>
      </c>
      <c r="K56" s="39">
        <f>+'FY22'!K56*(1+MYP!$I$9)</f>
        <v>41.969623766850006</v>
      </c>
      <c r="L56" s="39">
        <f>+'FY22'!L56*(1+MYP!$I$9)</f>
        <v>41.969623766850006</v>
      </c>
      <c r="M56" s="39">
        <f>+'FY22'!M56*(1+MYP!$I$9)</f>
        <v>41.969623766850006</v>
      </c>
      <c r="N56" s="39">
        <f>+'FY22'!N56*(1+MYP!$I$9)</f>
        <v>41.969623766850006</v>
      </c>
      <c r="O56" s="39">
        <f>+'FY22'!O56*(1+MYP!$I$9)</f>
        <v>41.969623766850006</v>
      </c>
      <c r="P56" s="39">
        <f>+'FY22'!P56*(1+MYP!$I$9)</f>
        <v>41.969623766850006</v>
      </c>
      <c r="Q56" s="36"/>
      <c r="R56" s="41"/>
      <c r="S56" s="59">
        <f t="shared" si="17"/>
        <v>503.63548520220019</v>
      </c>
      <c r="T56" s="41"/>
      <c r="U56" s="39">
        <f>'FY22'!S56</f>
        <v>493.76027960999994</v>
      </c>
      <c r="V56" s="39">
        <f t="shared" si="18"/>
        <v>-9.8752055922002455</v>
      </c>
      <c r="W56" s="39"/>
    </row>
    <row r="57" spans="3:23" s="37" customFormat="1" ht="12" x14ac:dyDescent="0.2">
      <c r="C57" s="199">
        <v>6274</v>
      </c>
      <c r="D57" s="37" t="s">
        <v>211</v>
      </c>
      <c r="E57" s="39">
        <f>+'FY22'!E57*(1+MYP!$I$9)</f>
        <v>13.216656374999999</v>
      </c>
      <c r="F57" s="39">
        <f>+'FY22'!F57*(1+MYP!$I$9)</f>
        <v>13.216656374999999</v>
      </c>
      <c r="G57" s="39">
        <f>+'FY22'!G57*(1+MYP!$I$9)</f>
        <v>13.216656374999999</v>
      </c>
      <c r="H57" s="39">
        <f>+'FY22'!H57*(1+MYP!$I$9)</f>
        <v>13.216656374999999</v>
      </c>
      <c r="I57" s="39">
        <f>+'FY22'!I57*(1+MYP!$I$9)</f>
        <v>13.216656374999999</v>
      </c>
      <c r="J57" s="39">
        <f>+'FY22'!J57*(1+MYP!$I$9)</f>
        <v>13.216656374999999</v>
      </c>
      <c r="K57" s="39">
        <f>+'FY22'!K57*(1+MYP!$I$9)</f>
        <v>13.216656374999999</v>
      </c>
      <c r="L57" s="39">
        <f>+'FY22'!L57*(1+MYP!$I$9)</f>
        <v>13.216656374999999</v>
      </c>
      <c r="M57" s="39">
        <f>+'FY22'!M57*(1+MYP!$I$9)</f>
        <v>13.216656374999999</v>
      </c>
      <c r="N57" s="39">
        <f>+'FY22'!N57*(1+MYP!$I$9)</f>
        <v>13.216656374999999</v>
      </c>
      <c r="O57" s="39">
        <f>+'FY22'!O57*(1+MYP!$I$9)</f>
        <v>13.216656374999999</v>
      </c>
      <c r="P57" s="39">
        <f>+'FY22'!P57*(1+MYP!$I$9)</f>
        <v>13.216656374999999</v>
      </c>
      <c r="Q57" s="36"/>
      <c r="R57" s="41"/>
      <c r="S57" s="59">
        <f t="shared" si="17"/>
        <v>158.59987649999999</v>
      </c>
      <c r="T57" s="41"/>
      <c r="U57" s="39">
        <f>'FY22'!S57</f>
        <v>155.49007499999996</v>
      </c>
      <c r="V57" s="39">
        <f t="shared" si="18"/>
        <v>-3.1098015000000316</v>
      </c>
      <c r="W57" s="39"/>
    </row>
    <row r="58" spans="3:23" s="37" customFormat="1" ht="12" x14ac:dyDescent="0.2">
      <c r="C58" s="199">
        <v>6277</v>
      </c>
      <c r="D58" s="37" t="s">
        <v>227</v>
      </c>
      <c r="E58" s="39">
        <f>+'FY22'!E58*(1+MYP!$I$9)</f>
        <v>30.274438554749995</v>
      </c>
      <c r="F58" s="39">
        <f>+'FY22'!F58*(1+MYP!$I$9)</f>
        <v>30.274438554749995</v>
      </c>
      <c r="G58" s="39">
        <f>+'FY22'!G58*(1+MYP!$I$9)</f>
        <v>30.274438554749995</v>
      </c>
      <c r="H58" s="39">
        <f>+'FY22'!H58*(1+MYP!$I$9)</f>
        <v>30.274438554749995</v>
      </c>
      <c r="I58" s="39">
        <f>+'FY22'!I58*(1+MYP!$I$9)</f>
        <v>30.274438554749995</v>
      </c>
      <c r="J58" s="39">
        <f>+'FY22'!J58*(1+MYP!$I$9)</f>
        <v>30.274438554749995</v>
      </c>
      <c r="K58" s="39">
        <f>+'FY22'!K58*(1+MYP!$I$9)</f>
        <v>30.274438554749995</v>
      </c>
      <c r="L58" s="39">
        <f>+'FY22'!L58*(1+MYP!$I$9)</f>
        <v>30.274438554749995</v>
      </c>
      <c r="M58" s="39">
        <f>+'FY22'!M58*(1+MYP!$I$9)</f>
        <v>30.274438554749995</v>
      </c>
      <c r="N58" s="39">
        <f>+'FY22'!N58*(1+MYP!$I$9)</f>
        <v>30.274438554749995</v>
      </c>
      <c r="O58" s="39">
        <f>+'FY22'!O58*(1+MYP!$I$9)</f>
        <v>30.274438554749995</v>
      </c>
      <c r="P58" s="39">
        <f>+'FY22'!P58*(1+MYP!$I$9)</f>
        <v>30.274438554749995</v>
      </c>
      <c r="Q58" s="36"/>
      <c r="R58" s="41"/>
      <c r="S58" s="59">
        <f t="shared" si="17"/>
        <v>363.29326265700001</v>
      </c>
      <c r="T58" s="41"/>
      <c r="U58" s="39">
        <f>'FY22'!S58</f>
        <v>356.16986534999984</v>
      </c>
      <c r="V58" s="39">
        <f t="shared" si="18"/>
        <v>-7.1233973070001753</v>
      </c>
      <c r="W58" s="39"/>
    </row>
    <row r="59" spans="3:23" s="37" customFormat="1" ht="12" x14ac:dyDescent="0.2">
      <c r="C59" s="199">
        <v>6281</v>
      </c>
      <c r="D59" s="37" t="s">
        <v>194</v>
      </c>
      <c r="E59" s="39">
        <f>+'FY22'!E59*(1+MYP!$I$9)</f>
        <v>421.36200000000002</v>
      </c>
      <c r="F59" s="39">
        <f>+'FY22'!F59*(1+MYP!$I$9)</f>
        <v>421.36200000000002</v>
      </c>
      <c r="G59" s="39">
        <f>+'FY22'!G59*(1+MYP!$I$9)</f>
        <v>421.36200000000002</v>
      </c>
      <c r="H59" s="39">
        <f>+'FY22'!H59*(1+MYP!$I$9)</f>
        <v>421.36200000000002</v>
      </c>
      <c r="I59" s="39">
        <f>+'FY22'!I59*(1+MYP!$I$9)</f>
        <v>421.36200000000002</v>
      </c>
      <c r="J59" s="39">
        <f>+'FY22'!J59*(1+MYP!$I$9)</f>
        <v>421.36200000000002</v>
      </c>
      <c r="K59" s="39">
        <f>+'FY22'!K59*(1+MYP!$I$9)</f>
        <v>421.36200000000002</v>
      </c>
      <c r="L59" s="39">
        <f>+'FY22'!L59*(1+MYP!$I$9)</f>
        <v>421.36200000000002</v>
      </c>
      <c r="M59" s="39">
        <f>+'FY22'!M59*(1+MYP!$I$9)</f>
        <v>421.36200000000002</v>
      </c>
      <c r="N59" s="39">
        <f>+'FY22'!N59*(1+MYP!$I$9)</f>
        <v>421.36200000000002</v>
      </c>
      <c r="O59" s="39">
        <f>+'FY22'!O59*(1+MYP!$I$9)</f>
        <v>421.36200000000002</v>
      </c>
      <c r="P59" s="39">
        <f>+'FY22'!P59*(1+MYP!$I$9)</f>
        <v>421.36200000000002</v>
      </c>
      <c r="Q59" s="36"/>
      <c r="R59" s="41"/>
      <c r="S59" s="59">
        <f t="shared" si="17"/>
        <v>5056.3440000000001</v>
      </c>
      <c r="T59" s="41"/>
      <c r="U59" s="39">
        <f>'FY22'!S59</f>
        <v>4957.2000000000007</v>
      </c>
      <c r="V59" s="39">
        <f t="shared" si="18"/>
        <v>-99.143999999999323</v>
      </c>
      <c r="W59" s="39"/>
    </row>
    <row r="60" spans="3:23" s="37" customFormat="1" ht="12" x14ac:dyDescent="0.2">
      <c r="C60" s="199">
        <v>6284</v>
      </c>
      <c r="D60" s="37" t="s">
        <v>195</v>
      </c>
      <c r="E60" s="39">
        <f>+'FY22'!E60*(1+MYP!$I$9)</f>
        <v>105.34050000000001</v>
      </c>
      <c r="F60" s="39">
        <f>+'FY22'!F60*(1+MYP!$I$9)</f>
        <v>105.34050000000001</v>
      </c>
      <c r="G60" s="39">
        <f>+'FY22'!G60*(1+MYP!$I$9)</f>
        <v>105.34050000000001</v>
      </c>
      <c r="H60" s="39">
        <f>+'FY22'!H60*(1+MYP!$I$9)</f>
        <v>105.34050000000001</v>
      </c>
      <c r="I60" s="39">
        <f>+'FY22'!I60*(1+MYP!$I$9)</f>
        <v>105.34050000000001</v>
      </c>
      <c r="J60" s="39">
        <f>+'FY22'!J60*(1+MYP!$I$9)</f>
        <v>105.34050000000001</v>
      </c>
      <c r="K60" s="39">
        <f>+'FY22'!K60*(1+MYP!$I$9)</f>
        <v>105.34050000000001</v>
      </c>
      <c r="L60" s="39">
        <f>+'FY22'!L60*(1+MYP!$I$9)</f>
        <v>105.34050000000001</v>
      </c>
      <c r="M60" s="39">
        <f>+'FY22'!M60*(1+MYP!$I$9)</f>
        <v>105.34050000000001</v>
      </c>
      <c r="N60" s="39">
        <f>+'FY22'!N60*(1+MYP!$I$9)</f>
        <v>105.34050000000001</v>
      </c>
      <c r="O60" s="39">
        <f>+'FY22'!O60*(1+MYP!$I$9)</f>
        <v>105.34050000000001</v>
      </c>
      <c r="P60" s="39">
        <f>+'FY22'!P60*(1+MYP!$I$9)</f>
        <v>105.34050000000001</v>
      </c>
      <c r="Q60" s="98"/>
      <c r="R60" s="41"/>
      <c r="S60" s="59">
        <f t="shared" si="17"/>
        <v>1264.086</v>
      </c>
      <c r="T60" s="41"/>
      <c r="U60" s="39">
        <f>'FY22'!S60</f>
        <v>1239.3000000000002</v>
      </c>
      <c r="V60" s="39">
        <f t="shared" si="18"/>
        <v>-24.785999999999831</v>
      </c>
      <c r="W60" s="39"/>
    </row>
    <row r="61" spans="3:23" s="37" customFormat="1" ht="12" x14ac:dyDescent="0.2">
      <c r="C61" s="199">
        <v>6287</v>
      </c>
      <c r="D61" s="37" t="s">
        <v>228</v>
      </c>
      <c r="E61" s="39">
        <f>+'FY22'!E61*(1+MYP!$I$9)</f>
        <v>421.36200000000002</v>
      </c>
      <c r="F61" s="39">
        <f>+'FY22'!F61*(1+MYP!$I$9)</f>
        <v>421.36200000000002</v>
      </c>
      <c r="G61" s="39">
        <f>+'FY22'!G61*(1+MYP!$I$9)</f>
        <v>421.36200000000002</v>
      </c>
      <c r="H61" s="39">
        <f>+'FY22'!H61*(1+MYP!$I$9)</f>
        <v>421.36200000000002</v>
      </c>
      <c r="I61" s="39">
        <f>+'FY22'!I61*(1+MYP!$I$9)</f>
        <v>421.36200000000002</v>
      </c>
      <c r="J61" s="39">
        <f>+'FY22'!J61*(1+MYP!$I$9)</f>
        <v>421.36200000000002</v>
      </c>
      <c r="K61" s="39">
        <f>+'FY22'!K61*(1+MYP!$I$9)</f>
        <v>421.36200000000002</v>
      </c>
      <c r="L61" s="39">
        <f>+'FY22'!L61*(1+MYP!$I$9)</f>
        <v>421.36200000000002</v>
      </c>
      <c r="M61" s="39">
        <f>+'FY22'!M61*(1+MYP!$I$9)</f>
        <v>421.36200000000002</v>
      </c>
      <c r="N61" s="39">
        <f>+'FY22'!N61*(1+MYP!$I$9)</f>
        <v>421.36200000000002</v>
      </c>
      <c r="O61" s="39">
        <f>+'FY22'!O61*(1+MYP!$I$9)</f>
        <v>421.36200000000002</v>
      </c>
      <c r="P61" s="39">
        <f>+'FY22'!P61*(1+MYP!$I$9)</f>
        <v>421.36200000000002</v>
      </c>
      <c r="Q61" s="98"/>
      <c r="R61" s="41"/>
      <c r="S61" s="59">
        <f t="shared" si="17"/>
        <v>5056.3440000000001</v>
      </c>
      <c r="T61" s="41"/>
      <c r="U61" s="39">
        <f>'FY22'!S61</f>
        <v>4957.2000000000007</v>
      </c>
      <c r="V61" s="39">
        <f t="shared" si="18"/>
        <v>-99.143999999999323</v>
      </c>
      <c r="W61" s="39"/>
    </row>
    <row r="62" spans="3:23" s="37" customFormat="1" ht="12" x14ac:dyDescent="0.2">
      <c r="C62" s="38"/>
      <c r="E62" s="50">
        <f t="shared" ref="E62:P62" si="19">SUBTOTAL(9,E43:E61)</f>
        <v>3618.5342155553994</v>
      </c>
      <c r="F62" s="50">
        <f t="shared" si="19"/>
        <v>3642.5206375553994</v>
      </c>
      <c r="G62" s="50">
        <f t="shared" si="19"/>
        <v>3642.5206375553994</v>
      </c>
      <c r="H62" s="50">
        <f t="shared" si="19"/>
        <v>3631.2062875553993</v>
      </c>
      <c r="I62" s="50">
        <f t="shared" si="19"/>
        <v>3618.5342155553994</v>
      </c>
      <c r="J62" s="50">
        <f t="shared" si="19"/>
        <v>3618.5342155553994</v>
      </c>
      <c r="K62" s="50">
        <f t="shared" si="19"/>
        <v>3629.8485655553995</v>
      </c>
      <c r="L62" s="50">
        <f t="shared" si="19"/>
        <v>3642.5206375553994</v>
      </c>
      <c r="M62" s="50">
        <f t="shared" si="19"/>
        <v>3643.8783595553996</v>
      </c>
      <c r="N62" s="50">
        <f t="shared" si="19"/>
        <v>3618.5342155553994</v>
      </c>
      <c r="O62" s="50">
        <f t="shared" si="19"/>
        <v>3618.5342155553994</v>
      </c>
      <c r="P62" s="50">
        <f t="shared" si="19"/>
        <v>3629.8485655553995</v>
      </c>
      <c r="Q62" s="99"/>
      <c r="R62" s="41"/>
      <c r="S62" s="61">
        <f>SUBTOTAL(9,S43:S61)</f>
        <v>43555.014768664798</v>
      </c>
      <c r="T62" s="41"/>
      <c r="U62" s="50">
        <f>SUBTOTAL(9,U43:U61)</f>
        <v>42700.994871240007</v>
      </c>
      <c r="V62" s="50">
        <f>SUBTOTAL(9,V43:V61)</f>
        <v>-854.01989742479577</v>
      </c>
      <c r="W62" s="39"/>
    </row>
    <row r="63" spans="3:23" s="37" customFormat="1" ht="12" x14ac:dyDescent="0.2">
      <c r="C63" s="49" t="s">
        <v>9</v>
      </c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100"/>
      <c r="R63" s="41"/>
      <c r="S63" s="59"/>
      <c r="T63" s="41"/>
      <c r="U63" s="39"/>
      <c r="V63" s="39"/>
      <c r="W63" s="39"/>
    </row>
    <row r="64" spans="3:23" s="37" customFormat="1" ht="12" x14ac:dyDescent="0.2">
      <c r="C64" s="199">
        <v>6300</v>
      </c>
      <c r="D64" s="37" t="s">
        <v>9</v>
      </c>
      <c r="E64" s="39">
        <v>4321.5</v>
      </c>
      <c r="F64" s="39">
        <f>+'FY22'!F64*(1+MYP!$I$10)</f>
        <v>100.9188</v>
      </c>
      <c r="G64" s="39">
        <f>+'FY22'!G64*(1+MYP!$I$10)</f>
        <v>100.9188</v>
      </c>
      <c r="H64" s="39">
        <f>+'FY22'!H64*(1+MYP!$I$10)</f>
        <v>100.9188</v>
      </c>
      <c r="I64" s="39">
        <f>+'FY22'!I64*(1+MYP!$I$10)</f>
        <v>100.9188</v>
      </c>
      <c r="J64" s="39">
        <f>+'FY22'!J64*(1+MYP!$I$10)</f>
        <v>100.9188</v>
      </c>
      <c r="K64" s="39">
        <f>+'FY22'!K64*(1+MYP!$I$10)</f>
        <v>100.9188</v>
      </c>
      <c r="L64" s="39">
        <f>+'FY22'!L64*(1+MYP!$I$10)</f>
        <v>100.9188</v>
      </c>
      <c r="M64" s="39">
        <f>+'FY22'!M64*(1+MYP!$I$10)</f>
        <v>100.9188</v>
      </c>
      <c r="N64" s="39">
        <f>+'FY22'!N64*(1+MYP!$I$10)</f>
        <v>100.9188</v>
      </c>
      <c r="O64" s="39">
        <f>+'FY22'!O64*(1+MYP!$I$10)</f>
        <v>100.9188</v>
      </c>
      <c r="P64" s="39">
        <f>+'FY22'!P64*(1+MYP!$I$10)</f>
        <v>100.9188</v>
      </c>
      <c r="Q64" s="100"/>
      <c r="R64" s="41"/>
      <c r="S64" s="59">
        <f t="shared" ref="S64:S73" si="20">SUM(E64:Q64)</f>
        <v>5431.6068000000041</v>
      </c>
      <c r="T64" s="41"/>
      <c r="U64" s="39">
        <f>'FY22'!S64</f>
        <v>5409.8399999999956</v>
      </c>
      <c r="V64" s="39">
        <f t="shared" ref="V64:V73" si="21">U64-S64</f>
        <v>-21.766800000008516</v>
      </c>
      <c r="W64" s="39"/>
    </row>
    <row r="65" spans="3:23" s="37" customFormat="1" ht="12" x14ac:dyDescent="0.2">
      <c r="C65" s="199">
        <v>6320</v>
      </c>
      <c r="D65" s="37" t="s">
        <v>10</v>
      </c>
      <c r="E65" s="39">
        <f>+'FY22'!E65*(1+MYP!$I$10)</f>
        <v>86.7</v>
      </c>
      <c r="F65" s="39">
        <f>+'FY22'!F65*(1+MYP!$I$10)</f>
        <v>86.7</v>
      </c>
      <c r="G65" s="39">
        <f>+'FY22'!G65*(1+MYP!$I$10)</f>
        <v>86.7</v>
      </c>
      <c r="H65" s="39">
        <f>+'FY22'!H65*(1+MYP!$I$10)</f>
        <v>86.7</v>
      </c>
      <c r="I65" s="39">
        <f>+'FY22'!I65*(1+MYP!$I$10)</f>
        <v>86.7</v>
      </c>
      <c r="J65" s="39">
        <f>+'FY22'!J65*(1+MYP!$I$10)</f>
        <v>86.7</v>
      </c>
      <c r="K65" s="39">
        <f>+'FY22'!K65*(1+MYP!$I$10)</f>
        <v>86.7</v>
      </c>
      <c r="L65" s="39">
        <f>+'FY22'!L65*(1+MYP!$I$10)</f>
        <v>86.7</v>
      </c>
      <c r="M65" s="39">
        <f>+'FY22'!M65*(1+MYP!$I$10)</f>
        <v>86.7</v>
      </c>
      <c r="N65" s="39">
        <f>+'FY22'!N65*(1+MYP!$I$10)</f>
        <v>86.7</v>
      </c>
      <c r="O65" s="39">
        <f>+'FY22'!O65*(1+MYP!$I$10)</f>
        <v>86.7</v>
      </c>
      <c r="P65" s="39">
        <f>+'FY22'!P65*(1+MYP!$I$10)</f>
        <v>86.7</v>
      </c>
      <c r="Q65" s="100"/>
      <c r="R65" s="41"/>
      <c r="S65" s="59">
        <f t="shared" si="20"/>
        <v>1040.4000000000003</v>
      </c>
      <c r="T65" s="41"/>
      <c r="U65" s="39">
        <f>'FY22'!S65</f>
        <v>1020</v>
      </c>
      <c r="V65" s="39">
        <f t="shared" si="21"/>
        <v>-20.400000000000318</v>
      </c>
      <c r="W65" s="39"/>
    </row>
    <row r="66" spans="3:23" s="37" customFormat="1" ht="12" x14ac:dyDescent="0.2">
      <c r="C66" s="199">
        <v>6331</v>
      </c>
      <c r="D66" s="37" t="s">
        <v>11</v>
      </c>
      <c r="E66" s="39">
        <f>+'FY22'!E66*(1+MYP!$I$10)</f>
        <v>43.35</v>
      </c>
      <c r="F66" s="39">
        <f>+'FY22'!F66*(1+MYP!$I$10)</f>
        <v>43.35</v>
      </c>
      <c r="G66" s="39">
        <f>+'FY22'!G66*(1+MYP!$I$10)</f>
        <v>43.35</v>
      </c>
      <c r="H66" s="39">
        <f>+'FY22'!H66*(1+MYP!$I$10)</f>
        <v>43.35</v>
      </c>
      <c r="I66" s="39">
        <f>+'FY22'!I66*(1+MYP!$I$10)</f>
        <v>43.35</v>
      </c>
      <c r="J66" s="39">
        <f>+'FY22'!J66*(1+MYP!$I$10)</f>
        <v>43.35</v>
      </c>
      <c r="K66" s="39">
        <f>+'FY22'!K66*(1+MYP!$I$10)</f>
        <v>43.35</v>
      </c>
      <c r="L66" s="39">
        <f>+'FY22'!L66*(1+MYP!$I$10)</f>
        <v>43.35</v>
      </c>
      <c r="M66" s="39">
        <f>+'FY22'!M66*(1+MYP!$I$10)</f>
        <v>43.35</v>
      </c>
      <c r="N66" s="39">
        <f>+'FY22'!N66*(1+MYP!$I$10)</f>
        <v>43.35</v>
      </c>
      <c r="O66" s="39">
        <f>+'FY22'!O66*(1+MYP!$I$10)</f>
        <v>43.35</v>
      </c>
      <c r="P66" s="39">
        <f>+'FY22'!P66*(1+MYP!$I$10)</f>
        <v>43.35</v>
      </c>
      <c r="Q66" s="100"/>
      <c r="R66" s="41"/>
      <c r="S66" s="59">
        <f t="shared" si="20"/>
        <v>520.20000000000016</v>
      </c>
      <c r="T66" s="41"/>
      <c r="U66" s="39">
        <f>'FY22'!S66</f>
        <v>510</v>
      </c>
      <c r="V66" s="39">
        <f t="shared" si="21"/>
        <v>-10.200000000000159</v>
      </c>
      <c r="W66" s="39"/>
    </row>
    <row r="67" spans="3:23" s="37" customFormat="1" ht="12" x14ac:dyDescent="0.2">
      <c r="C67" s="199">
        <v>6334</v>
      </c>
      <c r="D67" s="37" t="s">
        <v>12</v>
      </c>
      <c r="E67" s="39">
        <f>+'FY22'!E67*(1+MYP!$I$10)</f>
        <v>0</v>
      </c>
      <c r="F67" s="39">
        <f>+'FY22'!F67*(1+MYP!$I$10)</f>
        <v>0</v>
      </c>
      <c r="G67" s="39">
        <f>+'FY22'!G67*(1+MYP!$I$10)</f>
        <v>0</v>
      </c>
      <c r="H67" s="39">
        <f>+'FY22'!H67*(1+MYP!$I$10)</f>
        <v>0</v>
      </c>
      <c r="I67" s="39">
        <f>+'FY22'!I67*(1+MYP!$I$10)</f>
        <v>0</v>
      </c>
      <c r="J67" s="39">
        <f>+'FY22'!J67*(1+MYP!$I$10)</f>
        <v>0</v>
      </c>
      <c r="K67" s="39">
        <f>+'FY22'!K67*(1+MYP!$I$10)</f>
        <v>0</v>
      </c>
      <c r="L67" s="39">
        <f>+'FY22'!L67*(1+MYP!$I$10)</f>
        <v>0</v>
      </c>
      <c r="M67" s="39">
        <f>+'FY22'!M67*(1+MYP!$I$10)</f>
        <v>0</v>
      </c>
      <c r="N67" s="39">
        <f>+'FY22'!N67*(1+MYP!$I$10)</f>
        <v>0</v>
      </c>
      <c r="O67" s="39">
        <f>+'FY22'!O67*(1+MYP!$I$10)</f>
        <v>0</v>
      </c>
      <c r="P67" s="39">
        <f>+'FY22'!P67*(1+MYP!$I$10)</f>
        <v>0</v>
      </c>
      <c r="Q67" s="100"/>
      <c r="R67" s="41"/>
      <c r="S67" s="59">
        <f t="shared" si="20"/>
        <v>0</v>
      </c>
      <c r="T67" s="41"/>
      <c r="U67" s="39">
        <f>'FY22'!S67</f>
        <v>0</v>
      </c>
      <c r="V67" s="39">
        <f t="shared" si="21"/>
        <v>0</v>
      </c>
      <c r="W67" s="39"/>
    </row>
    <row r="68" spans="3:23" s="37" customFormat="1" ht="12" x14ac:dyDescent="0.2">
      <c r="C68" s="199">
        <v>6336</v>
      </c>
      <c r="D68" s="37" t="s">
        <v>13</v>
      </c>
      <c r="E68" s="39">
        <f>+'FY22'!E68*(1+MYP!$I$10)</f>
        <v>0</v>
      </c>
      <c r="F68" s="39">
        <f>+'FY22'!F68*(1+MYP!$I$10)</f>
        <v>0</v>
      </c>
      <c r="G68" s="39">
        <f>+'FY22'!G68*(1+MYP!$I$10)</f>
        <v>0</v>
      </c>
      <c r="H68" s="39">
        <f>+'FY22'!H68*(1+MYP!$I$10)</f>
        <v>0</v>
      </c>
      <c r="I68" s="39">
        <f>+'FY22'!I68*(1+MYP!$I$10)</f>
        <v>0</v>
      </c>
      <c r="J68" s="39">
        <f>+'FY22'!J68*(1+MYP!$I$10)</f>
        <v>0</v>
      </c>
      <c r="K68" s="39">
        <f>+'FY22'!K68*(1+MYP!$I$10)</f>
        <v>0</v>
      </c>
      <c r="L68" s="39">
        <f>+'FY22'!L68*(1+MYP!$I$10)</f>
        <v>0</v>
      </c>
      <c r="M68" s="39">
        <f>+'FY22'!M68*(1+MYP!$I$10)</f>
        <v>0</v>
      </c>
      <c r="N68" s="39">
        <f>+'FY22'!N68*(1+MYP!$I$10)</f>
        <v>0</v>
      </c>
      <c r="O68" s="39">
        <f>+'FY22'!O68*(1+MYP!$I$10)</f>
        <v>0</v>
      </c>
      <c r="P68" s="39">
        <f>+'FY22'!P68*(1+MYP!$I$10)</f>
        <v>0</v>
      </c>
      <c r="Q68" s="100"/>
      <c r="R68" s="41"/>
      <c r="S68" s="59">
        <f t="shared" si="20"/>
        <v>0</v>
      </c>
      <c r="T68" s="41"/>
      <c r="U68" s="39">
        <f>'FY22'!S68</f>
        <v>0</v>
      </c>
      <c r="V68" s="39">
        <f t="shared" si="21"/>
        <v>0</v>
      </c>
      <c r="W68" s="39"/>
    </row>
    <row r="69" spans="3:23" s="37" customFormat="1" ht="12" x14ac:dyDescent="0.2">
      <c r="C69" s="199">
        <v>6337</v>
      </c>
      <c r="D69" s="37" t="s">
        <v>14</v>
      </c>
      <c r="E69" s="39">
        <f>+'FY22'!E69*(1+MYP!$I$10)</f>
        <v>43.35</v>
      </c>
      <c r="F69" s="39">
        <f>+'FY22'!F69*(1+MYP!$I$10)</f>
        <v>43.35</v>
      </c>
      <c r="G69" s="39">
        <f>+'FY22'!G69*(1+MYP!$I$10)</f>
        <v>43.35</v>
      </c>
      <c r="H69" s="39">
        <f>+'FY22'!H69*(1+MYP!$I$10)</f>
        <v>43.35</v>
      </c>
      <c r="I69" s="39">
        <f>+'FY22'!I69*(1+MYP!$I$10)</f>
        <v>43.35</v>
      </c>
      <c r="J69" s="39">
        <f>+'FY22'!J69*(1+MYP!$I$10)</f>
        <v>43.35</v>
      </c>
      <c r="K69" s="39">
        <f>+'FY22'!K69*(1+MYP!$I$10)</f>
        <v>43.35</v>
      </c>
      <c r="L69" s="39">
        <f>+'FY22'!L69*(1+MYP!$I$10)</f>
        <v>43.35</v>
      </c>
      <c r="M69" s="39">
        <f>+'FY22'!M69*(1+MYP!$I$10)</f>
        <v>43.35</v>
      </c>
      <c r="N69" s="39">
        <f>+'FY22'!N69*(1+MYP!$I$10)</f>
        <v>43.35</v>
      </c>
      <c r="O69" s="39">
        <f>+'FY22'!O69*(1+MYP!$I$10)</f>
        <v>43.35</v>
      </c>
      <c r="P69" s="39">
        <f>+'FY22'!P69*(1+MYP!$I$10)</f>
        <v>43.35</v>
      </c>
      <c r="Q69" s="100"/>
      <c r="R69" s="41"/>
      <c r="S69" s="59">
        <f t="shared" si="20"/>
        <v>520.20000000000016</v>
      </c>
      <c r="T69" s="41"/>
      <c r="U69" s="39">
        <f>'FY22'!S69</f>
        <v>510</v>
      </c>
      <c r="V69" s="39">
        <f t="shared" si="21"/>
        <v>-10.200000000000159</v>
      </c>
      <c r="W69" s="39"/>
    </row>
    <row r="70" spans="3:23" s="37" customFormat="1" ht="12" x14ac:dyDescent="0.2">
      <c r="C70" s="199">
        <v>6340</v>
      </c>
      <c r="D70" s="37" t="s">
        <v>15</v>
      </c>
      <c r="E70" s="39">
        <f>+'FY22'!E70*(1+MYP!$I$10)</f>
        <v>823.99680000000001</v>
      </c>
      <c r="F70" s="39">
        <f>+'FY22'!F70*(1+MYP!$I$10)</f>
        <v>823.99680000000001</v>
      </c>
      <c r="G70" s="39">
        <f>+'FY22'!G70*(1+MYP!$I$10)</f>
        <v>823.99680000000001</v>
      </c>
      <c r="H70" s="39">
        <f>+'FY22'!H70*(1+MYP!$I$10)</f>
        <v>823.99680000000001</v>
      </c>
      <c r="I70" s="39">
        <f>+'FY22'!I70*(1+MYP!$I$10)</f>
        <v>823.99680000000001</v>
      </c>
      <c r="J70" s="39">
        <f>+'FY22'!J70*(1+MYP!$I$10)</f>
        <v>823.99680000000001</v>
      </c>
      <c r="K70" s="39">
        <f>+'FY22'!K70*(1+MYP!$I$10)</f>
        <v>823.99680000000001</v>
      </c>
      <c r="L70" s="39">
        <f>+'FY22'!L70*(1+MYP!$I$10)</f>
        <v>823.99680000000001</v>
      </c>
      <c r="M70" s="39">
        <f>+'FY22'!M70*(1+MYP!$I$10)</f>
        <v>823.99680000000001</v>
      </c>
      <c r="N70" s="39">
        <f>+'FY22'!N70*(1+MYP!$I$10)</f>
        <v>823.99680000000001</v>
      </c>
      <c r="O70" s="39">
        <f>+'FY22'!O70*(1+MYP!$I$10)</f>
        <v>823.99680000000001</v>
      </c>
      <c r="P70" s="39">
        <f>+'FY22'!P70*(1+MYP!$I$10)</f>
        <v>823.99680000000001</v>
      </c>
      <c r="Q70" s="100"/>
      <c r="R70" s="41"/>
      <c r="S70" s="59">
        <f t="shared" si="20"/>
        <v>9887.9616000000024</v>
      </c>
      <c r="T70" s="41"/>
      <c r="U70" s="39">
        <f>'FY22'!S70</f>
        <v>9694.08</v>
      </c>
      <c r="V70" s="39">
        <f t="shared" si="21"/>
        <v>-193.88160000000244</v>
      </c>
      <c r="W70" s="39"/>
    </row>
    <row r="71" spans="3:23" s="37" customFormat="1" ht="12" x14ac:dyDescent="0.2">
      <c r="C71" s="199">
        <v>6345</v>
      </c>
      <c r="D71" s="37" t="s">
        <v>16</v>
      </c>
      <c r="E71" s="39">
        <f>+'FY22'!E71*(1+MYP!$I$10)</f>
        <v>0</v>
      </c>
      <c r="F71" s="39">
        <f>+'FY22'!F71*(1+MYP!$I$10)</f>
        <v>0</v>
      </c>
      <c r="G71" s="39">
        <f>+'FY22'!G71*(1+MYP!$I$10)</f>
        <v>0</v>
      </c>
      <c r="H71" s="39">
        <f>+'FY22'!H71*(1+MYP!$I$10)</f>
        <v>0</v>
      </c>
      <c r="I71" s="39">
        <f>+'FY22'!I71*(1+MYP!$I$10)</f>
        <v>0</v>
      </c>
      <c r="J71" s="39">
        <f>+'FY22'!J71*(1+MYP!$I$10)</f>
        <v>0</v>
      </c>
      <c r="K71" s="39">
        <f>+'FY22'!K71*(1+MYP!$I$10)</f>
        <v>0</v>
      </c>
      <c r="L71" s="39">
        <f>+'FY22'!L71*(1+MYP!$I$10)</f>
        <v>0</v>
      </c>
      <c r="M71" s="39">
        <f>+'FY22'!M71*(1+MYP!$I$10)</f>
        <v>0</v>
      </c>
      <c r="N71" s="39">
        <f>+'FY22'!N71*(1+MYP!$I$10)</f>
        <v>0</v>
      </c>
      <c r="O71" s="39">
        <f>+'FY22'!O71*(1+MYP!$I$10)</f>
        <v>0</v>
      </c>
      <c r="P71" s="39">
        <f>+'FY22'!P71*(1+MYP!$I$10)</f>
        <v>0</v>
      </c>
      <c r="Q71" s="100"/>
      <c r="R71" s="41"/>
      <c r="S71" s="59">
        <f t="shared" si="20"/>
        <v>0</v>
      </c>
      <c r="T71" s="41"/>
      <c r="U71" s="39">
        <f>'FY22'!S71</f>
        <v>0</v>
      </c>
      <c r="V71" s="39">
        <f t="shared" si="21"/>
        <v>0</v>
      </c>
      <c r="W71" s="39"/>
    </row>
    <row r="72" spans="3:23" s="37" customFormat="1" ht="12" x14ac:dyDescent="0.2">
      <c r="C72" s="199">
        <v>6350</v>
      </c>
      <c r="D72" s="37" t="s">
        <v>17</v>
      </c>
      <c r="E72" s="39">
        <f>+'FY22'!E72*(1+MYP!$I$10)</f>
        <v>43.35</v>
      </c>
      <c r="F72" s="39">
        <f>+'FY22'!F72*(1+MYP!$I$10)</f>
        <v>43.35</v>
      </c>
      <c r="G72" s="39">
        <f>+'FY22'!G72*(1+MYP!$I$10)</f>
        <v>43.35</v>
      </c>
      <c r="H72" s="39">
        <f>+'FY22'!H72*(1+MYP!$I$10)</f>
        <v>43.35</v>
      </c>
      <c r="I72" s="39">
        <f>+'FY22'!I72*(1+MYP!$I$10)</f>
        <v>43.35</v>
      </c>
      <c r="J72" s="39">
        <f>+'FY22'!J72*(1+MYP!$I$10)</f>
        <v>43.35</v>
      </c>
      <c r="K72" s="39">
        <f>+'FY22'!K72*(1+MYP!$I$10)</f>
        <v>43.35</v>
      </c>
      <c r="L72" s="39">
        <f>+'FY22'!L72*(1+MYP!$I$10)</f>
        <v>43.35</v>
      </c>
      <c r="M72" s="39">
        <f>+'FY22'!M72*(1+MYP!$I$10)</f>
        <v>43.35</v>
      </c>
      <c r="N72" s="39">
        <f>+'FY22'!N72*(1+MYP!$I$10)</f>
        <v>43.35</v>
      </c>
      <c r="O72" s="39">
        <f>+'FY22'!O72*(1+MYP!$I$10)</f>
        <v>43.35</v>
      </c>
      <c r="P72" s="39">
        <f>+'FY22'!P72*(1+MYP!$I$10)</f>
        <v>43.35</v>
      </c>
      <c r="Q72" s="100"/>
      <c r="R72" s="41"/>
      <c r="S72" s="59">
        <f t="shared" si="20"/>
        <v>520.20000000000016</v>
      </c>
      <c r="T72" s="41"/>
      <c r="U72" s="39">
        <f>'FY22'!S72</f>
        <v>510</v>
      </c>
      <c r="V72" s="39">
        <f t="shared" si="21"/>
        <v>-10.200000000000159</v>
      </c>
      <c r="W72" s="39"/>
    </row>
    <row r="73" spans="3:23" s="37" customFormat="1" ht="12" x14ac:dyDescent="0.2">
      <c r="C73" s="199">
        <v>6351</v>
      </c>
      <c r="D73" s="37" t="s">
        <v>18</v>
      </c>
      <c r="E73" s="39">
        <f>+'FY22'!E73*(1+MYP!$I$10)</f>
        <v>0</v>
      </c>
      <c r="F73" s="39">
        <f>+'FY22'!F73*(1+MYP!$I$10)</f>
        <v>0</v>
      </c>
      <c r="G73" s="39">
        <f>+'FY22'!G73*(1+MYP!$I$10)</f>
        <v>0</v>
      </c>
      <c r="H73" s="39">
        <f>+'FY22'!H73*(1+MYP!$I$10)</f>
        <v>0</v>
      </c>
      <c r="I73" s="39">
        <f>+'FY22'!I73*(1+MYP!$I$10)</f>
        <v>0</v>
      </c>
      <c r="J73" s="39">
        <f>+'FY22'!J73*(1+MYP!$I$10)</f>
        <v>0</v>
      </c>
      <c r="K73" s="39">
        <f>+'FY22'!K73*(1+MYP!$I$10)</f>
        <v>0</v>
      </c>
      <c r="L73" s="39">
        <f>+'FY22'!L73*(1+MYP!$I$10)</f>
        <v>0</v>
      </c>
      <c r="M73" s="39">
        <f>+'FY22'!M73*(1+MYP!$I$10)</f>
        <v>0</v>
      </c>
      <c r="N73" s="39">
        <f>+'FY22'!N73*(1+MYP!$I$10)</f>
        <v>0</v>
      </c>
      <c r="O73" s="39">
        <f>+'FY22'!O73*(1+MYP!$I$10)</f>
        <v>0</v>
      </c>
      <c r="P73" s="39">
        <f>+'FY22'!P73*(1+MYP!$I$10)</f>
        <v>0</v>
      </c>
      <c r="Q73" s="100"/>
      <c r="R73" s="41"/>
      <c r="S73" s="59">
        <f t="shared" si="20"/>
        <v>0</v>
      </c>
      <c r="T73" s="41"/>
      <c r="U73" s="39">
        <f>'FY22'!S73</f>
        <v>0</v>
      </c>
      <c r="V73" s="39">
        <f t="shared" si="21"/>
        <v>0</v>
      </c>
      <c r="W73" s="39"/>
    </row>
    <row r="74" spans="3:23" s="37" customFormat="1" ht="12" x14ac:dyDescent="0.2">
      <c r="C74" s="38"/>
      <c r="E74" s="50">
        <f>SUBTOTAL(9,E64:E73)</f>
        <v>5362.2468000000008</v>
      </c>
      <c r="F74" s="50">
        <f t="shared" ref="F74:V74" si="22">SUBTOTAL(9,F64:F73)</f>
        <v>1141.6655999999998</v>
      </c>
      <c r="G74" s="50">
        <f t="shared" si="22"/>
        <v>1141.6655999999998</v>
      </c>
      <c r="H74" s="50">
        <f t="shared" si="22"/>
        <v>1141.6655999999998</v>
      </c>
      <c r="I74" s="50">
        <f t="shared" si="22"/>
        <v>1141.6655999999998</v>
      </c>
      <c r="J74" s="50">
        <f t="shared" si="22"/>
        <v>1141.6655999999998</v>
      </c>
      <c r="K74" s="50">
        <f t="shared" si="22"/>
        <v>1141.6655999999998</v>
      </c>
      <c r="L74" s="50">
        <f t="shared" si="22"/>
        <v>1141.6655999999998</v>
      </c>
      <c r="M74" s="50">
        <f t="shared" si="22"/>
        <v>1141.6655999999998</v>
      </c>
      <c r="N74" s="50">
        <f t="shared" si="22"/>
        <v>1141.6655999999998</v>
      </c>
      <c r="O74" s="50">
        <f t="shared" si="22"/>
        <v>1141.6655999999998</v>
      </c>
      <c r="P74" s="50">
        <f t="shared" si="22"/>
        <v>1141.6655999999998</v>
      </c>
      <c r="Q74" s="99"/>
      <c r="R74" s="41"/>
      <c r="S74" s="61">
        <f t="shared" si="22"/>
        <v>17920.568400000007</v>
      </c>
      <c r="T74" s="41"/>
      <c r="U74" s="50">
        <f t="shared" si="22"/>
        <v>17653.919999999995</v>
      </c>
      <c r="V74" s="50">
        <f t="shared" si="22"/>
        <v>-266.64840000001175</v>
      </c>
      <c r="W74" s="39"/>
    </row>
    <row r="75" spans="3:23" s="37" customFormat="1" ht="12" x14ac:dyDescent="0.2">
      <c r="C75" s="49" t="s">
        <v>100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100"/>
      <c r="R75" s="41"/>
      <c r="S75" s="59"/>
      <c r="T75" s="41"/>
      <c r="U75" s="39"/>
      <c r="V75" s="39"/>
      <c r="W75" s="39"/>
    </row>
    <row r="76" spans="3:23" s="37" customFormat="1" ht="12" x14ac:dyDescent="0.2">
      <c r="C76" s="199">
        <v>6410</v>
      </c>
      <c r="D76" s="37" t="s">
        <v>19</v>
      </c>
      <c r="E76" s="39">
        <f>+'FY22'!E76*(1+MYP!$I$10)</f>
        <v>52.02</v>
      </c>
      <c r="F76" s="39">
        <f>+'FY22'!F76*(1+MYP!$I$10)</f>
        <v>52.02</v>
      </c>
      <c r="G76" s="39">
        <f>+'FY22'!G76*(1+MYP!$I$10)</f>
        <v>52.02</v>
      </c>
      <c r="H76" s="39">
        <f>+'FY22'!H76*(1+MYP!$I$10)</f>
        <v>52.02</v>
      </c>
      <c r="I76" s="39">
        <f>+'FY22'!I76*(1+MYP!$I$10)</f>
        <v>52.02</v>
      </c>
      <c r="J76" s="39">
        <f>+'FY22'!J76*(1+MYP!$I$10)</f>
        <v>52.02</v>
      </c>
      <c r="K76" s="39">
        <f>+'FY22'!K76*(1+MYP!$I$10)</f>
        <v>52.02</v>
      </c>
      <c r="L76" s="39">
        <f>+'FY22'!L76*(1+MYP!$I$10)</f>
        <v>52.02</v>
      </c>
      <c r="M76" s="39">
        <f>+'FY22'!M76*(1+MYP!$I$10)</f>
        <v>52.02</v>
      </c>
      <c r="N76" s="39">
        <f>+'FY22'!N76*(1+MYP!$I$10)</f>
        <v>52.02</v>
      </c>
      <c r="O76" s="39">
        <f>+'FY22'!O76*(1+MYP!$I$10)</f>
        <v>52.02</v>
      </c>
      <c r="P76" s="39">
        <f>+'FY22'!P76*(1+MYP!$I$10)</f>
        <v>52.02</v>
      </c>
      <c r="Q76" s="100"/>
      <c r="R76" s="41"/>
      <c r="S76" s="59">
        <f t="shared" ref="S76:S79" si="23">SUM(E76:Q76)</f>
        <v>624.2399999999999</v>
      </c>
      <c r="T76" s="41"/>
      <c r="U76" s="39">
        <f>'FY22'!S76</f>
        <v>612</v>
      </c>
      <c r="V76" s="39">
        <f t="shared" ref="V76:V79" si="24">U76-S76</f>
        <v>-12.239999999999895</v>
      </c>
      <c r="W76" s="39"/>
    </row>
    <row r="77" spans="3:23" s="37" customFormat="1" ht="12" x14ac:dyDescent="0.2">
      <c r="C77" s="199">
        <v>6420</v>
      </c>
      <c r="D77" s="37" t="s">
        <v>20</v>
      </c>
      <c r="E77" s="39">
        <f>+'FY22'!E77*(1+MYP!$I$10)</f>
        <v>104.04</v>
      </c>
      <c r="F77" s="39">
        <f>+'FY22'!F77*(1+MYP!$I$10)</f>
        <v>104.04</v>
      </c>
      <c r="G77" s="39">
        <f>+'FY22'!G77*(1+MYP!$I$10)</f>
        <v>208.08</v>
      </c>
      <c r="H77" s="39">
        <f>+'FY22'!H77*(1+MYP!$I$10)</f>
        <v>104.04</v>
      </c>
      <c r="I77" s="39">
        <f>+'FY22'!I77*(1+MYP!$I$10)</f>
        <v>104.04</v>
      </c>
      <c r="J77" s="39">
        <f>+'FY22'!J77*(1+MYP!$I$10)</f>
        <v>208.08</v>
      </c>
      <c r="K77" s="39">
        <f>+'FY22'!K77*(1+MYP!$I$10)</f>
        <v>104.04</v>
      </c>
      <c r="L77" s="39">
        <f>+'FY22'!L77*(1+MYP!$I$10)</f>
        <v>104.04</v>
      </c>
      <c r="M77" s="39">
        <f>+'FY22'!M77*(1+MYP!$I$10)</f>
        <v>208.08</v>
      </c>
      <c r="N77" s="39">
        <f>+'FY22'!N77*(1+MYP!$I$10)</f>
        <v>104.04</v>
      </c>
      <c r="O77" s="39">
        <f>+'FY22'!O77*(1+MYP!$I$10)</f>
        <v>104.04</v>
      </c>
      <c r="P77" s="39">
        <f>+'FY22'!P77*(1+MYP!$I$10)</f>
        <v>208.08</v>
      </c>
      <c r="Q77" s="100"/>
      <c r="R77" s="41"/>
      <c r="S77" s="59">
        <f t="shared" si="23"/>
        <v>1664.6399999999999</v>
      </c>
      <c r="T77" s="41"/>
      <c r="U77" s="39">
        <f>'FY22'!S77</f>
        <v>1632</v>
      </c>
      <c r="V77" s="39">
        <f t="shared" si="24"/>
        <v>-32.639999999999873</v>
      </c>
      <c r="W77" s="39"/>
    </row>
    <row r="78" spans="3:23" s="37" customFormat="1" ht="12" x14ac:dyDescent="0.2">
      <c r="C78" s="199">
        <v>6430</v>
      </c>
      <c r="D78" s="37" t="s">
        <v>21</v>
      </c>
      <c r="E78" s="39">
        <f>+'FY22'!E78*(1+MYP!$I$10)</f>
        <v>0</v>
      </c>
      <c r="F78" s="39">
        <f>+'FY22'!F78*(1+MYP!$I$10)</f>
        <v>0</v>
      </c>
      <c r="G78" s="39">
        <f>+'FY22'!G78*(1+MYP!$I$10)</f>
        <v>0</v>
      </c>
      <c r="H78" s="39">
        <f>+'FY22'!H78*(1+MYP!$I$10)</f>
        <v>0</v>
      </c>
      <c r="I78" s="39">
        <f>+'FY22'!I78*(1+MYP!$I$10)</f>
        <v>2840.2919999999999</v>
      </c>
      <c r="J78" s="39">
        <f>+'FY22'!J78*(1+MYP!$I$10)</f>
        <v>0</v>
      </c>
      <c r="K78" s="39">
        <f>+'FY22'!K78*(1+MYP!$I$10)</f>
        <v>0</v>
      </c>
      <c r="L78" s="39">
        <f>+'FY22'!L78*(1+MYP!$I$10)</f>
        <v>0</v>
      </c>
      <c r="M78" s="39">
        <f>+'FY22'!M78*(1+MYP!$I$10)</f>
        <v>0</v>
      </c>
      <c r="N78" s="39">
        <f>+'FY22'!N78*(1+MYP!$I$10)</f>
        <v>130.05000000000001</v>
      </c>
      <c r="O78" s="39">
        <f>+'FY22'!O78*(1+MYP!$I$10)</f>
        <v>0</v>
      </c>
      <c r="P78" s="39">
        <f>+'FY22'!P78*(1+MYP!$I$10)</f>
        <v>0</v>
      </c>
      <c r="Q78" s="100"/>
      <c r="R78" s="41"/>
      <c r="S78" s="59">
        <f t="shared" si="23"/>
        <v>2970.3420000000001</v>
      </c>
      <c r="T78" s="41"/>
      <c r="U78" s="39">
        <f>'FY22'!S78</f>
        <v>2912.1</v>
      </c>
      <c r="V78" s="39">
        <f t="shared" si="24"/>
        <v>-58.242000000000189</v>
      </c>
      <c r="W78" s="39"/>
    </row>
    <row r="79" spans="3:23" s="37" customFormat="1" ht="12" x14ac:dyDescent="0.2">
      <c r="C79" s="199">
        <v>6441</v>
      </c>
      <c r="D79" s="37" t="s">
        <v>22</v>
      </c>
      <c r="E79" s="39">
        <f>+'FY22'!E79*(1+MYP!$I$10)</f>
        <v>2840.2919999999999</v>
      </c>
      <c r="F79" s="39">
        <f>+'FY22'!F79*(1+MYP!$I$10)</f>
        <v>2840.2919999999999</v>
      </c>
      <c r="G79" s="39">
        <f>+'FY22'!G79*(1+MYP!$I$10)</f>
        <v>2840.2919999999999</v>
      </c>
      <c r="H79" s="39">
        <f>+'FY22'!H79*(1+MYP!$I$10)</f>
        <v>2840.2919999999999</v>
      </c>
      <c r="I79" s="39">
        <f>+'FY22'!I79*(1+MYP!$I$10)</f>
        <v>2840.2919999999999</v>
      </c>
      <c r="J79" s="39">
        <f>+'FY22'!J79*(1+MYP!$I$10)</f>
        <v>2840.2919999999999</v>
      </c>
      <c r="K79" s="39">
        <f>+'FY22'!K79*(1+MYP!$I$10)</f>
        <v>2840.2919999999999</v>
      </c>
      <c r="L79" s="39">
        <f>+'FY22'!L79*(1+MYP!$I$10)</f>
        <v>2840.2919999999999</v>
      </c>
      <c r="M79" s="39">
        <f>+'FY22'!M79*(1+MYP!$I$10)</f>
        <v>2840.2919999999999</v>
      </c>
      <c r="N79" s="39">
        <f>+'FY22'!N79*(1+MYP!$I$10)</f>
        <v>2840.2919999999999</v>
      </c>
      <c r="O79" s="39">
        <f>+'FY22'!O79*(1+MYP!$I$10)</f>
        <v>3880.692</v>
      </c>
      <c r="P79" s="39">
        <f>+'FY22'!P79*(1+MYP!$I$10)</f>
        <v>2840.2919999999999</v>
      </c>
      <c r="Q79" s="100"/>
      <c r="R79" s="41"/>
      <c r="S79" s="59">
        <f t="shared" si="23"/>
        <v>35123.904000000002</v>
      </c>
      <c r="T79" s="41"/>
      <c r="U79" s="39">
        <f>'FY22'!S79</f>
        <v>34435.19999999999</v>
      </c>
      <c r="V79" s="39">
        <f t="shared" si="24"/>
        <v>-688.70400000001246</v>
      </c>
      <c r="W79" s="39"/>
    </row>
    <row r="80" spans="3:23" s="37" customFormat="1" ht="12" x14ac:dyDescent="0.2">
      <c r="C80" s="38"/>
      <c r="E80" s="50">
        <f>SUBTOTAL(9,E76:E79)</f>
        <v>2996.3519999999999</v>
      </c>
      <c r="F80" s="50">
        <f t="shared" ref="F80:V80" si="25">SUBTOTAL(9,F76:F79)</f>
        <v>2996.3519999999999</v>
      </c>
      <c r="G80" s="50">
        <f t="shared" si="25"/>
        <v>3100.3919999999998</v>
      </c>
      <c r="H80" s="50">
        <f t="shared" si="25"/>
        <v>2996.3519999999999</v>
      </c>
      <c r="I80" s="50">
        <f t="shared" si="25"/>
        <v>5836.6440000000002</v>
      </c>
      <c r="J80" s="50">
        <f t="shared" si="25"/>
        <v>3100.3919999999998</v>
      </c>
      <c r="K80" s="50">
        <f t="shared" si="25"/>
        <v>2996.3519999999999</v>
      </c>
      <c r="L80" s="50">
        <f t="shared" si="25"/>
        <v>2996.3519999999999</v>
      </c>
      <c r="M80" s="50">
        <f t="shared" si="25"/>
        <v>3100.3919999999998</v>
      </c>
      <c r="N80" s="50">
        <f t="shared" si="25"/>
        <v>3126.402</v>
      </c>
      <c r="O80" s="50">
        <f t="shared" si="25"/>
        <v>4036.752</v>
      </c>
      <c r="P80" s="50">
        <f t="shared" si="25"/>
        <v>3100.3919999999998</v>
      </c>
      <c r="Q80" s="99"/>
      <c r="R80" s="41"/>
      <c r="S80" s="61">
        <f t="shared" si="25"/>
        <v>40383.126000000004</v>
      </c>
      <c r="T80" s="41"/>
      <c r="U80" s="50">
        <f t="shared" si="25"/>
        <v>39591.299999999988</v>
      </c>
      <c r="V80" s="50">
        <f t="shared" si="25"/>
        <v>-791.82600000001241</v>
      </c>
      <c r="W80" s="39"/>
    </row>
    <row r="81" spans="3:23" s="37" customFormat="1" ht="12" x14ac:dyDescent="0.2">
      <c r="C81" s="49" t="s">
        <v>101</v>
      </c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100"/>
      <c r="R81" s="41"/>
      <c r="S81" s="59"/>
      <c r="T81" s="41"/>
      <c r="U81" s="39"/>
      <c r="V81" s="39"/>
      <c r="W81" s="39"/>
    </row>
    <row r="82" spans="3:23" s="37" customFormat="1" ht="12" x14ac:dyDescent="0.2">
      <c r="C82" s="199">
        <v>6519</v>
      </c>
      <c r="D82" s="37" t="s">
        <v>235</v>
      </c>
      <c r="E82" s="39">
        <f>+'FY22'!E82*(1+MYP!$I$10)</f>
        <v>0</v>
      </c>
      <c r="F82" s="39">
        <f>+'FY22'!F82*(1+MYP!$I$10)</f>
        <v>0</v>
      </c>
      <c r="G82" s="39">
        <f>+'FY22'!G82*(1+MYP!$I$10)</f>
        <v>0</v>
      </c>
      <c r="H82" s="39">
        <f>+'FY22'!H82*(1+MYP!$I$10)</f>
        <v>0</v>
      </c>
      <c r="I82" s="39">
        <f>+'FY22'!I82*(1+MYP!$I$10)</f>
        <v>0</v>
      </c>
      <c r="J82" s="39">
        <f>+'FY22'!J82*(1+MYP!$I$10)</f>
        <v>0</v>
      </c>
      <c r="K82" s="39">
        <f>+'FY22'!K82*(1+MYP!$I$10)</f>
        <v>0</v>
      </c>
      <c r="L82" s="39">
        <f>+'FY22'!L82*(1+MYP!$I$10)</f>
        <v>0</v>
      </c>
      <c r="M82" s="39">
        <f>+'FY22'!M82*(1+MYP!$I$10)</f>
        <v>0</v>
      </c>
      <c r="N82" s="39">
        <f>+'FY22'!N82*(1+MYP!$I$10)</f>
        <v>0</v>
      </c>
      <c r="O82" s="39">
        <f>+'FY22'!O82*(1+MYP!$I$10)</f>
        <v>0</v>
      </c>
      <c r="P82" s="39">
        <f>+'FY22'!P82*(1+MYP!$I$10)</f>
        <v>0</v>
      </c>
      <c r="Q82" s="100"/>
      <c r="R82" s="41"/>
      <c r="S82" s="59">
        <f t="shared" ref="S82:S93" si="26">SUM(E82:Q82)</f>
        <v>0</v>
      </c>
      <c r="T82" s="41"/>
      <c r="U82" s="39">
        <f>'FY22'!S82</f>
        <v>0</v>
      </c>
      <c r="V82" s="39">
        <f t="shared" ref="V82:V93" si="27">U82-S82</f>
        <v>0</v>
      </c>
      <c r="W82" s="39"/>
    </row>
    <row r="83" spans="3:23" s="37" customFormat="1" ht="12" x14ac:dyDescent="0.2">
      <c r="C83" s="199">
        <v>6521</v>
      </c>
      <c r="D83" s="37" t="s">
        <v>24</v>
      </c>
      <c r="E83" s="39">
        <f>+'FY22'!E83*(1+MYP!$I$10)</f>
        <v>0</v>
      </c>
      <c r="F83" s="39">
        <f>+'FY22'!F83*(1+MYP!$I$10)</f>
        <v>0</v>
      </c>
      <c r="G83" s="39">
        <f>+'FY22'!G83*(1+MYP!$I$10)</f>
        <v>0</v>
      </c>
      <c r="H83" s="39">
        <f>+'FY22'!H83*(1+MYP!$I$10)</f>
        <v>0</v>
      </c>
      <c r="I83" s="39">
        <f>+'FY22'!I83*(1+MYP!$I$10)</f>
        <v>0</v>
      </c>
      <c r="J83" s="39">
        <f>+'FY22'!J83*(1+MYP!$I$10)</f>
        <v>0</v>
      </c>
      <c r="K83" s="39">
        <f>+'FY22'!K83*(1+MYP!$I$10)</f>
        <v>0</v>
      </c>
      <c r="L83" s="39">
        <f>+'FY22'!L83*(1+MYP!$I$10)</f>
        <v>0</v>
      </c>
      <c r="M83" s="39">
        <f>+'FY22'!M83*(1+MYP!$I$10)</f>
        <v>0</v>
      </c>
      <c r="N83" s="39">
        <f>+'FY22'!N83*(1+MYP!$I$10)</f>
        <v>0</v>
      </c>
      <c r="O83" s="39">
        <f>+'FY22'!O83*(1+MYP!$I$10)</f>
        <v>0</v>
      </c>
      <c r="P83" s="39">
        <f>+'FY22'!P83*(1+MYP!$I$10)</f>
        <v>0</v>
      </c>
      <c r="Q83" s="100"/>
      <c r="R83" s="41"/>
      <c r="S83" s="59">
        <f t="shared" si="26"/>
        <v>0</v>
      </c>
      <c r="T83" s="41"/>
      <c r="U83" s="39">
        <f>'FY22'!S83</f>
        <v>0</v>
      </c>
      <c r="V83" s="39">
        <f t="shared" si="27"/>
        <v>0</v>
      </c>
      <c r="W83" s="39"/>
    </row>
    <row r="84" spans="3:23" s="37" customFormat="1" ht="12" x14ac:dyDescent="0.2">
      <c r="C84" s="199">
        <v>6522</v>
      </c>
      <c r="D84" s="37" t="s">
        <v>25</v>
      </c>
      <c r="E84" s="39">
        <f>+'FY22'!E84*(1+MYP!$I$10)</f>
        <v>0</v>
      </c>
      <c r="F84" s="39">
        <f>+'FY22'!F84*(1+MYP!$I$10)</f>
        <v>0</v>
      </c>
      <c r="G84" s="39">
        <f>+'FY22'!G84*(1+MYP!$I$10)</f>
        <v>0</v>
      </c>
      <c r="H84" s="39">
        <f>+'FY22'!H84*(1+MYP!$I$10)</f>
        <v>0</v>
      </c>
      <c r="I84" s="39">
        <f>+'FY22'!I84*(1+MYP!$I$10)</f>
        <v>0</v>
      </c>
      <c r="J84" s="39">
        <f>+'FY22'!J84*(1+MYP!$I$10)</f>
        <v>0</v>
      </c>
      <c r="K84" s="39">
        <f>+'FY22'!K84*(1+MYP!$I$10)</f>
        <v>0</v>
      </c>
      <c r="L84" s="39">
        <f>+'FY22'!L84*(1+MYP!$I$10)</f>
        <v>0</v>
      </c>
      <c r="M84" s="39">
        <f>+'FY22'!M84*(1+MYP!$I$10)</f>
        <v>0</v>
      </c>
      <c r="N84" s="39">
        <f>+'FY22'!N84*(1+MYP!$I$10)</f>
        <v>0</v>
      </c>
      <c r="O84" s="39">
        <f>+'FY22'!O84*(1+MYP!$I$10)</f>
        <v>0</v>
      </c>
      <c r="P84" s="39">
        <f>+'FY22'!P84*(1+MYP!$I$10)</f>
        <v>0</v>
      </c>
      <c r="Q84" s="100"/>
      <c r="R84" s="41"/>
      <c r="S84" s="59">
        <f t="shared" si="26"/>
        <v>0</v>
      </c>
      <c r="T84" s="41"/>
      <c r="U84" s="39">
        <f>'FY22'!S84</f>
        <v>0</v>
      </c>
      <c r="V84" s="39">
        <f t="shared" si="27"/>
        <v>0</v>
      </c>
      <c r="W84" s="39"/>
    </row>
    <row r="85" spans="3:23" s="37" customFormat="1" ht="12" x14ac:dyDescent="0.2">
      <c r="C85" s="199">
        <v>6523</v>
      </c>
      <c r="D85" s="37" t="s">
        <v>26</v>
      </c>
      <c r="E85" s="39">
        <f>+'FY22'!E85*(1+MYP!$I$10)</f>
        <v>0</v>
      </c>
      <c r="F85" s="39">
        <f>+'FY22'!F85*(1+MYP!$I$10)</f>
        <v>0</v>
      </c>
      <c r="G85" s="39">
        <f>+'FY22'!G85*(1+MYP!$I$10)</f>
        <v>0</v>
      </c>
      <c r="H85" s="39">
        <f>+'FY22'!H85*(1+MYP!$I$10)</f>
        <v>0</v>
      </c>
      <c r="I85" s="39">
        <f>+'FY22'!I85*(1+MYP!$I$10)</f>
        <v>0</v>
      </c>
      <c r="J85" s="39">
        <f>+'FY22'!J85*(1+MYP!$I$10)</f>
        <v>0</v>
      </c>
      <c r="K85" s="39">
        <f>+'FY22'!K85*(1+MYP!$I$10)</f>
        <v>0</v>
      </c>
      <c r="L85" s="39">
        <f>+'FY22'!L85*(1+MYP!$I$10)</f>
        <v>0</v>
      </c>
      <c r="M85" s="39">
        <f>+'FY22'!M85*(1+MYP!$I$10)</f>
        <v>0</v>
      </c>
      <c r="N85" s="39">
        <f>+'FY22'!N85*(1+MYP!$I$10)</f>
        <v>0</v>
      </c>
      <c r="O85" s="39">
        <f>+'FY22'!O85*(1+MYP!$I$10)</f>
        <v>0</v>
      </c>
      <c r="P85" s="39">
        <f>+'FY22'!P85*(1+MYP!$I$10)</f>
        <v>0</v>
      </c>
      <c r="Q85" s="100"/>
      <c r="R85" s="41"/>
      <c r="S85" s="59">
        <f t="shared" si="26"/>
        <v>0</v>
      </c>
      <c r="T85" s="41"/>
      <c r="U85" s="39">
        <f>'FY22'!S85</f>
        <v>0</v>
      </c>
      <c r="V85" s="39">
        <f t="shared" si="27"/>
        <v>0</v>
      </c>
      <c r="W85" s="39"/>
    </row>
    <row r="86" spans="3:23" s="37" customFormat="1" ht="12" x14ac:dyDescent="0.2">
      <c r="C86" s="199">
        <v>6531</v>
      </c>
      <c r="D86" s="37" t="s">
        <v>27</v>
      </c>
      <c r="E86" s="39">
        <f>+'FY22'!E86*(1+MYP!$I$10)</f>
        <v>0</v>
      </c>
      <c r="F86" s="39">
        <f>+'FY22'!F86*(1+MYP!$I$10)</f>
        <v>0</v>
      </c>
      <c r="G86" s="39">
        <f>+'FY22'!G86*(1+MYP!$I$10)</f>
        <v>0</v>
      </c>
      <c r="H86" s="39">
        <f>+'FY22'!H86*(1+MYP!$I$10)</f>
        <v>0</v>
      </c>
      <c r="I86" s="39">
        <f>+'FY22'!I86*(1+MYP!$I$10)</f>
        <v>0</v>
      </c>
      <c r="J86" s="39">
        <f>+'FY22'!J86*(1+MYP!$I$10)</f>
        <v>0</v>
      </c>
      <c r="K86" s="39">
        <f>+'FY22'!K86*(1+MYP!$I$10)</f>
        <v>0</v>
      </c>
      <c r="L86" s="39">
        <f>+'FY22'!L86*(1+MYP!$I$10)</f>
        <v>0</v>
      </c>
      <c r="M86" s="39">
        <f>+'FY22'!M86*(1+MYP!$I$10)</f>
        <v>0</v>
      </c>
      <c r="N86" s="39">
        <f>+'FY22'!N86*(1+MYP!$I$10)</f>
        <v>0</v>
      </c>
      <c r="O86" s="39">
        <f>+'FY22'!O86*(1+MYP!$I$10)</f>
        <v>0</v>
      </c>
      <c r="P86" s="39">
        <f>+'FY22'!P86*(1+MYP!$I$10)</f>
        <v>0</v>
      </c>
      <c r="Q86" s="100"/>
      <c r="R86" s="41"/>
      <c r="S86" s="59">
        <f t="shared" si="26"/>
        <v>0</v>
      </c>
      <c r="T86" s="41"/>
      <c r="U86" s="39">
        <f>'FY22'!S86</f>
        <v>0</v>
      </c>
      <c r="V86" s="39">
        <f t="shared" si="27"/>
        <v>0</v>
      </c>
      <c r="W86" s="39"/>
    </row>
    <row r="87" spans="3:23" s="37" customFormat="1" ht="12" x14ac:dyDescent="0.2">
      <c r="C87" s="199">
        <v>6534</v>
      </c>
      <c r="D87" s="37" t="s">
        <v>28</v>
      </c>
      <c r="E87" s="39">
        <f>+'FY22'!E87*(1+MYP!$I$10)</f>
        <v>0</v>
      </c>
      <c r="F87" s="39">
        <f>+'FY22'!F87*(1+MYP!$I$10)</f>
        <v>0</v>
      </c>
      <c r="G87" s="39">
        <f>+'FY22'!G87*(1+MYP!$I$10)</f>
        <v>0</v>
      </c>
      <c r="H87" s="39">
        <f>+'FY22'!H87*(1+MYP!$I$10)</f>
        <v>0</v>
      </c>
      <c r="I87" s="39">
        <f>+'FY22'!I87*(1+MYP!$I$10)</f>
        <v>0</v>
      </c>
      <c r="J87" s="39">
        <f>+'FY22'!J87*(1+MYP!$I$10)</f>
        <v>0</v>
      </c>
      <c r="K87" s="39">
        <f>+'FY22'!K87*(1+MYP!$I$10)</f>
        <v>0</v>
      </c>
      <c r="L87" s="39">
        <f>+'FY22'!L87*(1+MYP!$I$10)</f>
        <v>0</v>
      </c>
      <c r="M87" s="39">
        <f>+'FY22'!M87*(1+MYP!$I$10)</f>
        <v>0</v>
      </c>
      <c r="N87" s="39">
        <f>+'FY22'!N87*(1+MYP!$I$10)</f>
        <v>0</v>
      </c>
      <c r="O87" s="39">
        <f>+'FY22'!O87*(1+MYP!$I$10)</f>
        <v>0</v>
      </c>
      <c r="P87" s="39">
        <f>+'FY22'!P87*(1+MYP!$I$10)</f>
        <v>0</v>
      </c>
      <c r="Q87" s="100"/>
      <c r="R87" s="41"/>
      <c r="S87" s="59">
        <f t="shared" si="26"/>
        <v>0</v>
      </c>
      <c r="T87" s="41"/>
      <c r="U87" s="39">
        <f>'FY22'!S87</f>
        <v>0</v>
      </c>
      <c r="V87" s="39">
        <f t="shared" si="27"/>
        <v>0</v>
      </c>
      <c r="W87" s="39"/>
    </row>
    <row r="88" spans="3:23" s="37" customFormat="1" ht="12" x14ac:dyDescent="0.2">
      <c r="C88" s="199">
        <v>6535</v>
      </c>
      <c r="D88" s="37" t="s">
        <v>236</v>
      </c>
      <c r="E88" s="39">
        <f>+'FY22'!E88*(1+MYP!$I$10)</f>
        <v>314.20080000000002</v>
      </c>
      <c r="F88" s="39">
        <f>+'FY22'!F88*(1+MYP!$I$10)</f>
        <v>314.20080000000002</v>
      </c>
      <c r="G88" s="39">
        <f>+'FY22'!G88*(1+MYP!$I$10)</f>
        <v>314.20080000000002</v>
      </c>
      <c r="H88" s="39">
        <f>+'FY22'!H88*(1+MYP!$I$10)</f>
        <v>314.20080000000002</v>
      </c>
      <c r="I88" s="39">
        <f>+'FY22'!I88*(1+MYP!$I$10)</f>
        <v>314.20080000000002</v>
      </c>
      <c r="J88" s="39">
        <f>+'FY22'!J88*(1+MYP!$I$10)</f>
        <v>314.20080000000002</v>
      </c>
      <c r="K88" s="39">
        <f>+'FY22'!K88*(1+MYP!$I$10)</f>
        <v>314.20080000000002</v>
      </c>
      <c r="L88" s="39">
        <f>+'FY22'!L88*(1+MYP!$I$10)</f>
        <v>314.20080000000002</v>
      </c>
      <c r="M88" s="39">
        <f>+'FY22'!M88*(1+MYP!$I$10)</f>
        <v>314.20080000000002</v>
      </c>
      <c r="N88" s="39">
        <f>+'FY22'!N88*(1+MYP!$I$10)</f>
        <v>314.20080000000002</v>
      </c>
      <c r="O88" s="39">
        <f>+'FY22'!O88*(1+MYP!$I$10)</f>
        <v>314.20080000000002</v>
      </c>
      <c r="P88" s="39">
        <f>+'FY22'!P88*(1+MYP!$I$10)</f>
        <v>314.20080000000002</v>
      </c>
      <c r="Q88" s="100"/>
      <c r="R88" s="41"/>
      <c r="S88" s="59">
        <f t="shared" si="26"/>
        <v>3770.4096000000004</v>
      </c>
      <c r="T88" s="41"/>
      <c r="U88" s="39">
        <f>'FY22'!S88</f>
        <v>3696.48</v>
      </c>
      <c r="V88" s="39">
        <f t="shared" si="27"/>
        <v>-73.929600000000391</v>
      </c>
      <c r="W88" s="39"/>
    </row>
    <row r="89" spans="3:23" s="37" customFormat="1" ht="12" x14ac:dyDescent="0.2">
      <c r="C89" s="199">
        <v>6540</v>
      </c>
      <c r="D89" s="37" t="s">
        <v>30</v>
      </c>
      <c r="E89" s="39">
        <f>+'FY22'!E89*(1+MYP!$I$10)</f>
        <v>0</v>
      </c>
      <c r="F89" s="39">
        <f>+'FY22'!F89*(1+MYP!$I$10)</f>
        <v>0</v>
      </c>
      <c r="G89" s="39">
        <f>+'FY22'!G89*(1+MYP!$I$10)</f>
        <v>0</v>
      </c>
      <c r="H89" s="39">
        <f>+'FY22'!H89*(1+MYP!$I$10)</f>
        <v>0</v>
      </c>
      <c r="I89" s="39">
        <f>+'FY22'!I89*(1+MYP!$I$10)</f>
        <v>0</v>
      </c>
      <c r="J89" s="39">
        <f>+'FY22'!J89*(1+MYP!$I$10)</f>
        <v>0</v>
      </c>
      <c r="K89" s="39">
        <f>+'FY22'!K89*(1+MYP!$I$10)</f>
        <v>0</v>
      </c>
      <c r="L89" s="39">
        <f>+'FY22'!L89*(1+MYP!$I$10)</f>
        <v>0</v>
      </c>
      <c r="M89" s="39">
        <f>+'FY22'!M89*(1+MYP!$I$10)</f>
        <v>0</v>
      </c>
      <c r="N89" s="39">
        <f>+'FY22'!N89*(1+MYP!$I$10)</f>
        <v>0</v>
      </c>
      <c r="O89" s="39">
        <f>+'FY22'!O89*(1+MYP!$I$10)</f>
        <v>0</v>
      </c>
      <c r="P89" s="39">
        <f>+'FY22'!P89*(1+MYP!$I$10)</f>
        <v>0</v>
      </c>
      <c r="Q89" s="100"/>
      <c r="R89" s="41"/>
      <c r="S89" s="59">
        <f t="shared" si="26"/>
        <v>0</v>
      </c>
      <c r="T89" s="41"/>
      <c r="U89" s="39">
        <f>'FY22'!S89</f>
        <v>0</v>
      </c>
      <c r="V89" s="39">
        <f t="shared" si="27"/>
        <v>0</v>
      </c>
      <c r="W89" s="39"/>
    </row>
    <row r="90" spans="3:23" s="37" customFormat="1" ht="12" x14ac:dyDescent="0.2">
      <c r="C90" s="199">
        <v>6550</v>
      </c>
      <c r="D90" s="37" t="s">
        <v>31</v>
      </c>
      <c r="E90" s="39">
        <f>+'FY22'!E90*(1+MYP!$I$10)</f>
        <v>0</v>
      </c>
      <c r="F90" s="39">
        <f>+'FY22'!F90*(1+MYP!$I$10)</f>
        <v>0</v>
      </c>
      <c r="G90" s="39">
        <f>+'FY22'!G90*(1+MYP!$I$10)</f>
        <v>0</v>
      </c>
      <c r="H90" s="39">
        <f>+'FY22'!H90*(1+MYP!$I$10)</f>
        <v>0</v>
      </c>
      <c r="I90" s="39">
        <f>+'FY22'!I90*(1+MYP!$I$10)</f>
        <v>0</v>
      </c>
      <c r="J90" s="39">
        <f>+'FY22'!J90*(1+MYP!$I$10)</f>
        <v>0</v>
      </c>
      <c r="K90" s="39">
        <f>+'FY22'!K90*(1+MYP!$I$10)</f>
        <v>0</v>
      </c>
      <c r="L90" s="39">
        <f>+'FY22'!L90*(1+MYP!$I$10)</f>
        <v>0</v>
      </c>
      <c r="M90" s="39">
        <f>+'FY22'!M90*(1+MYP!$I$10)</f>
        <v>0</v>
      </c>
      <c r="N90" s="39">
        <f>+'FY22'!N90*(1+MYP!$I$10)</f>
        <v>0</v>
      </c>
      <c r="O90" s="39">
        <f>+'FY22'!O90*(1+MYP!$I$10)</f>
        <v>0</v>
      </c>
      <c r="P90" s="39">
        <f>+'FY22'!P90*(1+MYP!$I$10)</f>
        <v>0</v>
      </c>
      <c r="Q90" s="100"/>
      <c r="R90" s="41"/>
      <c r="S90" s="59">
        <f t="shared" si="26"/>
        <v>0</v>
      </c>
      <c r="T90" s="41"/>
      <c r="U90" s="39">
        <f>'FY22'!S90</f>
        <v>0</v>
      </c>
      <c r="V90" s="39">
        <f t="shared" si="27"/>
        <v>0</v>
      </c>
      <c r="W90" s="39"/>
    </row>
    <row r="91" spans="3:23" s="37" customFormat="1" ht="12" x14ac:dyDescent="0.2">
      <c r="C91" s="206">
        <v>6568</v>
      </c>
      <c r="D91" s="37" t="s">
        <v>187</v>
      </c>
      <c r="E91" s="39">
        <f>+'FY22'!E91*(1+MYP!$G$8)</f>
        <v>0</v>
      </c>
      <c r="F91" s="39">
        <f>+'FY22'!F91*(1+MYP!$G$8)</f>
        <v>0</v>
      </c>
      <c r="G91" s="39">
        <f>+'FY22'!G91*(1+MYP!$G$8)</f>
        <v>0</v>
      </c>
      <c r="H91" s="39">
        <f>+'FY22'!H91*(1+MYP!$G$8)</f>
        <v>0</v>
      </c>
      <c r="I91" s="39">
        <f>+'FY22'!I91*(1+MYP!$G$8)</f>
        <v>0</v>
      </c>
      <c r="J91" s="39">
        <f>+'FY22'!J91*(1+MYP!$G$8)</f>
        <v>0</v>
      </c>
      <c r="K91" s="39">
        <f>+'FY22'!K91*(1+MYP!$G$8)</f>
        <v>0</v>
      </c>
      <c r="L91" s="39">
        <f>+'FY22'!L91*(1+MYP!$G$8)</f>
        <v>0</v>
      </c>
      <c r="M91" s="39">
        <f>+'FY22'!M91*(1+MYP!$G$8)</f>
        <v>0</v>
      </c>
      <c r="N91" s="39">
        <f>+'FY22'!N91*(1+MYP!$G$8)</f>
        <v>0</v>
      </c>
      <c r="O91" s="39">
        <f>+'FY22'!O91*(1+MYP!$G$8)</f>
        <v>0</v>
      </c>
      <c r="P91" s="39">
        <f>+'FY22'!P91*(1+MYP!$G$8)</f>
        <v>0</v>
      </c>
      <c r="Q91" s="100"/>
      <c r="R91" s="41"/>
      <c r="S91" s="59">
        <f t="shared" ref="S91" si="28">SUM(E91:Q91)</f>
        <v>0</v>
      </c>
      <c r="T91" s="41"/>
      <c r="U91" s="39">
        <f>'FY22'!S91</f>
        <v>0</v>
      </c>
      <c r="V91" s="39">
        <f t="shared" ref="V91" si="29">U91-S91</f>
        <v>0</v>
      </c>
      <c r="W91" s="39"/>
    </row>
    <row r="92" spans="3:23" s="37" customFormat="1" ht="12" x14ac:dyDescent="0.2">
      <c r="C92" s="199">
        <v>6569</v>
      </c>
      <c r="D92" s="37" t="s">
        <v>32</v>
      </c>
      <c r="E92" s="39">
        <f>+'FY22'!E92*(1+MYP!$G$8)</f>
        <v>0</v>
      </c>
      <c r="F92" s="39">
        <f>+'FY22'!F92*(1+MYP!$G$8)</f>
        <v>0</v>
      </c>
      <c r="G92" s="39">
        <f>+'FY22'!G92*(1+MYP!$G$8)</f>
        <v>0</v>
      </c>
      <c r="H92" s="39">
        <f>+'FY22'!H92*(1+MYP!$G$8)</f>
        <v>48568.812499999993</v>
      </c>
      <c r="I92" s="39">
        <f>+'FY22'!I92*(1+MYP!$G$8)</f>
        <v>64637.187499999985</v>
      </c>
      <c r="J92" s="39">
        <f>+'FY22'!J92*(1+MYP!$G$8)</f>
        <v>-1322.5</v>
      </c>
      <c r="K92" s="39">
        <f>+'FY22'!K92*(1+MYP!$G$8)</f>
        <v>0</v>
      </c>
      <c r="L92" s="39">
        <f>+'FY22'!L92*(1+MYP!$G$8)</f>
        <v>0</v>
      </c>
      <c r="M92" s="39">
        <f>+'FY22'!M92*(1+MYP!$G$8)</f>
        <v>55611.124999999985</v>
      </c>
      <c r="N92" s="39">
        <f>+'FY22'!N92*(1+MYP!$G$8)</f>
        <v>86293.125</v>
      </c>
      <c r="O92" s="39">
        <f>+'FY22'!O92*(1+MYP!$G$8)</f>
        <v>-1322.5</v>
      </c>
      <c r="P92" s="39">
        <f>+'FY22'!P92*(1+MYP!$G$8)</f>
        <v>0</v>
      </c>
      <c r="Q92" s="100"/>
      <c r="R92" s="41"/>
      <c r="S92" s="59">
        <f t="shared" si="26"/>
        <v>252465.24999999994</v>
      </c>
      <c r="T92" s="41"/>
      <c r="U92" s="39">
        <f>'FY22'!S92</f>
        <v>219535</v>
      </c>
      <c r="V92" s="39">
        <f t="shared" si="27"/>
        <v>-32930.249999999942</v>
      </c>
      <c r="W92" s="39"/>
    </row>
    <row r="93" spans="3:23" s="37" customFormat="1" ht="12" x14ac:dyDescent="0.2">
      <c r="C93" s="199">
        <v>6580</v>
      </c>
      <c r="D93" s="37" t="s">
        <v>33</v>
      </c>
      <c r="E93" s="39">
        <f>+'FY22'!E93*(1+MYP!$I$10)</f>
        <v>0</v>
      </c>
      <c r="F93" s="39">
        <f>+'FY22'!F93*(1+MYP!$I$10)</f>
        <v>0</v>
      </c>
      <c r="G93" s="39">
        <f>+'FY22'!G93*(1+MYP!$I$10)</f>
        <v>0</v>
      </c>
      <c r="H93" s="39">
        <f>+'FY22'!H93*(1+MYP!$I$10)</f>
        <v>0</v>
      </c>
      <c r="I93" s="39">
        <f>+'FY22'!I93*(1+MYP!$I$10)</f>
        <v>0</v>
      </c>
      <c r="J93" s="39">
        <f>+'FY22'!J93*(1+MYP!$I$10)</f>
        <v>0</v>
      </c>
      <c r="K93" s="39">
        <f>+'FY22'!K93*(1+MYP!$I$10)</f>
        <v>0</v>
      </c>
      <c r="L93" s="39">
        <f>+'FY22'!L93*(1+MYP!$I$10)</f>
        <v>0</v>
      </c>
      <c r="M93" s="39">
        <f>+'FY22'!M93*(1+MYP!$I$10)</f>
        <v>0</v>
      </c>
      <c r="N93" s="39">
        <f>+'FY22'!N93*(1+MYP!$I$10)</f>
        <v>0</v>
      </c>
      <c r="O93" s="39">
        <f>+'FY22'!O93*(1+MYP!$I$10)</f>
        <v>0</v>
      </c>
      <c r="P93" s="39">
        <f>+'FY22'!P93*(1+MYP!$I$10)</f>
        <v>0</v>
      </c>
      <c r="Q93" s="100"/>
      <c r="R93" s="41"/>
      <c r="S93" s="59">
        <f t="shared" si="26"/>
        <v>0</v>
      </c>
      <c r="T93" s="41"/>
      <c r="U93" s="39">
        <f>'FY22'!S93</f>
        <v>0</v>
      </c>
      <c r="V93" s="39">
        <f t="shared" si="27"/>
        <v>0</v>
      </c>
      <c r="W93" s="39"/>
    </row>
    <row r="94" spans="3:23" s="37" customFormat="1" ht="12" x14ac:dyDescent="0.2">
      <c r="C94" s="38"/>
      <c r="E94" s="50">
        <f>SUBTOTAL(9,E82:E93)</f>
        <v>314.20080000000002</v>
      </c>
      <c r="F94" s="50">
        <f t="shared" ref="F94:V94" si="30">SUBTOTAL(9,F82:F93)</f>
        <v>314.20080000000002</v>
      </c>
      <c r="G94" s="50">
        <f t="shared" si="30"/>
        <v>314.20080000000002</v>
      </c>
      <c r="H94" s="50">
        <f t="shared" si="30"/>
        <v>48883.013299999991</v>
      </c>
      <c r="I94" s="50">
        <f t="shared" si="30"/>
        <v>64951.388299999984</v>
      </c>
      <c r="J94" s="50">
        <f t="shared" si="30"/>
        <v>-1008.2991999999999</v>
      </c>
      <c r="K94" s="50">
        <f t="shared" si="30"/>
        <v>314.20080000000002</v>
      </c>
      <c r="L94" s="50">
        <f t="shared" si="30"/>
        <v>314.20080000000002</v>
      </c>
      <c r="M94" s="50">
        <f t="shared" si="30"/>
        <v>55925.325799999984</v>
      </c>
      <c r="N94" s="50">
        <f t="shared" si="30"/>
        <v>86607.325800000006</v>
      </c>
      <c r="O94" s="50">
        <f t="shared" si="30"/>
        <v>-1008.2991999999999</v>
      </c>
      <c r="P94" s="50">
        <f t="shared" si="30"/>
        <v>314.20080000000002</v>
      </c>
      <c r="Q94" s="99"/>
      <c r="R94" s="41"/>
      <c r="S94" s="61">
        <f t="shared" si="30"/>
        <v>256235.65959999996</v>
      </c>
      <c r="T94" s="41"/>
      <c r="U94" s="50">
        <f t="shared" si="30"/>
        <v>223231.48</v>
      </c>
      <c r="V94" s="50">
        <f t="shared" si="30"/>
        <v>-33004.179599999945</v>
      </c>
      <c r="W94" s="39"/>
    </row>
    <row r="95" spans="3:23" s="37" customFormat="1" ht="12" x14ac:dyDescent="0.2">
      <c r="C95" s="49" t="s">
        <v>102</v>
      </c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100"/>
      <c r="R95" s="41"/>
      <c r="S95" s="59"/>
      <c r="T95" s="41"/>
      <c r="U95" s="39"/>
      <c r="V95" s="39"/>
      <c r="W95" s="39"/>
    </row>
    <row r="96" spans="3:23" s="37" customFormat="1" ht="12" x14ac:dyDescent="0.2">
      <c r="C96" s="199">
        <v>6610</v>
      </c>
      <c r="D96" s="37" t="s">
        <v>34</v>
      </c>
      <c r="E96" s="39">
        <f>+'FY22'!E96*(1+MYP!$I$10)</f>
        <v>182.07</v>
      </c>
      <c r="F96" s="39">
        <f>+'FY22'!F96*(1+MYP!$I$10)</f>
        <v>182.07</v>
      </c>
      <c r="G96" s="39">
        <f>+'FY22'!G96*(1+MYP!$I$10)</f>
        <v>182.07</v>
      </c>
      <c r="H96" s="39">
        <f>+'FY22'!H96*(1+MYP!$I$10)</f>
        <v>381.82680000000005</v>
      </c>
      <c r="I96" s="39">
        <f>+'FY22'!I96*(1+MYP!$I$10)</f>
        <v>182.07</v>
      </c>
      <c r="J96" s="39">
        <f>+'FY22'!J96*(1+MYP!$I$10)</f>
        <v>182.07</v>
      </c>
      <c r="K96" s="39">
        <f>+'FY22'!K96*(1+MYP!$I$10)</f>
        <v>182.07</v>
      </c>
      <c r="L96" s="39">
        <f>+'FY22'!L96*(1+MYP!$I$10)</f>
        <v>182.07</v>
      </c>
      <c r="M96" s="39">
        <f>+'FY22'!M96*(1+MYP!$I$10)</f>
        <v>182.07</v>
      </c>
      <c r="N96" s="39">
        <f>+'FY22'!N96*(1+MYP!$I$10)</f>
        <v>182.07</v>
      </c>
      <c r="O96" s="39">
        <f>+'FY22'!O96*(1+MYP!$I$10)</f>
        <v>182.07</v>
      </c>
      <c r="P96" s="39">
        <f>+'FY22'!P96*(1+MYP!$I$10)</f>
        <v>182.07</v>
      </c>
      <c r="Q96" s="100"/>
      <c r="R96" s="41"/>
      <c r="S96" s="59">
        <f t="shared" ref="S96:S102" si="31">SUM(E96:Q96)</f>
        <v>2384.5967999999998</v>
      </c>
      <c r="T96" s="41"/>
      <c r="U96" s="39">
        <f>'FY22'!S96</f>
        <v>2337.84</v>
      </c>
      <c r="V96" s="39">
        <f t="shared" ref="V96:V102" si="32">U96-S96</f>
        <v>-46.756799999999657</v>
      </c>
      <c r="W96" s="39"/>
    </row>
    <row r="97" spans="3:23" s="37" customFormat="1" ht="12" x14ac:dyDescent="0.2">
      <c r="C97" s="199">
        <v>6612</v>
      </c>
      <c r="D97" s="37" t="s">
        <v>35</v>
      </c>
      <c r="E97" s="39">
        <f>+'FY22'!E97*(1+MYP!$I$10)</f>
        <v>0</v>
      </c>
      <c r="F97" s="39">
        <f>+'FY22'!F97*(1+MYP!$I$10)</f>
        <v>0</v>
      </c>
      <c r="G97" s="39">
        <f>+'FY22'!G97*(1+MYP!$I$10)</f>
        <v>0</v>
      </c>
      <c r="H97" s="39">
        <f>+'FY22'!H97*(1+MYP!$I$10)</f>
        <v>0</v>
      </c>
      <c r="I97" s="39">
        <f>+'FY22'!I97*(1+MYP!$I$10)</f>
        <v>0</v>
      </c>
      <c r="J97" s="39">
        <f>+'FY22'!J97*(1+MYP!$I$10)</f>
        <v>0</v>
      </c>
      <c r="K97" s="39">
        <f>+'FY22'!K97*(1+MYP!$I$10)</f>
        <v>0</v>
      </c>
      <c r="L97" s="39">
        <f>+'FY22'!L97*(1+MYP!$I$10)</f>
        <v>0</v>
      </c>
      <c r="M97" s="39">
        <f>+'FY22'!M97*(1+MYP!$I$10)</f>
        <v>0</v>
      </c>
      <c r="N97" s="39">
        <f>+'FY22'!N97*(1+MYP!$I$10)</f>
        <v>0</v>
      </c>
      <c r="O97" s="39">
        <f>+'FY22'!O97*(1+MYP!$I$10)</f>
        <v>0</v>
      </c>
      <c r="P97" s="39">
        <f>+'FY22'!P97*(1+MYP!$I$10)</f>
        <v>0</v>
      </c>
      <c r="Q97" s="100"/>
      <c r="R97" s="41"/>
      <c r="S97" s="59">
        <f t="shared" si="31"/>
        <v>0</v>
      </c>
      <c r="T97" s="41"/>
      <c r="U97" s="39">
        <f>'FY22'!S97</f>
        <v>0</v>
      </c>
      <c r="V97" s="39">
        <f t="shared" si="32"/>
        <v>0</v>
      </c>
      <c r="W97" s="39"/>
    </row>
    <row r="98" spans="3:23" s="37" customFormat="1" ht="12" x14ac:dyDescent="0.2">
      <c r="C98" s="199">
        <v>6622</v>
      </c>
      <c r="D98" s="37" t="s">
        <v>36</v>
      </c>
      <c r="E98" s="39">
        <f>+'FY22'!E98*(1+MYP!$I$10)</f>
        <v>104.04</v>
      </c>
      <c r="F98" s="39">
        <f>+'FY22'!F98*(1+MYP!$I$10)</f>
        <v>104.04</v>
      </c>
      <c r="G98" s="39">
        <f>+'FY22'!G98*(1+MYP!$I$10)</f>
        <v>104.04</v>
      </c>
      <c r="H98" s="39">
        <f>+'FY22'!H98*(1+MYP!$I$10)</f>
        <v>104.04</v>
      </c>
      <c r="I98" s="39">
        <f>+'FY22'!I98*(1+MYP!$I$10)</f>
        <v>104.04</v>
      </c>
      <c r="J98" s="39">
        <f>+'FY22'!J98*(1+MYP!$I$10)</f>
        <v>104.04</v>
      </c>
      <c r="K98" s="39">
        <f>+'FY22'!K98*(1+MYP!$I$10)</f>
        <v>104.04</v>
      </c>
      <c r="L98" s="39">
        <f>+'FY22'!L98*(1+MYP!$I$10)</f>
        <v>104.04</v>
      </c>
      <c r="M98" s="39">
        <f>+'FY22'!M98*(1+MYP!$I$10)</f>
        <v>104.04</v>
      </c>
      <c r="N98" s="39">
        <f>+'FY22'!N98*(1+MYP!$I$10)</f>
        <v>104.04</v>
      </c>
      <c r="O98" s="39">
        <f>+'FY22'!O98*(1+MYP!$I$10)</f>
        <v>104.04</v>
      </c>
      <c r="P98" s="39">
        <f>+'FY22'!P98*(1+MYP!$I$10)</f>
        <v>104.04</v>
      </c>
      <c r="Q98" s="100"/>
      <c r="R98" s="41"/>
      <c r="S98" s="59">
        <f t="shared" si="31"/>
        <v>1248.4799999999998</v>
      </c>
      <c r="T98" s="41"/>
      <c r="U98" s="39">
        <f>'FY22'!S98</f>
        <v>1224</v>
      </c>
      <c r="V98" s="39">
        <f t="shared" si="32"/>
        <v>-24.479999999999791</v>
      </c>
      <c r="W98" s="39"/>
    </row>
    <row r="99" spans="3:23" s="37" customFormat="1" ht="12" x14ac:dyDescent="0.2">
      <c r="C99" s="199">
        <v>6641</v>
      </c>
      <c r="D99" s="37" t="s">
        <v>37</v>
      </c>
      <c r="E99" s="39">
        <f>+'FY22'!E99*(1+MYP!$G$8)</f>
        <v>0</v>
      </c>
      <c r="F99" s="39">
        <f>+'FY22'!F99*(1+MYP!$G$8)</f>
        <v>0</v>
      </c>
      <c r="G99" s="39">
        <f>+'FY22'!G99*(1+MYP!$G$8)</f>
        <v>0</v>
      </c>
      <c r="H99" s="39">
        <f>+'FY22'!H99*(1+MYP!$G$8)</f>
        <v>9356.6874999999982</v>
      </c>
      <c r="I99" s="39">
        <f>+'FY22'!I99*(1+MYP!$G$8)</f>
        <v>4595.6874999999991</v>
      </c>
      <c r="J99" s="39">
        <f>+'FY22'!J99*(1+MYP!$G$8)</f>
        <v>0</v>
      </c>
      <c r="K99" s="39">
        <f>+'FY22'!K99*(1+MYP!$G$8)</f>
        <v>0</v>
      </c>
      <c r="L99" s="39">
        <f>+'FY22'!L99*(1+MYP!$G$8)</f>
        <v>0</v>
      </c>
      <c r="M99" s="39">
        <f>+'FY22'!M99*(1+MYP!$G$8)</f>
        <v>0</v>
      </c>
      <c r="N99" s="39">
        <f>+'FY22'!N99*(1+MYP!$G$8)</f>
        <v>5637.15625</v>
      </c>
      <c r="O99" s="39">
        <f>+'FY22'!O99*(1+MYP!$G$8)</f>
        <v>3051.6687499999998</v>
      </c>
      <c r="P99" s="39">
        <f>+'FY22'!P99*(1+MYP!$G$8)</f>
        <v>0</v>
      </c>
      <c r="Q99" s="100"/>
      <c r="R99" s="41"/>
      <c r="S99" s="59">
        <f t="shared" si="31"/>
        <v>22641.199999999997</v>
      </c>
      <c r="T99" s="41"/>
      <c r="U99" s="39">
        <f>'FY22'!S99</f>
        <v>19688</v>
      </c>
      <c r="V99" s="39">
        <f t="shared" si="32"/>
        <v>-2953.1999999999971</v>
      </c>
      <c r="W99" s="39"/>
    </row>
    <row r="100" spans="3:23" s="37" customFormat="1" ht="12" x14ac:dyDescent="0.2">
      <c r="C100" s="199">
        <v>6642</v>
      </c>
      <c r="D100" s="37" t="s">
        <v>38</v>
      </c>
      <c r="E100" s="39">
        <f>+'FY22'!E100*(1+MYP!$G$8)</f>
        <v>0</v>
      </c>
      <c r="F100" s="39">
        <f>+'FY22'!F100*(1+MYP!$G$8)</f>
        <v>0</v>
      </c>
      <c r="G100" s="39">
        <f>+'FY22'!G100*(1+MYP!$G$8)</f>
        <v>0</v>
      </c>
      <c r="H100" s="39">
        <f>+'FY22'!H100*(1+MYP!$G$8)</f>
        <v>4694.8749999999991</v>
      </c>
      <c r="I100" s="39">
        <f>+'FY22'!I100*(1+MYP!$G$8)</f>
        <v>6943.1249999999982</v>
      </c>
      <c r="J100" s="39">
        <f>+'FY22'!J100*(1+MYP!$G$8)</f>
        <v>0</v>
      </c>
      <c r="K100" s="39">
        <f>+'FY22'!K100*(1+MYP!$G$8)</f>
        <v>0</v>
      </c>
      <c r="L100" s="39">
        <f>+'FY22'!L100*(1+MYP!$G$8)</f>
        <v>0</v>
      </c>
      <c r="M100" s="39">
        <f>+'FY22'!M100*(1+MYP!$G$8)</f>
        <v>0</v>
      </c>
      <c r="N100" s="39">
        <f>+'FY22'!N100*(1+MYP!$G$8)</f>
        <v>9373.2187499999982</v>
      </c>
      <c r="O100" s="39">
        <f>+'FY22'!O100*(1+MYP!$G$8)</f>
        <v>6338.0812499999993</v>
      </c>
      <c r="P100" s="39">
        <f>+'FY22'!P100*(1+MYP!$G$8)</f>
        <v>0</v>
      </c>
      <c r="Q100" s="100"/>
      <c r="R100" s="41"/>
      <c r="S100" s="59">
        <f t="shared" si="31"/>
        <v>27349.299999999992</v>
      </c>
      <c r="T100" s="41"/>
      <c r="U100" s="39">
        <f>'FY22'!S100</f>
        <v>23781.999999999996</v>
      </c>
      <c r="V100" s="39">
        <f t="shared" si="32"/>
        <v>-3567.2999999999956</v>
      </c>
      <c r="W100" s="39"/>
    </row>
    <row r="101" spans="3:23" s="37" customFormat="1" ht="12" x14ac:dyDescent="0.2">
      <c r="C101" s="199">
        <v>6651</v>
      </c>
      <c r="D101" s="37" t="s">
        <v>39</v>
      </c>
      <c r="E101" s="39">
        <f>+'FY22'!E101*(1+MYP!$I$10)</f>
        <v>0</v>
      </c>
      <c r="F101" s="39">
        <f>+'FY22'!F101*(1+MYP!$I$10)</f>
        <v>0</v>
      </c>
      <c r="G101" s="39">
        <f>+'FY22'!G101*(1+MYP!$I$10)</f>
        <v>0</v>
      </c>
      <c r="H101" s="39">
        <f>+'FY22'!H101*(1+MYP!$I$10)</f>
        <v>0</v>
      </c>
      <c r="I101" s="39">
        <f>+'FY22'!I101*(1+MYP!$I$10)</f>
        <v>0</v>
      </c>
      <c r="J101" s="39">
        <f>+'FY22'!J101*(1+MYP!$I$10)</f>
        <v>0</v>
      </c>
      <c r="K101" s="39">
        <f>+'FY22'!K101*(1+MYP!$I$10)</f>
        <v>0</v>
      </c>
      <c r="L101" s="39">
        <f>+'FY22'!L101*(1+MYP!$I$10)</f>
        <v>0</v>
      </c>
      <c r="M101" s="39">
        <f>+'FY22'!M101*(1+MYP!$I$10)</f>
        <v>0</v>
      </c>
      <c r="N101" s="39">
        <f>+'FY22'!N101*(1+MYP!$I$10)</f>
        <v>0</v>
      </c>
      <c r="O101" s="39">
        <f>+'FY22'!O101*(1+MYP!$I$10)</f>
        <v>0</v>
      </c>
      <c r="P101" s="39">
        <f>+'FY22'!P101*(1+MYP!$I$10)</f>
        <v>0</v>
      </c>
      <c r="Q101" s="100"/>
      <c r="R101" s="41"/>
      <c r="S101" s="59">
        <f t="shared" si="31"/>
        <v>0</v>
      </c>
      <c r="T101" s="41"/>
      <c r="U101" s="39">
        <f>'FY22'!S101</f>
        <v>0</v>
      </c>
      <c r="V101" s="39">
        <f t="shared" si="32"/>
        <v>0</v>
      </c>
      <c r="W101" s="39"/>
    </row>
    <row r="102" spans="3:23" s="37" customFormat="1" ht="12" x14ac:dyDescent="0.2">
      <c r="C102" s="199">
        <v>6652</v>
      </c>
      <c r="D102" s="37" t="s">
        <v>40</v>
      </c>
      <c r="E102" s="39">
        <f>+'FY22'!E102*(1+MYP!$I$10)</f>
        <v>0</v>
      </c>
      <c r="F102" s="39">
        <f>+'FY22'!F102*(1+MYP!$I$10)</f>
        <v>0</v>
      </c>
      <c r="G102" s="39">
        <f>+'FY22'!G102*(1+MYP!$I$10)</f>
        <v>0</v>
      </c>
      <c r="H102" s="39">
        <f>+'FY22'!H102*(1+MYP!$I$10)</f>
        <v>0</v>
      </c>
      <c r="I102" s="39">
        <f>+'FY22'!I102*(1+MYP!$I$10)</f>
        <v>0</v>
      </c>
      <c r="J102" s="39">
        <f>+'FY22'!J102*(1+MYP!$I$10)</f>
        <v>0</v>
      </c>
      <c r="K102" s="39">
        <f>+'FY22'!K102*(1+MYP!$I$10)</f>
        <v>0</v>
      </c>
      <c r="L102" s="39">
        <f>+'FY22'!L102*(1+MYP!$I$10)</f>
        <v>0</v>
      </c>
      <c r="M102" s="39">
        <f>+'FY22'!M102*(1+MYP!$I$10)</f>
        <v>0</v>
      </c>
      <c r="N102" s="39">
        <f>+'FY22'!N102*(1+MYP!$I$10)</f>
        <v>0</v>
      </c>
      <c r="O102" s="39">
        <f>+'FY22'!O102*(1+MYP!$I$10)</f>
        <v>0</v>
      </c>
      <c r="P102" s="39">
        <f>+'FY22'!P102*(1+MYP!$I$10)</f>
        <v>0</v>
      </c>
      <c r="Q102" s="100"/>
      <c r="R102" s="41"/>
      <c r="S102" s="59">
        <f t="shared" si="31"/>
        <v>0</v>
      </c>
      <c r="T102" s="41"/>
      <c r="U102" s="39">
        <f>'FY22'!S102</f>
        <v>0</v>
      </c>
      <c r="V102" s="39">
        <f t="shared" si="32"/>
        <v>0</v>
      </c>
      <c r="W102" s="39"/>
    </row>
    <row r="103" spans="3:23" s="37" customFormat="1" ht="12" x14ac:dyDescent="0.2">
      <c r="C103" s="38"/>
      <c r="E103" s="50">
        <f>SUBTOTAL(9,E96:E102)</f>
        <v>286.11</v>
      </c>
      <c r="F103" s="50">
        <f t="shared" ref="F103:V103" si="33">SUBTOTAL(9,F96:F102)</f>
        <v>286.11</v>
      </c>
      <c r="G103" s="50">
        <f t="shared" si="33"/>
        <v>286.11</v>
      </c>
      <c r="H103" s="50">
        <f t="shared" si="33"/>
        <v>14537.429299999996</v>
      </c>
      <c r="I103" s="50">
        <f t="shared" si="33"/>
        <v>11824.922499999997</v>
      </c>
      <c r="J103" s="50">
        <f t="shared" si="33"/>
        <v>286.11</v>
      </c>
      <c r="K103" s="50">
        <f t="shared" si="33"/>
        <v>286.11</v>
      </c>
      <c r="L103" s="50">
        <f t="shared" si="33"/>
        <v>286.11</v>
      </c>
      <c r="M103" s="50">
        <f t="shared" si="33"/>
        <v>286.11</v>
      </c>
      <c r="N103" s="50">
        <f t="shared" si="33"/>
        <v>15296.484999999997</v>
      </c>
      <c r="O103" s="50">
        <f t="shared" si="33"/>
        <v>9675.8599999999988</v>
      </c>
      <c r="P103" s="50">
        <f t="shared" si="33"/>
        <v>286.11</v>
      </c>
      <c r="Q103" s="99"/>
      <c r="R103" s="41"/>
      <c r="S103" s="61">
        <f t="shared" si="33"/>
        <v>53623.576799999988</v>
      </c>
      <c r="T103" s="41"/>
      <c r="U103" s="50">
        <f t="shared" si="33"/>
        <v>47031.839999999997</v>
      </c>
      <c r="V103" s="50">
        <f t="shared" si="33"/>
        <v>-6591.7367999999924</v>
      </c>
      <c r="W103" s="39"/>
    </row>
    <row r="104" spans="3:23" s="37" customFormat="1" ht="12" x14ac:dyDescent="0.2">
      <c r="C104" s="49" t="s">
        <v>103</v>
      </c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100"/>
      <c r="R104" s="41"/>
      <c r="S104" s="59"/>
      <c r="T104" s="41"/>
      <c r="U104" s="39"/>
      <c r="V104" s="39"/>
      <c r="W104" s="39"/>
    </row>
    <row r="105" spans="3:23" s="37" customFormat="1" ht="12" x14ac:dyDescent="0.2">
      <c r="C105" s="199">
        <v>6734</v>
      </c>
      <c r="D105" s="37" t="s">
        <v>41</v>
      </c>
      <c r="E105" s="39">
        <f>+'FY22'!E105*(1+MYP!$I$10)</f>
        <v>0</v>
      </c>
      <c r="F105" s="39">
        <f>+'FY22'!F105*(1+MYP!$I$10)</f>
        <v>0</v>
      </c>
      <c r="G105" s="39">
        <f>+'FY22'!G105*(1+MYP!$I$10)</f>
        <v>0</v>
      </c>
      <c r="H105" s="39">
        <f>+'FY22'!H105*(1+MYP!$I$10)</f>
        <v>0</v>
      </c>
      <c r="I105" s="39">
        <f>+'FY22'!I105*(1+MYP!$I$10)</f>
        <v>0</v>
      </c>
      <c r="J105" s="39">
        <f>+'FY22'!J105*(1+MYP!$I$10)</f>
        <v>0</v>
      </c>
      <c r="K105" s="39">
        <f>+'FY22'!K105*(1+MYP!$I$10)</f>
        <v>0</v>
      </c>
      <c r="L105" s="39">
        <f>+'FY22'!L105*(1+MYP!$I$10)</f>
        <v>0</v>
      </c>
      <c r="M105" s="39">
        <f>+'FY22'!M105*(1+MYP!$I$10)</f>
        <v>0</v>
      </c>
      <c r="N105" s="39">
        <f>+'FY22'!N105*(1+MYP!$I$10)</f>
        <v>0</v>
      </c>
      <c r="O105" s="39">
        <f>+'FY22'!O105*(1+MYP!$I$10)</f>
        <v>0</v>
      </c>
      <c r="P105" s="39">
        <f>+'FY22'!P105*(1+MYP!$I$10)</f>
        <v>0</v>
      </c>
      <c r="Q105" s="100"/>
      <c r="R105" s="41"/>
      <c r="S105" s="59">
        <f t="shared" ref="S105" si="34">SUM(E105:Q105)</f>
        <v>0</v>
      </c>
      <c r="T105" s="41"/>
      <c r="U105" s="39">
        <f>'FY22'!S105</f>
        <v>0</v>
      </c>
      <c r="V105" s="39">
        <f t="shared" ref="V105" si="35">U105-S105</f>
        <v>0</v>
      </c>
      <c r="W105" s="39"/>
    </row>
    <row r="106" spans="3:23" s="37" customFormat="1" ht="12" x14ac:dyDescent="0.2">
      <c r="C106" s="38"/>
      <c r="E106" s="50">
        <f>SUBTOTAL(9,E105)</f>
        <v>0</v>
      </c>
      <c r="F106" s="50">
        <f t="shared" ref="F106:V106" si="36">SUBTOTAL(9,F105)</f>
        <v>0</v>
      </c>
      <c r="G106" s="50">
        <f t="shared" si="36"/>
        <v>0</v>
      </c>
      <c r="H106" s="50">
        <f t="shared" si="36"/>
        <v>0</v>
      </c>
      <c r="I106" s="50">
        <f t="shared" si="36"/>
        <v>0</v>
      </c>
      <c r="J106" s="50">
        <f t="shared" si="36"/>
        <v>0</v>
      </c>
      <c r="K106" s="50">
        <f t="shared" si="36"/>
        <v>0</v>
      </c>
      <c r="L106" s="50">
        <f t="shared" si="36"/>
        <v>0</v>
      </c>
      <c r="M106" s="50">
        <f t="shared" si="36"/>
        <v>0</v>
      </c>
      <c r="N106" s="50">
        <f t="shared" si="36"/>
        <v>0</v>
      </c>
      <c r="O106" s="50">
        <f t="shared" si="36"/>
        <v>0</v>
      </c>
      <c r="P106" s="50">
        <f t="shared" si="36"/>
        <v>0</v>
      </c>
      <c r="Q106" s="99"/>
      <c r="R106" s="41"/>
      <c r="S106" s="61">
        <f t="shared" si="36"/>
        <v>0</v>
      </c>
      <c r="T106" s="41"/>
      <c r="U106" s="50">
        <f t="shared" si="36"/>
        <v>0</v>
      </c>
      <c r="V106" s="50">
        <f t="shared" si="36"/>
        <v>0</v>
      </c>
      <c r="W106" s="39"/>
    </row>
    <row r="107" spans="3:23" s="37" customFormat="1" ht="12" x14ac:dyDescent="0.2">
      <c r="C107" s="49" t="s">
        <v>104</v>
      </c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100"/>
      <c r="R107" s="41"/>
      <c r="S107" s="59"/>
      <c r="T107" s="41"/>
      <c r="U107" s="39"/>
      <c r="V107" s="39"/>
      <c r="W107" s="39"/>
    </row>
    <row r="108" spans="3:23" s="37" customFormat="1" ht="12" x14ac:dyDescent="0.2">
      <c r="C108" s="199">
        <v>6810</v>
      </c>
      <c r="D108" s="37" t="s">
        <v>42</v>
      </c>
      <c r="E108" s="39">
        <f>+'FY22'!E108*(1+MYP!$I$10)</f>
        <v>10.404</v>
      </c>
      <c r="F108" s="39">
        <f>+'FY22'!F108*(1+MYP!$I$10)</f>
        <v>72.828000000000003</v>
      </c>
      <c r="G108" s="39">
        <f>+'FY22'!G108*(1+MYP!$I$10)</f>
        <v>374.54399999999998</v>
      </c>
      <c r="H108" s="39">
        <f>+'FY22'!H108*(1+MYP!$I$10)</f>
        <v>10.404</v>
      </c>
      <c r="I108" s="39">
        <f>+'FY22'!I108*(1+MYP!$I$10)</f>
        <v>10.404</v>
      </c>
      <c r="J108" s="39">
        <f>+'FY22'!J108*(1+MYP!$I$10)</f>
        <v>72.828000000000003</v>
      </c>
      <c r="K108" s="39">
        <f>+'FY22'!K108*(1+MYP!$I$10)</f>
        <v>10.404</v>
      </c>
      <c r="L108" s="39">
        <f>+'FY22'!L108*(1+MYP!$I$10)</f>
        <v>104.04</v>
      </c>
      <c r="M108" s="39">
        <f>+'FY22'!M108*(1+MYP!$I$10)</f>
        <v>10.404</v>
      </c>
      <c r="N108" s="39">
        <f>+'FY22'!N108*(1+MYP!$I$10)</f>
        <v>10.404</v>
      </c>
      <c r="O108" s="39">
        <f>+'FY22'!O108*(1+MYP!$I$10)</f>
        <v>10.404</v>
      </c>
      <c r="P108" s="39">
        <f>+'FY22'!P108*(1+MYP!$I$10)</f>
        <v>10.404</v>
      </c>
      <c r="Q108" s="100"/>
      <c r="R108" s="41"/>
      <c r="S108" s="59">
        <f t="shared" ref="S108" si="37">SUM(E108:Q108)</f>
        <v>707.47199999999987</v>
      </c>
      <c r="T108" s="41"/>
      <c r="U108" s="39">
        <f>'FY22'!S108</f>
        <v>693.60000000000025</v>
      </c>
      <c r="V108" s="39">
        <f t="shared" ref="V108" si="38">U108-S108</f>
        <v>-13.871999999999616</v>
      </c>
      <c r="W108" s="39"/>
    </row>
    <row r="109" spans="3:23" s="37" customFormat="1" ht="12" x14ac:dyDescent="0.2">
      <c r="C109" s="38"/>
      <c r="E109" s="50">
        <f>SUBTOTAL(9,E108)</f>
        <v>10.404</v>
      </c>
      <c r="F109" s="50">
        <f t="shared" ref="F109:P109" si="39">SUBTOTAL(9,F108)</f>
        <v>72.828000000000003</v>
      </c>
      <c r="G109" s="50">
        <f t="shared" si="39"/>
        <v>374.54399999999998</v>
      </c>
      <c r="H109" s="50">
        <f t="shared" si="39"/>
        <v>10.404</v>
      </c>
      <c r="I109" s="50">
        <f t="shared" si="39"/>
        <v>10.404</v>
      </c>
      <c r="J109" s="50">
        <f t="shared" si="39"/>
        <v>72.828000000000003</v>
      </c>
      <c r="K109" s="50">
        <f t="shared" si="39"/>
        <v>10.404</v>
      </c>
      <c r="L109" s="50">
        <f t="shared" si="39"/>
        <v>104.04</v>
      </c>
      <c r="M109" s="50">
        <f t="shared" si="39"/>
        <v>10.404</v>
      </c>
      <c r="N109" s="50">
        <f t="shared" si="39"/>
        <v>10.404</v>
      </c>
      <c r="O109" s="50">
        <f t="shared" si="39"/>
        <v>10.404</v>
      </c>
      <c r="P109" s="50">
        <f t="shared" si="39"/>
        <v>10.404</v>
      </c>
      <c r="Q109" s="99"/>
      <c r="R109" s="41"/>
      <c r="S109" s="61">
        <f t="shared" ref="S109" si="40">SUBTOTAL(9,S108)</f>
        <v>707.47199999999987</v>
      </c>
      <c r="T109" s="41"/>
      <c r="U109" s="50">
        <f t="shared" ref="U109:V109" si="41">SUBTOTAL(9,U108)</f>
        <v>693.60000000000025</v>
      </c>
      <c r="V109" s="50">
        <f t="shared" si="41"/>
        <v>-13.871999999999616</v>
      </c>
      <c r="W109" s="39"/>
    </row>
    <row r="110" spans="3:23" s="45" customFormat="1" ht="12" x14ac:dyDescent="0.2">
      <c r="C110" s="49" t="s">
        <v>43</v>
      </c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101"/>
      <c r="R110" s="48"/>
      <c r="S110" s="62"/>
      <c r="T110" s="48"/>
      <c r="U110" s="48"/>
      <c r="V110" s="48"/>
      <c r="W110" s="40"/>
    </row>
    <row r="111" spans="3:23" s="37" customFormat="1" ht="12" x14ac:dyDescent="0.2">
      <c r="C111" s="199">
        <v>7306</v>
      </c>
      <c r="D111" s="37" t="s">
        <v>43</v>
      </c>
      <c r="E111" s="39">
        <f>+'FY22'!E111*(1+MYP!$I$10)</f>
        <v>0</v>
      </c>
      <c r="F111" s="39">
        <f>+'FY22'!F111*(1+MYP!$I$10)</f>
        <v>0</v>
      </c>
      <c r="G111" s="39">
        <f>+'FY22'!G111*(1+MYP!$I$10)</f>
        <v>0</v>
      </c>
      <c r="H111" s="39">
        <f>+'FY22'!H111*(1+MYP!$I$10)</f>
        <v>0</v>
      </c>
      <c r="I111" s="39">
        <f>+'FY22'!I111*(1+MYP!$I$10)</f>
        <v>0</v>
      </c>
      <c r="J111" s="39">
        <f>+'FY22'!J111*(1+MYP!$I$10)</f>
        <v>0</v>
      </c>
      <c r="K111" s="39">
        <f>+'FY22'!K111*(1+MYP!$I$10)</f>
        <v>0</v>
      </c>
      <c r="L111" s="39">
        <f>+'FY22'!L111*(1+MYP!$I$10)</f>
        <v>0</v>
      </c>
      <c r="M111" s="39">
        <f>+'FY22'!M111*(1+MYP!$I$10)</f>
        <v>0</v>
      </c>
      <c r="N111" s="39">
        <f>+'FY22'!N111*(1+MYP!$I$10)</f>
        <v>0</v>
      </c>
      <c r="O111" s="39">
        <f>+'FY22'!O111*(1+MYP!$I$10)</f>
        <v>0</v>
      </c>
      <c r="P111" s="39">
        <f>+'FY22'!P111*(1+MYP!$I$10)</f>
        <v>0</v>
      </c>
      <c r="Q111" s="100"/>
      <c r="R111" s="41"/>
      <c r="S111" s="62">
        <f t="shared" ref="S111:S112" si="42">SUM(E111:Q111)</f>
        <v>0</v>
      </c>
      <c r="T111" s="41"/>
      <c r="U111" s="41">
        <f>'FY22'!S111</f>
        <v>0</v>
      </c>
      <c r="V111" s="41">
        <f t="shared" ref="V111" si="43">U111-S111</f>
        <v>0</v>
      </c>
      <c r="W111" s="39"/>
    </row>
    <row r="112" spans="3:23" s="37" customFormat="1" ht="12" x14ac:dyDescent="0.2">
      <c r="C112" s="38">
        <v>7901</v>
      </c>
      <c r="D112" s="37" t="s">
        <v>178</v>
      </c>
      <c r="E112" s="39">
        <f>+'FY22'!E112*(1+MYP!$I$10)</f>
        <v>0</v>
      </c>
      <c r="F112" s="39">
        <f>+'FY22'!F112*(1+MYP!$I$10)</f>
        <v>0</v>
      </c>
      <c r="G112" s="39">
        <f>+'FY22'!G112*(1+MYP!$I$10)</f>
        <v>0</v>
      </c>
      <c r="H112" s="39">
        <f>+'FY22'!H112*(1+MYP!$I$10)</f>
        <v>0</v>
      </c>
      <c r="I112" s="39">
        <f>+'FY22'!I112*(1+MYP!$I$10)</f>
        <v>0</v>
      </c>
      <c r="J112" s="39">
        <f>+'FY22'!J112*(1+MYP!$I$10)</f>
        <v>0</v>
      </c>
      <c r="K112" s="39">
        <f>+'FY22'!K112*(1+MYP!$I$10)</f>
        <v>0</v>
      </c>
      <c r="L112" s="39">
        <f>+'FY22'!L112*(1+MYP!$I$10)</f>
        <v>0</v>
      </c>
      <c r="M112" s="39">
        <f>+'FY22'!M112*(1+MYP!$I$10)</f>
        <v>0</v>
      </c>
      <c r="N112" s="39">
        <f>+'FY22'!N112*(1+MYP!$I$10)</f>
        <v>0</v>
      </c>
      <c r="O112" s="39">
        <f>+'FY22'!O112*(1+MYP!$I$10)</f>
        <v>0</v>
      </c>
      <c r="P112" s="39">
        <f>+'FY22'!P112*(1+MYP!$I$10)</f>
        <v>0</v>
      </c>
      <c r="Q112" s="100"/>
      <c r="R112" s="41"/>
      <c r="S112" s="62">
        <f t="shared" si="42"/>
        <v>0</v>
      </c>
      <c r="T112" s="41"/>
      <c r="U112" s="41">
        <f>'FY22'!S112</f>
        <v>0</v>
      </c>
      <c r="V112" s="41">
        <f t="shared" ref="V112" si="44">U112-S112</f>
        <v>0</v>
      </c>
      <c r="W112" s="39"/>
    </row>
    <row r="113" spans="1:23" s="37" customFormat="1" ht="12" x14ac:dyDescent="0.2">
      <c r="C113" s="38"/>
      <c r="E113" s="50">
        <f>SUBTOTAL(9,E111:E112)</f>
        <v>0</v>
      </c>
      <c r="F113" s="50">
        <f t="shared" ref="F113:P113" si="45">SUBTOTAL(9,F111:F112)</f>
        <v>0</v>
      </c>
      <c r="G113" s="50">
        <f t="shared" si="45"/>
        <v>0</v>
      </c>
      <c r="H113" s="50">
        <f t="shared" si="45"/>
        <v>0</v>
      </c>
      <c r="I113" s="50">
        <f t="shared" si="45"/>
        <v>0</v>
      </c>
      <c r="J113" s="50">
        <f t="shared" si="45"/>
        <v>0</v>
      </c>
      <c r="K113" s="50">
        <f t="shared" si="45"/>
        <v>0</v>
      </c>
      <c r="L113" s="50">
        <f t="shared" si="45"/>
        <v>0</v>
      </c>
      <c r="M113" s="50">
        <f t="shared" si="45"/>
        <v>0</v>
      </c>
      <c r="N113" s="50">
        <f t="shared" si="45"/>
        <v>0</v>
      </c>
      <c r="O113" s="50">
        <f t="shared" si="45"/>
        <v>0</v>
      </c>
      <c r="P113" s="50">
        <f t="shared" si="45"/>
        <v>0</v>
      </c>
      <c r="Q113" s="99"/>
      <c r="R113" s="41"/>
      <c r="S113" s="61">
        <f>SUBTOTAL(9,S111:S112)</f>
        <v>0</v>
      </c>
      <c r="T113" s="41"/>
      <c r="U113" s="50">
        <f>SUBTOTAL(9,U111:U112)</f>
        <v>0</v>
      </c>
      <c r="V113" s="50">
        <f>SUBTOTAL(9,V111:V112)</f>
        <v>0</v>
      </c>
      <c r="W113" s="39"/>
    </row>
    <row r="114" spans="1:23" s="37" customFormat="1" ht="9" customHeight="1" x14ac:dyDescent="0.2">
      <c r="C114" s="38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100"/>
      <c r="R114" s="41"/>
      <c r="S114" s="59"/>
      <c r="T114" s="41"/>
      <c r="U114" s="39"/>
      <c r="V114" s="39"/>
      <c r="W114" s="39"/>
    </row>
    <row r="115" spans="1:23" s="45" customFormat="1" ht="12" x14ac:dyDescent="0.2">
      <c r="A115" s="45" t="s">
        <v>107</v>
      </c>
      <c r="C115" s="46"/>
      <c r="E115" s="43">
        <f t="shared" ref="E115:P115" si="46">SUBTOTAL(9,E30:E114)</f>
        <v>24973.557691955397</v>
      </c>
      <c r="F115" s="43">
        <f t="shared" si="46"/>
        <v>22493.622913955398</v>
      </c>
      <c r="G115" s="43">
        <f t="shared" si="46"/>
        <v>22899.378913955399</v>
      </c>
      <c r="H115" s="43">
        <f t="shared" si="46"/>
        <v>84459.716363955376</v>
      </c>
      <c r="I115" s="43">
        <f t="shared" si="46"/>
        <v>99769.268491955387</v>
      </c>
      <c r="J115" s="43">
        <f t="shared" si="46"/>
        <v>19596.940491955404</v>
      </c>
      <c r="K115" s="43">
        <f t="shared" si="46"/>
        <v>21544.590841955396</v>
      </c>
      <c r="L115" s="43">
        <f t="shared" si="46"/>
        <v>22524.834913955397</v>
      </c>
      <c r="M115" s="43">
        <f t="shared" si="46"/>
        <v>78241.357635955384</v>
      </c>
      <c r="N115" s="43">
        <f t="shared" si="46"/>
        <v>122186.52649195539</v>
      </c>
      <c r="O115" s="43">
        <f t="shared" si="46"/>
        <v>29860.626491955398</v>
      </c>
      <c r="P115" s="43">
        <f t="shared" si="46"/>
        <v>21648.630841955401</v>
      </c>
      <c r="Q115" s="47"/>
      <c r="R115" s="48"/>
      <c r="S115" s="60">
        <f>SUBTOTAL(9,S30:S114)</f>
        <v>570199.05208546482</v>
      </c>
      <c r="T115" s="48"/>
      <c r="U115" s="43">
        <f>SUBTOTAL(9,U30:U114)</f>
        <v>525583.16871123994</v>
      </c>
      <c r="V115" s="43">
        <f>SUBTOTAL(9,V30:V114)</f>
        <v>-44615.883374224773</v>
      </c>
      <c r="W115" s="40"/>
    </row>
    <row r="116" spans="1:23" s="37" customFormat="1" ht="12" x14ac:dyDescent="0.2">
      <c r="C116" s="38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44"/>
      <c r="R116" s="41"/>
      <c r="S116" s="59"/>
      <c r="T116" s="41"/>
      <c r="U116" s="39"/>
      <c r="V116" s="39"/>
      <c r="W116" s="39"/>
    </row>
    <row r="117" spans="1:23" s="45" customFormat="1" ht="12.75" thickBot="1" x14ac:dyDescent="0.25">
      <c r="A117" s="45" t="s">
        <v>108</v>
      </c>
      <c r="C117" s="46"/>
      <c r="E117" s="181">
        <f t="shared" ref="E117:P117" si="47">E27-E115</f>
        <v>23906.042308044587</v>
      </c>
      <c r="F117" s="181">
        <f t="shared" si="47"/>
        <v>26385.977086044586</v>
      </c>
      <c r="G117" s="181">
        <f t="shared" si="47"/>
        <v>25980.221086044585</v>
      </c>
      <c r="H117" s="181">
        <f t="shared" si="47"/>
        <v>-35580.116363955392</v>
      </c>
      <c r="I117" s="181">
        <f t="shared" si="47"/>
        <v>-50889.668491955403</v>
      </c>
      <c r="J117" s="181">
        <f t="shared" si="47"/>
        <v>29282.65950804458</v>
      </c>
      <c r="K117" s="181">
        <f t="shared" si="47"/>
        <v>27335.009158044588</v>
      </c>
      <c r="L117" s="181">
        <f t="shared" si="47"/>
        <v>26354.765086044586</v>
      </c>
      <c r="M117" s="181">
        <f t="shared" si="47"/>
        <v>-29361.7576359554</v>
      </c>
      <c r="N117" s="181">
        <f t="shared" si="47"/>
        <v>-73306.926491955412</v>
      </c>
      <c r="O117" s="181">
        <f t="shared" si="47"/>
        <v>19018.973508044586</v>
      </c>
      <c r="P117" s="181">
        <f t="shared" si="47"/>
        <v>27230.969158044583</v>
      </c>
      <c r="Q117" s="190"/>
      <c r="R117" s="191"/>
      <c r="S117" s="192">
        <f>S27-S115</f>
        <v>16356.147914535133</v>
      </c>
      <c r="T117" s="191"/>
      <c r="U117" s="181">
        <f>U27-U115</f>
        <v>-15535.168711240054</v>
      </c>
      <c r="V117" s="181">
        <f>V27+V115</f>
        <v>31891.316625775296</v>
      </c>
      <c r="W117" s="40"/>
    </row>
    <row r="118" spans="1:23" s="37" customFormat="1" ht="12.75" thickTop="1" x14ac:dyDescent="0.2">
      <c r="C118" s="38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44"/>
      <c r="R118" s="41"/>
      <c r="S118" s="59"/>
      <c r="T118" s="41"/>
      <c r="U118" s="39"/>
      <c r="V118" s="39"/>
      <c r="W118" s="39"/>
    </row>
    <row r="119" spans="1:23" s="37" customFormat="1" ht="12" x14ac:dyDescent="0.2">
      <c r="A119" s="53" t="s">
        <v>109</v>
      </c>
      <c r="B119" s="54"/>
      <c r="C119" s="54"/>
      <c r="D119" s="54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44"/>
      <c r="R119" s="41"/>
      <c r="S119" s="59"/>
      <c r="T119" s="41"/>
      <c r="U119" s="39"/>
      <c r="V119" s="39"/>
      <c r="W119" s="39"/>
    </row>
    <row r="120" spans="1:23" s="37" customFormat="1" ht="12" x14ac:dyDescent="0.2">
      <c r="A120" s="53"/>
      <c r="B120" s="53"/>
      <c r="C120" s="54" t="s">
        <v>110</v>
      </c>
      <c r="D120" s="54"/>
      <c r="E120" s="39">
        <f>E117</f>
        <v>23906.042308044587</v>
      </c>
      <c r="F120" s="39">
        <f t="shared" ref="F120:P120" si="48">F117</f>
        <v>26385.977086044586</v>
      </c>
      <c r="G120" s="39">
        <f t="shared" si="48"/>
        <v>25980.221086044585</v>
      </c>
      <c r="H120" s="39">
        <f t="shared" si="48"/>
        <v>-35580.116363955392</v>
      </c>
      <c r="I120" s="39">
        <f t="shared" si="48"/>
        <v>-50889.668491955403</v>
      </c>
      <c r="J120" s="39">
        <f t="shared" si="48"/>
        <v>29282.65950804458</v>
      </c>
      <c r="K120" s="39">
        <f t="shared" si="48"/>
        <v>27335.009158044588</v>
      </c>
      <c r="L120" s="39">
        <f t="shared" si="48"/>
        <v>26354.765086044586</v>
      </c>
      <c r="M120" s="39">
        <f t="shared" si="48"/>
        <v>-29361.7576359554</v>
      </c>
      <c r="N120" s="39">
        <f t="shared" si="48"/>
        <v>-73306.926491955412</v>
      </c>
      <c r="O120" s="39">
        <f t="shared" si="48"/>
        <v>19018.973508044586</v>
      </c>
      <c r="P120" s="39">
        <f t="shared" si="48"/>
        <v>27230.969158044583</v>
      </c>
      <c r="Q120" s="44"/>
      <c r="R120" s="41"/>
      <c r="S120" s="59">
        <f t="shared" ref="S120:S136" si="49">SUM(E120:Q120)</f>
        <v>16356.14791453509</v>
      </c>
      <c r="T120" s="41"/>
      <c r="U120" s="39"/>
      <c r="V120" s="39"/>
      <c r="W120" s="39"/>
    </row>
    <row r="121" spans="1:23" s="37" customFormat="1" ht="12" x14ac:dyDescent="0.2">
      <c r="A121" s="54"/>
      <c r="B121" s="54" t="s">
        <v>111</v>
      </c>
      <c r="C121" s="54" t="s">
        <v>112</v>
      </c>
      <c r="D121" s="54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44"/>
      <c r="R121" s="41"/>
      <c r="S121" s="59"/>
      <c r="T121" s="41"/>
      <c r="U121" s="39"/>
      <c r="V121" s="39"/>
      <c r="W121" s="39"/>
    </row>
    <row r="122" spans="1:23" s="37" customFormat="1" ht="12" x14ac:dyDescent="0.2">
      <c r="A122" s="54"/>
      <c r="B122" s="54" t="s">
        <v>111</v>
      </c>
      <c r="C122" s="54"/>
      <c r="D122" s="55" t="s">
        <v>113</v>
      </c>
      <c r="E122" s="39">
        <f>E112</f>
        <v>0</v>
      </c>
      <c r="F122" s="39">
        <f t="shared" ref="F122:P122" si="50">F112</f>
        <v>0</v>
      </c>
      <c r="G122" s="39">
        <f t="shared" si="50"/>
        <v>0</v>
      </c>
      <c r="H122" s="39">
        <f t="shared" si="50"/>
        <v>0</v>
      </c>
      <c r="I122" s="39">
        <f t="shared" si="50"/>
        <v>0</v>
      </c>
      <c r="J122" s="39">
        <f t="shared" si="50"/>
        <v>0</v>
      </c>
      <c r="K122" s="39">
        <f t="shared" si="50"/>
        <v>0</v>
      </c>
      <c r="L122" s="39">
        <f t="shared" si="50"/>
        <v>0</v>
      </c>
      <c r="M122" s="39">
        <f t="shared" si="50"/>
        <v>0</v>
      </c>
      <c r="N122" s="39">
        <f t="shared" si="50"/>
        <v>0</v>
      </c>
      <c r="O122" s="39">
        <f t="shared" si="50"/>
        <v>0</v>
      </c>
      <c r="P122" s="39">
        <f t="shared" si="50"/>
        <v>0</v>
      </c>
      <c r="Q122" s="44"/>
      <c r="R122" s="41"/>
      <c r="S122" s="59">
        <f t="shared" si="49"/>
        <v>0</v>
      </c>
      <c r="T122" s="41"/>
      <c r="U122" s="39"/>
      <c r="V122" s="39"/>
      <c r="W122" s="39"/>
    </row>
    <row r="123" spans="1:23" s="37" customFormat="1" ht="12" x14ac:dyDescent="0.2">
      <c r="A123" s="54"/>
      <c r="B123" s="54" t="s">
        <v>111</v>
      </c>
      <c r="C123" s="54"/>
      <c r="D123" s="55" t="s">
        <v>114</v>
      </c>
      <c r="E123" s="39">
        <f>-'FY22'!Q123</f>
        <v>0</v>
      </c>
      <c r="F123" s="39">
        <v>0</v>
      </c>
      <c r="G123" s="39">
        <v>0</v>
      </c>
      <c r="H123" s="39">
        <v>0</v>
      </c>
      <c r="I123" s="39">
        <v>0</v>
      </c>
      <c r="J123" s="39">
        <v>0</v>
      </c>
      <c r="K123" s="39">
        <v>0</v>
      </c>
      <c r="L123" s="39">
        <v>0</v>
      </c>
      <c r="M123" s="39">
        <v>0</v>
      </c>
      <c r="N123" s="39">
        <v>0</v>
      </c>
      <c r="O123" s="39">
        <v>0</v>
      </c>
      <c r="P123" s="39">
        <v>0</v>
      </c>
      <c r="Q123" s="44"/>
      <c r="R123" s="41"/>
      <c r="S123" s="59">
        <f t="shared" si="49"/>
        <v>0</v>
      </c>
      <c r="T123" s="41"/>
      <c r="U123" s="39"/>
      <c r="V123" s="39"/>
      <c r="W123" s="39"/>
    </row>
    <row r="124" spans="1:23" s="37" customFormat="1" ht="12" x14ac:dyDescent="0.2">
      <c r="A124" s="54"/>
      <c r="B124" s="54" t="s">
        <v>111</v>
      </c>
      <c r="C124" s="54"/>
      <c r="D124" s="55" t="s">
        <v>115</v>
      </c>
      <c r="E124" s="39">
        <v>0</v>
      </c>
      <c r="F124" s="39">
        <v>0</v>
      </c>
      <c r="G124" s="39">
        <v>0</v>
      </c>
      <c r="H124" s="39">
        <v>0</v>
      </c>
      <c r="I124" s="39">
        <v>0</v>
      </c>
      <c r="J124" s="39">
        <v>0</v>
      </c>
      <c r="K124" s="39">
        <v>0</v>
      </c>
      <c r="L124" s="39">
        <v>0</v>
      </c>
      <c r="M124" s="39">
        <v>0</v>
      </c>
      <c r="N124" s="39">
        <v>0</v>
      </c>
      <c r="O124" s="39">
        <v>0</v>
      </c>
      <c r="P124" s="39">
        <v>0</v>
      </c>
      <c r="Q124" s="44"/>
      <c r="R124" s="41"/>
      <c r="S124" s="59">
        <f t="shared" si="49"/>
        <v>0</v>
      </c>
      <c r="T124" s="41"/>
      <c r="U124" s="39"/>
      <c r="V124" s="39"/>
      <c r="W124" s="39"/>
    </row>
    <row r="125" spans="1:23" s="37" customFormat="1" ht="12" x14ac:dyDescent="0.2">
      <c r="A125" s="54"/>
      <c r="B125" s="54" t="s">
        <v>111</v>
      </c>
      <c r="C125" s="54"/>
      <c r="D125" s="55" t="s">
        <v>116</v>
      </c>
      <c r="E125" s="39">
        <v>0</v>
      </c>
      <c r="F125" s="39">
        <v>0</v>
      </c>
      <c r="G125" s="39">
        <v>0</v>
      </c>
      <c r="H125" s="39">
        <v>0</v>
      </c>
      <c r="I125" s="39">
        <v>0</v>
      </c>
      <c r="J125" s="39">
        <v>0</v>
      </c>
      <c r="K125" s="39">
        <v>0</v>
      </c>
      <c r="L125" s="39">
        <v>0</v>
      </c>
      <c r="M125" s="39">
        <v>0</v>
      </c>
      <c r="N125" s="39">
        <v>0</v>
      </c>
      <c r="O125" s="39">
        <v>0</v>
      </c>
      <c r="P125" s="39">
        <v>0</v>
      </c>
      <c r="Q125" s="44"/>
      <c r="R125" s="41"/>
      <c r="S125" s="59">
        <f t="shared" si="49"/>
        <v>0</v>
      </c>
      <c r="T125" s="41"/>
      <c r="U125" s="39"/>
      <c r="V125" s="39"/>
      <c r="W125" s="39"/>
    </row>
    <row r="126" spans="1:23" s="37" customFormat="1" ht="12" x14ac:dyDescent="0.2">
      <c r="A126" s="54"/>
      <c r="B126" s="54" t="s">
        <v>111</v>
      </c>
      <c r="C126" s="54"/>
      <c r="D126" s="55" t="s">
        <v>117</v>
      </c>
      <c r="E126" s="39">
        <v>0</v>
      </c>
      <c r="F126" s="39">
        <v>0</v>
      </c>
      <c r="G126" s="39">
        <v>0</v>
      </c>
      <c r="H126" s="39">
        <v>0</v>
      </c>
      <c r="I126" s="39">
        <v>0</v>
      </c>
      <c r="J126" s="39">
        <v>0</v>
      </c>
      <c r="K126" s="39">
        <v>0</v>
      </c>
      <c r="L126" s="39">
        <v>0</v>
      </c>
      <c r="M126" s="39">
        <v>0</v>
      </c>
      <c r="N126" s="39">
        <v>0</v>
      </c>
      <c r="O126" s="39">
        <v>0</v>
      </c>
      <c r="P126" s="39">
        <v>0</v>
      </c>
      <c r="Q126" s="44"/>
      <c r="R126" s="41"/>
      <c r="S126" s="59">
        <f t="shared" si="49"/>
        <v>0</v>
      </c>
      <c r="T126" s="41"/>
      <c r="U126" s="39"/>
      <c r="V126" s="39"/>
      <c r="W126" s="39"/>
    </row>
    <row r="127" spans="1:23" s="37" customFormat="1" ht="12" x14ac:dyDescent="0.2">
      <c r="A127" s="54"/>
      <c r="B127" s="54" t="s">
        <v>111</v>
      </c>
      <c r="C127" s="54"/>
      <c r="D127" s="55" t="s">
        <v>118</v>
      </c>
      <c r="E127" s="39">
        <v>0</v>
      </c>
      <c r="F127" s="39">
        <v>0</v>
      </c>
      <c r="G127" s="39">
        <v>0</v>
      </c>
      <c r="H127" s="39">
        <v>0</v>
      </c>
      <c r="I127" s="39">
        <v>0</v>
      </c>
      <c r="J127" s="39">
        <v>0</v>
      </c>
      <c r="K127" s="39">
        <v>0</v>
      </c>
      <c r="L127" s="39">
        <v>0</v>
      </c>
      <c r="M127" s="39">
        <v>0</v>
      </c>
      <c r="N127" s="39">
        <v>0</v>
      </c>
      <c r="O127" s="39">
        <v>0</v>
      </c>
      <c r="P127" s="39">
        <v>0</v>
      </c>
      <c r="Q127" s="44"/>
      <c r="R127" s="41"/>
      <c r="S127" s="59">
        <f t="shared" si="49"/>
        <v>0</v>
      </c>
      <c r="T127" s="41"/>
      <c r="U127" s="39"/>
      <c r="V127" s="39"/>
      <c r="W127" s="39"/>
    </row>
    <row r="128" spans="1:23" s="37" customFormat="1" ht="12" x14ac:dyDescent="0.2">
      <c r="A128" s="54"/>
      <c r="B128" s="54" t="s">
        <v>111</v>
      </c>
      <c r="C128" s="54"/>
      <c r="D128" s="55" t="s">
        <v>119</v>
      </c>
      <c r="E128" s="39">
        <f>-'FY22'!Q128</f>
        <v>0</v>
      </c>
      <c r="F128" s="39">
        <v>0</v>
      </c>
      <c r="G128" s="39">
        <v>0</v>
      </c>
      <c r="H128" s="39">
        <v>0</v>
      </c>
      <c r="I128" s="39">
        <v>0</v>
      </c>
      <c r="J128" s="39">
        <v>0</v>
      </c>
      <c r="K128" s="39">
        <v>0</v>
      </c>
      <c r="L128" s="39">
        <v>0</v>
      </c>
      <c r="M128" s="39">
        <v>0</v>
      </c>
      <c r="N128" s="39">
        <v>0</v>
      </c>
      <c r="O128" s="39">
        <v>0</v>
      </c>
      <c r="P128" s="39">
        <v>0</v>
      </c>
      <c r="Q128" s="44"/>
      <c r="R128" s="41"/>
      <c r="S128" s="59">
        <f t="shared" si="49"/>
        <v>0</v>
      </c>
      <c r="T128" s="41"/>
      <c r="U128" s="39"/>
      <c r="V128" s="39"/>
      <c r="W128" s="39"/>
    </row>
    <row r="129" spans="1:23" s="37" customFormat="1" ht="12" x14ac:dyDescent="0.2">
      <c r="A129" s="54"/>
      <c r="B129" s="54" t="s">
        <v>111</v>
      </c>
      <c r="C129" s="54"/>
      <c r="D129" s="55" t="s">
        <v>120</v>
      </c>
      <c r="E129" s="39">
        <v>0</v>
      </c>
      <c r="F129" s="39">
        <v>0</v>
      </c>
      <c r="G129" s="39">
        <v>0</v>
      </c>
      <c r="H129" s="39">
        <v>0</v>
      </c>
      <c r="I129" s="39">
        <v>0</v>
      </c>
      <c r="J129" s="39">
        <v>0</v>
      </c>
      <c r="K129" s="39">
        <v>0</v>
      </c>
      <c r="L129" s="39">
        <v>0</v>
      </c>
      <c r="M129" s="39">
        <v>0</v>
      </c>
      <c r="N129" s="39">
        <v>0</v>
      </c>
      <c r="O129" s="39">
        <v>0</v>
      </c>
      <c r="P129" s="39">
        <v>0</v>
      </c>
      <c r="Q129" s="44"/>
      <c r="R129" s="41"/>
      <c r="S129" s="59">
        <f t="shared" si="49"/>
        <v>0</v>
      </c>
      <c r="T129" s="41"/>
      <c r="U129" s="39"/>
      <c r="V129" s="39"/>
      <c r="W129" s="39"/>
    </row>
    <row r="130" spans="1:23" s="37" customFormat="1" ht="12" x14ac:dyDescent="0.2">
      <c r="A130" s="54"/>
      <c r="B130" s="54" t="s">
        <v>111</v>
      </c>
      <c r="C130" s="54"/>
      <c r="D130" s="55" t="s">
        <v>121</v>
      </c>
      <c r="E130" s="39">
        <v>0</v>
      </c>
      <c r="F130" s="39">
        <v>0</v>
      </c>
      <c r="G130" s="39">
        <v>0</v>
      </c>
      <c r="H130" s="39">
        <v>0</v>
      </c>
      <c r="I130" s="39">
        <v>0</v>
      </c>
      <c r="J130" s="39">
        <v>0</v>
      </c>
      <c r="K130" s="39">
        <v>0</v>
      </c>
      <c r="L130" s="39">
        <v>0</v>
      </c>
      <c r="M130" s="39">
        <v>0</v>
      </c>
      <c r="N130" s="39">
        <v>0</v>
      </c>
      <c r="O130" s="39">
        <v>0</v>
      </c>
      <c r="P130" s="39">
        <v>0</v>
      </c>
      <c r="Q130" s="44"/>
      <c r="R130" s="41"/>
      <c r="S130" s="59">
        <f t="shared" si="49"/>
        <v>0</v>
      </c>
      <c r="T130" s="41"/>
      <c r="U130" s="39"/>
      <c r="V130" s="39"/>
      <c r="W130" s="39"/>
    </row>
    <row r="131" spans="1:23" s="37" customFormat="1" ht="12" x14ac:dyDescent="0.2">
      <c r="A131" s="54"/>
      <c r="B131" s="54" t="s">
        <v>111</v>
      </c>
      <c r="C131" s="54" t="s">
        <v>122</v>
      </c>
      <c r="D131" s="55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44"/>
      <c r="R131" s="41"/>
      <c r="S131" s="59"/>
      <c r="T131" s="41"/>
      <c r="U131" s="39"/>
      <c r="V131" s="39"/>
      <c r="W131" s="39"/>
    </row>
    <row r="132" spans="1:23" s="37" customFormat="1" ht="12" x14ac:dyDescent="0.2">
      <c r="A132" s="54"/>
      <c r="B132" s="54" t="s">
        <v>111</v>
      </c>
      <c r="C132" s="54"/>
      <c r="D132" s="55" t="s">
        <v>123</v>
      </c>
      <c r="E132" s="39">
        <v>0</v>
      </c>
      <c r="F132" s="39">
        <v>0</v>
      </c>
      <c r="G132" s="39">
        <v>0</v>
      </c>
      <c r="H132" s="39">
        <v>0</v>
      </c>
      <c r="I132" s="39">
        <v>0</v>
      </c>
      <c r="J132" s="39">
        <v>0</v>
      </c>
      <c r="K132" s="39">
        <v>0</v>
      </c>
      <c r="L132" s="39">
        <v>0</v>
      </c>
      <c r="M132" s="39">
        <v>0</v>
      </c>
      <c r="N132" s="39">
        <v>0</v>
      </c>
      <c r="O132" s="39">
        <v>0</v>
      </c>
      <c r="P132" s="39">
        <v>0</v>
      </c>
      <c r="Q132" s="44"/>
      <c r="R132" s="41"/>
      <c r="S132" s="59">
        <f t="shared" si="49"/>
        <v>0</v>
      </c>
      <c r="T132" s="41"/>
      <c r="U132" s="39"/>
      <c r="V132" s="39"/>
      <c r="W132" s="39"/>
    </row>
    <row r="133" spans="1:23" s="37" customFormat="1" ht="12" x14ac:dyDescent="0.2">
      <c r="A133" s="54"/>
      <c r="B133" s="54"/>
      <c r="C133" s="54"/>
      <c r="D133" s="54" t="s">
        <v>124</v>
      </c>
      <c r="E133" s="39">
        <v>0</v>
      </c>
      <c r="F133" s="39">
        <v>0</v>
      </c>
      <c r="G133" s="39">
        <v>0</v>
      </c>
      <c r="H133" s="39">
        <v>0</v>
      </c>
      <c r="I133" s="39">
        <v>0</v>
      </c>
      <c r="J133" s="39">
        <v>0</v>
      </c>
      <c r="K133" s="39">
        <v>0</v>
      </c>
      <c r="L133" s="39">
        <v>0</v>
      </c>
      <c r="M133" s="39">
        <v>0</v>
      </c>
      <c r="N133" s="39">
        <v>0</v>
      </c>
      <c r="O133" s="39">
        <v>0</v>
      </c>
      <c r="P133" s="39">
        <v>0</v>
      </c>
      <c r="Q133" s="44"/>
      <c r="R133" s="41"/>
      <c r="S133" s="59">
        <f t="shared" si="49"/>
        <v>0</v>
      </c>
      <c r="T133" s="41"/>
      <c r="U133" s="39"/>
      <c r="V133" s="39"/>
      <c r="W133" s="39"/>
    </row>
    <row r="134" spans="1:23" s="37" customFormat="1" ht="12" x14ac:dyDescent="0.2">
      <c r="A134" s="54"/>
      <c r="B134" s="54"/>
      <c r="C134" s="54" t="s">
        <v>125</v>
      </c>
      <c r="D134" s="54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44"/>
      <c r="R134" s="41"/>
      <c r="S134" s="59"/>
      <c r="T134" s="41"/>
      <c r="U134" s="39"/>
      <c r="V134" s="39"/>
      <c r="W134" s="39"/>
    </row>
    <row r="135" spans="1:23" s="37" customFormat="1" ht="12" x14ac:dyDescent="0.2">
      <c r="A135" s="54"/>
      <c r="B135" s="54"/>
      <c r="C135" s="54"/>
      <c r="D135" s="54" t="s">
        <v>129</v>
      </c>
      <c r="E135" s="39">
        <v>0</v>
      </c>
      <c r="F135" s="39">
        <v>0</v>
      </c>
      <c r="G135" s="39">
        <v>0</v>
      </c>
      <c r="H135" s="39">
        <v>0</v>
      </c>
      <c r="I135" s="39">
        <v>0</v>
      </c>
      <c r="J135" s="39">
        <v>0</v>
      </c>
      <c r="K135" s="39">
        <v>0</v>
      </c>
      <c r="L135" s="39">
        <v>0</v>
      </c>
      <c r="M135" s="39">
        <v>0</v>
      </c>
      <c r="N135" s="39">
        <v>0</v>
      </c>
      <c r="O135" s="39">
        <v>0</v>
      </c>
      <c r="P135" s="39">
        <v>0</v>
      </c>
      <c r="Q135" s="44"/>
      <c r="R135" s="41"/>
      <c r="S135" s="59">
        <f t="shared" si="49"/>
        <v>0</v>
      </c>
      <c r="T135" s="41"/>
      <c r="U135" s="39"/>
      <c r="V135" s="39"/>
      <c r="W135" s="39"/>
    </row>
    <row r="136" spans="1:23" s="37" customFormat="1" ht="12" x14ac:dyDescent="0.2">
      <c r="A136" s="54"/>
      <c r="B136" s="54"/>
      <c r="C136" s="54"/>
      <c r="D136" s="54" t="s">
        <v>130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  <c r="P136" s="42">
        <v>0</v>
      </c>
      <c r="Q136" s="47"/>
      <c r="R136" s="41"/>
      <c r="S136" s="59">
        <f t="shared" si="49"/>
        <v>0</v>
      </c>
      <c r="T136" s="41"/>
      <c r="U136" s="39"/>
      <c r="V136" s="39"/>
      <c r="W136" s="39"/>
    </row>
    <row r="137" spans="1:23" s="37" customFormat="1" ht="12" x14ac:dyDescent="0.2">
      <c r="A137" s="54"/>
      <c r="B137" s="54"/>
      <c r="C137" s="54"/>
      <c r="D137" s="54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41"/>
      <c r="S137" s="40"/>
      <c r="T137" s="41"/>
      <c r="U137" s="39"/>
      <c r="V137" s="39"/>
      <c r="W137" s="39"/>
    </row>
    <row r="138" spans="1:23" s="37" customFormat="1" ht="12" x14ac:dyDescent="0.2">
      <c r="A138" s="54"/>
      <c r="B138" s="54" t="s">
        <v>126</v>
      </c>
      <c r="C138" s="54"/>
      <c r="D138" s="54"/>
      <c r="E138" s="39">
        <f>SUM(E120:E136)</f>
        <v>23906.042308044587</v>
      </c>
      <c r="F138" s="39">
        <f>SUM(F120:F136)</f>
        <v>26385.977086044586</v>
      </c>
      <c r="G138" s="39">
        <f t="shared" ref="G138:P138" si="51">SUM(G120:G136)</f>
        <v>25980.221086044585</v>
      </c>
      <c r="H138" s="39">
        <f t="shared" si="51"/>
        <v>-35580.116363955392</v>
      </c>
      <c r="I138" s="39">
        <f t="shared" si="51"/>
        <v>-50889.668491955403</v>
      </c>
      <c r="J138" s="39">
        <f t="shared" si="51"/>
        <v>29282.65950804458</v>
      </c>
      <c r="K138" s="39">
        <f t="shared" si="51"/>
        <v>27335.009158044588</v>
      </c>
      <c r="L138" s="39">
        <f t="shared" si="51"/>
        <v>26354.765086044586</v>
      </c>
      <c r="M138" s="39">
        <f t="shared" si="51"/>
        <v>-29361.7576359554</v>
      </c>
      <c r="N138" s="39">
        <f t="shared" si="51"/>
        <v>-73306.926491955412</v>
      </c>
      <c r="O138" s="39">
        <f t="shared" si="51"/>
        <v>19018.973508044586</v>
      </c>
      <c r="P138" s="39">
        <f t="shared" si="51"/>
        <v>27230.969158044583</v>
      </c>
      <c r="Q138" s="39"/>
      <c r="R138" s="41"/>
      <c r="S138" s="40"/>
      <c r="T138" s="41"/>
      <c r="U138" s="39"/>
      <c r="V138" s="39"/>
      <c r="W138" s="39"/>
    </row>
    <row r="139" spans="1:23" s="37" customFormat="1" ht="12" x14ac:dyDescent="0.2">
      <c r="A139" s="54"/>
      <c r="B139" s="54" t="s">
        <v>127</v>
      </c>
      <c r="C139" s="54"/>
      <c r="D139" s="54"/>
      <c r="E139" s="42">
        <f>'FY22'!P141</f>
        <v>-82.981173240157659</v>
      </c>
      <c r="F139" s="42">
        <f>E141</f>
        <v>23823.061134804429</v>
      </c>
      <c r="G139" s="42">
        <f t="shared" ref="G139:P139" si="52">F141</f>
        <v>50209.038220849019</v>
      </c>
      <c r="H139" s="42">
        <f t="shared" si="52"/>
        <v>76189.259306893597</v>
      </c>
      <c r="I139" s="42">
        <f t="shared" si="52"/>
        <v>40609.142942938204</v>
      </c>
      <c r="J139" s="42">
        <f t="shared" si="52"/>
        <v>-10280.525549017199</v>
      </c>
      <c r="K139" s="42">
        <f t="shared" si="52"/>
        <v>19002.133959027382</v>
      </c>
      <c r="L139" s="42">
        <f t="shared" si="52"/>
        <v>46337.143117071973</v>
      </c>
      <c r="M139" s="42">
        <f t="shared" si="52"/>
        <v>72691.90820311656</v>
      </c>
      <c r="N139" s="42">
        <f t="shared" si="52"/>
        <v>43330.150567161159</v>
      </c>
      <c r="O139" s="42">
        <f t="shared" si="52"/>
        <v>-29976.775924794252</v>
      </c>
      <c r="P139" s="42">
        <f t="shared" si="52"/>
        <v>-10957.802416749666</v>
      </c>
      <c r="Q139" s="39"/>
      <c r="R139" s="41"/>
      <c r="S139" s="40"/>
      <c r="T139" s="41"/>
      <c r="U139" s="39"/>
      <c r="V139" s="39"/>
      <c r="W139" s="39"/>
    </row>
    <row r="140" spans="1:23" s="37" customFormat="1" ht="12" x14ac:dyDescent="0.2">
      <c r="A140" s="54"/>
      <c r="B140" s="54"/>
      <c r="C140" s="54"/>
      <c r="D140" s="54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41"/>
      <c r="S140" s="40"/>
      <c r="T140" s="41"/>
      <c r="U140" s="39"/>
      <c r="V140" s="39"/>
      <c r="W140" s="39"/>
    </row>
    <row r="141" spans="1:23" s="37" customFormat="1" ht="12.75" thickBot="1" x14ac:dyDescent="0.25">
      <c r="A141" s="53"/>
      <c r="B141" s="53" t="s">
        <v>128</v>
      </c>
      <c r="C141" s="53"/>
      <c r="D141" s="53"/>
      <c r="E141" s="194">
        <f>SUM(E138:E140)</f>
        <v>23823.061134804429</v>
      </c>
      <c r="F141" s="194">
        <f>SUM(F138:F140)</f>
        <v>50209.038220849019</v>
      </c>
      <c r="G141" s="194">
        <f t="shared" ref="G141:P141" si="53">SUM(G138:G140)</f>
        <v>76189.259306893597</v>
      </c>
      <c r="H141" s="194">
        <f t="shared" si="53"/>
        <v>40609.142942938204</v>
      </c>
      <c r="I141" s="194">
        <f t="shared" si="53"/>
        <v>-10280.525549017199</v>
      </c>
      <c r="J141" s="194">
        <f t="shared" si="53"/>
        <v>19002.133959027382</v>
      </c>
      <c r="K141" s="194">
        <f t="shared" si="53"/>
        <v>46337.143117071973</v>
      </c>
      <c r="L141" s="194">
        <f t="shared" si="53"/>
        <v>72691.90820311656</v>
      </c>
      <c r="M141" s="194">
        <f t="shared" si="53"/>
        <v>43330.150567161159</v>
      </c>
      <c r="N141" s="194">
        <f t="shared" si="53"/>
        <v>-29976.775924794252</v>
      </c>
      <c r="O141" s="194">
        <f t="shared" si="53"/>
        <v>-10957.802416749666</v>
      </c>
      <c r="P141" s="194">
        <f t="shared" si="53"/>
        <v>16273.166741294917</v>
      </c>
      <c r="Q141" s="39"/>
      <c r="R141" s="41"/>
      <c r="S141" s="40"/>
      <c r="T141" s="41"/>
      <c r="U141" s="39"/>
      <c r="V141" s="39"/>
      <c r="W141" s="39"/>
    </row>
    <row r="142" spans="1:23" s="37" customFormat="1" ht="12.75" thickTop="1" x14ac:dyDescent="0.2">
      <c r="C142" s="38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41"/>
      <c r="S142" s="40"/>
      <c r="T142" s="41"/>
      <c r="U142" s="39"/>
      <c r="V142" s="39"/>
      <c r="W142" s="39"/>
    </row>
    <row r="143" spans="1:23" s="37" customFormat="1" ht="12" x14ac:dyDescent="0.2">
      <c r="C143" s="38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41"/>
      <c r="S143" s="40"/>
      <c r="T143" s="41"/>
      <c r="U143" s="39"/>
      <c r="V143" s="39"/>
      <c r="W143" s="39"/>
    </row>
    <row r="144" spans="1:23" s="37" customFormat="1" ht="12" x14ac:dyDescent="0.2">
      <c r="C144" s="38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41"/>
      <c r="S144" s="40"/>
      <c r="T144" s="41"/>
      <c r="U144" s="39"/>
      <c r="V144" s="39"/>
      <c r="W144" s="39"/>
    </row>
    <row r="145" spans="3:23" s="37" customFormat="1" ht="12" x14ac:dyDescent="0.2">
      <c r="C145" s="38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41"/>
      <c r="S145" s="40"/>
      <c r="T145" s="41"/>
      <c r="U145" s="39"/>
      <c r="V145" s="39"/>
      <c r="W145" s="39"/>
    </row>
    <row r="146" spans="3:23" s="37" customFormat="1" ht="12" x14ac:dyDescent="0.2">
      <c r="C146" s="38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41"/>
      <c r="S146" s="40"/>
      <c r="T146" s="41"/>
      <c r="U146" s="39"/>
      <c r="V146" s="39"/>
      <c r="W146" s="39"/>
    </row>
    <row r="147" spans="3:23" s="37" customFormat="1" ht="12" x14ac:dyDescent="0.2">
      <c r="C147" s="38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41"/>
      <c r="S147" s="40"/>
      <c r="T147" s="41"/>
      <c r="U147" s="39"/>
      <c r="V147" s="39"/>
      <c r="W147" s="39"/>
    </row>
    <row r="148" spans="3:23" s="37" customFormat="1" ht="12" x14ac:dyDescent="0.2">
      <c r="C148" s="38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41"/>
      <c r="S148" s="40"/>
      <c r="T148" s="41"/>
      <c r="U148" s="39"/>
      <c r="V148" s="39"/>
      <c r="W148" s="39"/>
    </row>
    <row r="149" spans="3:23" s="37" customFormat="1" ht="12" x14ac:dyDescent="0.2">
      <c r="C149" s="38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41"/>
      <c r="S149" s="40"/>
      <c r="T149" s="41"/>
      <c r="U149" s="39"/>
      <c r="V149" s="39"/>
      <c r="W149" s="39"/>
    </row>
    <row r="150" spans="3:23" s="37" customFormat="1" ht="12" x14ac:dyDescent="0.2">
      <c r="C150" s="38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41"/>
      <c r="S150" s="40"/>
      <c r="T150" s="41"/>
      <c r="U150" s="39"/>
      <c r="V150" s="39"/>
      <c r="W150" s="39"/>
    </row>
    <row r="151" spans="3:23" s="37" customFormat="1" ht="12" x14ac:dyDescent="0.2">
      <c r="C151" s="38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41"/>
      <c r="S151" s="40"/>
      <c r="T151" s="41"/>
      <c r="U151" s="39"/>
      <c r="V151" s="39"/>
      <c r="W151" s="39"/>
    </row>
    <row r="152" spans="3:23" s="37" customFormat="1" ht="12" x14ac:dyDescent="0.2">
      <c r="C152" s="38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41"/>
      <c r="S152" s="40"/>
      <c r="T152" s="41"/>
      <c r="U152" s="39"/>
      <c r="V152" s="39"/>
      <c r="W152" s="39"/>
    </row>
    <row r="153" spans="3:23" s="37" customFormat="1" ht="12" x14ac:dyDescent="0.2">
      <c r="C153" s="38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41"/>
      <c r="S153" s="40"/>
      <c r="T153" s="41"/>
      <c r="U153" s="39"/>
      <c r="V153" s="39"/>
      <c r="W153" s="39"/>
    </row>
    <row r="154" spans="3:23" s="37" customFormat="1" ht="12" x14ac:dyDescent="0.2">
      <c r="C154" s="38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41"/>
      <c r="S154" s="40"/>
      <c r="T154" s="41"/>
      <c r="U154" s="39"/>
      <c r="V154" s="39"/>
      <c r="W154" s="39"/>
    </row>
    <row r="155" spans="3:23" s="37" customFormat="1" ht="12" x14ac:dyDescent="0.2">
      <c r="C155" s="38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41"/>
      <c r="S155" s="40"/>
      <c r="T155" s="41"/>
      <c r="U155" s="39"/>
      <c r="V155" s="39"/>
      <c r="W155" s="39"/>
    </row>
    <row r="156" spans="3:23" s="37" customFormat="1" ht="12" x14ac:dyDescent="0.2">
      <c r="C156" s="38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41"/>
      <c r="S156" s="40"/>
      <c r="T156" s="41"/>
      <c r="U156" s="39"/>
      <c r="V156" s="39"/>
      <c r="W156" s="39"/>
    </row>
    <row r="157" spans="3:23" s="37" customFormat="1" ht="12" x14ac:dyDescent="0.2">
      <c r="C157" s="38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41"/>
      <c r="S157" s="40"/>
      <c r="T157" s="41"/>
      <c r="U157" s="39"/>
      <c r="V157" s="39"/>
      <c r="W157" s="39"/>
    </row>
    <row r="158" spans="3:23" s="37" customFormat="1" ht="12" x14ac:dyDescent="0.2">
      <c r="C158" s="38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41"/>
      <c r="S158" s="40"/>
      <c r="T158" s="41"/>
      <c r="U158" s="39"/>
      <c r="V158" s="39"/>
      <c r="W158" s="39"/>
    </row>
    <row r="159" spans="3:23" s="37" customFormat="1" ht="12" x14ac:dyDescent="0.2">
      <c r="C159" s="38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41"/>
      <c r="S159" s="40"/>
      <c r="T159" s="41"/>
      <c r="U159" s="39"/>
      <c r="V159" s="39"/>
      <c r="W159" s="39"/>
    </row>
    <row r="160" spans="3:23" s="37" customFormat="1" ht="12" x14ac:dyDescent="0.2">
      <c r="C160" s="38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41"/>
      <c r="S160" s="40"/>
      <c r="T160" s="41"/>
      <c r="U160" s="39"/>
      <c r="V160" s="39"/>
      <c r="W160" s="39"/>
    </row>
    <row r="161" spans="3:23" s="37" customFormat="1" ht="12" x14ac:dyDescent="0.2">
      <c r="C161" s="38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41"/>
      <c r="S161" s="40"/>
      <c r="T161" s="41"/>
      <c r="U161" s="39"/>
      <c r="V161" s="39"/>
      <c r="W161" s="39"/>
    </row>
    <row r="162" spans="3:23" s="37" customFormat="1" ht="12" x14ac:dyDescent="0.2">
      <c r="C162" s="38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41"/>
      <c r="S162" s="40"/>
      <c r="T162" s="41"/>
      <c r="U162" s="39"/>
      <c r="V162" s="39"/>
      <c r="W162" s="39"/>
    </row>
    <row r="163" spans="3:23" s="37" customFormat="1" ht="12" x14ac:dyDescent="0.2">
      <c r="C163" s="38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41"/>
      <c r="S163" s="40"/>
      <c r="T163" s="41"/>
      <c r="U163" s="39"/>
      <c r="V163" s="39"/>
      <c r="W163" s="39"/>
    </row>
    <row r="164" spans="3:23" s="37" customFormat="1" ht="12" x14ac:dyDescent="0.2">
      <c r="C164" s="38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41"/>
      <c r="S164" s="40"/>
      <c r="T164" s="41"/>
      <c r="U164" s="39"/>
      <c r="V164" s="39"/>
      <c r="W164" s="39"/>
    </row>
    <row r="165" spans="3:23" s="37" customFormat="1" ht="12" x14ac:dyDescent="0.2">
      <c r="C165" s="38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41"/>
      <c r="S165" s="40"/>
      <c r="T165" s="41"/>
      <c r="U165" s="39"/>
      <c r="V165" s="39"/>
      <c r="W165" s="39"/>
    </row>
    <row r="166" spans="3:23" s="37" customFormat="1" ht="12" x14ac:dyDescent="0.2">
      <c r="C166" s="38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41"/>
      <c r="S166" s="40"/>
      <c r="T166" s="41"/>
      <c r="U166" s="39"/>
      <c r="V166" s="39"/>
      <c r="W166" s="39"/>
    </row>
    <row r="167" spans="3:23" s="37" customFormat="1" ht="12" x14ac:dyDescent="0.2">
      <c r="C167" s="38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41"/>
      <c r="S167" s="40"/>
      <c r="T167" s="41"/>
      <c r="U167" s="39"/>
      <c r="V167" s="39"/>
      <c r="W167" s="39"/>
    </row>
    <row r="168" spans="3:23" s="37" customFormat="1" ht="12" x14ac:dyDescent="0.2">
      <c r="C168" s="38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41"/>
      <c r="S168" s="40"/>
      <c r="T168" s="41"/>
      <c r="U168" s="39"/>
      <c r="V168" s="39"/>
      <c r="W168" s="39"/>
    </row>
    <row r="169" spans="3:23" s="37" customFormat="1" ht="12" x14ac:dyDescent="0.2">
      <c r="C169" s="38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41"/>
      <c r="S169" s="40"/>
      <c r="T169" s="41"/>
      <c r="U169" s="39"/>
      <c r="V169" s="39"/>
      <c r="W169" s="39"/>
    </row>
    <row r="170" spans="3:23" s="37" customFormat="1" ht="12" x14ac:dyDescent="0.2">
      <c r="C170" s="38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41"/>
      <c r="S170" s="40"/>
      <c r="T170" s="41"/>
      <c r="U170" s="39"/>
      <c r="V170" s="39"/>
      <c r="W170" s="39"/>
    </row>
    <row r="171" spans="3:23" s="37" customFormat="1" ht="12" x14ac:dyDescent="0.2">
      <c r="C171" s="38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41"/>
      <c r="S171" s="40"/>
      <c r="T171" s="41"/>
      <c r="U171" s="39"/>
      <c r="V171" s="39"/>
      <c r="W171" s="39"/>
    </row>
    <row r="172" spans="3:23" s="37" customFormat="1" ht="12" x14ac:dyDescent="0.2">
      <c r="C172" s="38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41"/>
      <c r="S172" s="40"/>
      <c r="T172" s="41"/>
      <c r="U172" s="39"/>
      <c r="V172" s="39"/>
      <c r="W172" s="39"/>
    </row>
    <row r="173" spans="3:23" s="37" customFormat="1" ht="12" x14ac:dyDescent="0.2">
      <c r="C173" s="38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41"/>
      <c r="S173" s="40"/>
      <c r="T173" s="41"/>
      <c r="U173" s="39"/>
      <c r="V173" s="39"/>
      <c r="W173" s="39"/>
    </row>
    <row r="174" spans="3:23" s="37" customFormat="1" ht="12" x14ac:dyDescent="0.2">
      <c r="C174" s="38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41"/>
      <c r="S174" s="40"/>
      <c r="T174" s="41"/>
      <c r="U174" s="39"/>
      <c r="V174" s="39"/>
      <c r="W174" s="39"/>
    </row>
    <row r="175" spans="3:23" s="37" customFormat="1" ht="12" x14ac:dyDescent="0.2">
      <c r="C175" s="38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41"/>
      <c r="S175" s="40"/>
      <c r="T175" s="41"/>
      <c r="U175" s="39"/>
      <c r="V175" s="39"/>
      <c r="W175" s="39"/>
    </row>
    <row r="176" spans="3:23" s="37" customFormat="1" ht="12" x14ac:dyDescent="0.2">
      <c r="C176" s="38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41"/>
      <c r="S176" s="40"/>
      <c r="T176" s="41"/>
      <c r="U176" s="39"/>
      <c r="V176" s="39"/>
      <c r="W176" s="39"/>
    </row>
    <row r="177" spans="3:23" s="37" customFormat="1" ht="12" x14ac:dyDescent="0.2">
      <c r="C177" s="38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41"/>
      <c r="S177" s="40"/>
      <c r="T177" s="41"/>
      <c r="U177" s="39"/>
      <c r="V177" s="39"/>
      <c r="W177" s="39"/>
    </row>
    <row r="178" spans="3:23" s="37" customFormat="1" ht="12" x14ac:dyDescent="0.2">
      <c r="C178" s="38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41"/>
      <c r="S178" s="40"/>
      <c r="T178" s="41"/>
      <c r="U178" s="39"/>
      <c r="V178" s="39"/>
      <c r="W178" s="39"/>
    </row>
    <row r="179" spans="3:23" s="37" customFormat="1" ht="12" x14ac:dyDescent="0.2">
      <c r="C179" s="38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41"/>
      <c r="S179" s="40"/>
      <c r="T179" s="41"/>
      <c r="U179" s="39"/>
      <c r="V179" s="39"/>
      <c r="W179" s="39"/>
    </row>
    <row r="180" spans="3:23" s="37" customFormat="1" ht="12" x14ac:dyDescent="0.2">
      <c r="C180" s="38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41"/>
      <c r="S180" s="40"/>
      <c r="T180" s="41"/>
      <c r="U180" s="39"/>
      <c r="V180" s="39"/>
      <c r="W180" s="39"/>
    </row>
    <row r="181" spans="3:23" s="37" customFormat="1" ht="12" x14ac:dyDescent="0.2">
      <c r="C181" s="38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41"/>
      <c r="S181" s="40"/>
      <c r="T181" s="41"/>
      <c r="U181" s="39"/>
      <c r="V181" s="39"/>
      <c r="W181" s="39"/>
    </row>
    <row r="182" spans="3:23" s="37" customFormat="1" ht="12" x14ac:dyDescent="0.2">
      <c r="C182" s="38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41"/>
      <c r="S182" s="40"/>
      <c r="T182" s="41"/>
      <c r="U182" s="39"/>
      <c r="V182" s="39"/>
      <c r="W182" s="39"/>
    </row>
    <row r="183" spans="3:23" s="37" customFormat="1" ht="12" x14ac:dyDescent="0.2">
      <c r="C183" s="38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41"/>
      <c r="S183" s="40"/>
      <c r="T183" s="41"/>
      <c r="U183" s="39"/>
      <c r="V183" s="39"/>
      <c r="W183" s="39"/>
    </row>
    <row r="184" spans="3:23" s="37" customFormat="1" ht="12" x14ac:dyDescent="0.2">
      <c r="C184" s="38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41"/>
      <c r="S184" s="40"/>
      <c r="T184" s="41"/>
      <c r="U184" s="39"/>
      <c r="V184" s="39"/>
      <c r="W184" s="39"/>
    </row>
    <row r="185" spans="3:23" s="37" customFormat="1" ht="12" x14ac:dyDescent="0.2">
      <c r="C185" s="38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41"/>
      <c r="S185" s="40"/>
      <c r="T185" s="41"/>
      <c r="U185" s="39"/>
      <c r="V185" s="39"/>
      <c r="W185" s="39"/>
    </row>
    <row r="186" spans="3:23" s="37" customFormat="1" ht="12" x14ac:dyDescent="0.2">
      <c r="C186" s="38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41"/>
      <c r="S186" s="40"/>
      <c r="T186" s="41"/>
      <c r="U186" s="39"/>
      <c r="V186" s="39"/>
      <c r="W186" s="39"/>
    </row>
    <row r="187" spans="3:23" s="37" customFormat="1" ht="12" x14ac:dyDescent="0.2">
      <c r="C187" s="38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41"/>
      <c r="S187" s="40"/>
      <c r="T187" s="41"/>
      <c r="U187" s="39"/>
      <c r="V187" s="39"/>
      <c r="W187" s="39"/>
    </row>
    <row r="188" spans="3:23" s="37" customFormat="1" ht="12" x14ac:dyDescent="0.2">
      <c r="C188" s="38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41"/>
      <c r="S188" s="40"/>
      <c r="T188" s="41"/>
      <c r="U188" s="39"/>
      <c r="V188" s="39"/>
      <c r="W188" s="39"/>
    </row>
    <row r="189" spans="3:23" s="37" customFormat="1" ht="12" x14ac:dyDescent="0.2">
      <c r="C189" s="38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41"/>
      <c r="S189" s="40"/>
      <c r="T189" s="41"/>
      <c r="U189" s="39"/>
      <c r="V189" s="39"/>
      <c r="W189" s="39"/>
    </row>
    <row r="190" spans="3:23" s="37" customFormat="1" ht="12" x14ac:dyDescent="0.2">
      <c r="C190" s="38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41"/>
      <c r="S190" s="40"/>
      <c r="T190" s="41"/>
      <c r="U190" s="39"/>
      <c r="V190" s="39"/>
      <c r="W190" s="39"/>
    </row>
    <row r="191" spans="3:23" s="37" customFormat="1" ht="12" x14ac:dyDescent="0.2">
      <c r="C191" s="38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41"/>
      <c r="S191" s="40"/>
      <c r="T191" s="41"/>
      <c r="U191" s="39"/>
      <c r="V191" s="39"/>
      <c r="W191" s="39"/>
    </row>
    <row r="192" spans="3:23" s="37" customFormat="1" ht="12" x14ac:dyDescent="0.2">
      <c r="C192" s="38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41"/>
      <c r="S192" s="40"/>
      <c r="T192" s="41"/>
      <c r="U192" s="39"/>
      <c r="V192" s="39"/>
      <c r="W192" s="39"/>
    </row>
    <row r="193" spans="3:23" s="37" customFormat="1" ht="12" x14ac:dyDescent="0.2">
      <c r="C193" s="38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41"/>
      <c r="S193" s="40"/>
      <c r="T193" s="41"/>
      <c r="U193" s="39"/>
      <c r="V193" s="39"/>
      <c r="W193" s="39"/>
    </row>
    <row r="194" spans="3:23" s="37" customFormat="1" ht="12" x14ac:dyDescent="0.2">
      <c r="C194" s="38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41"/>
      <c r="S194" s="40"/>
      <c r="T194" s="41"/>
      <c r="U194" s="39"/>
      <c r="V194" s="39"/>
      <c r="W194" s="39"/>
    </row>
    <row r="195" spans="3:23" s="37" customFormat="1" ht="12" x14ac:dyDescent="0.2">
      <c r="C195" s="38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41"/>
      <c r="S195" s="40"/>
      <c r="T195" s="41"/>
      <c r="U195" s="39"/>
      <c r="V195" s="39"/>
      <c r="W195" s="39"/>
    </row>
    <row r="196" spans="3:23" s="37" customFormat="1" ht="12" x14ac:dyDescent="0.2">
      <c r="C196" s="38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41"/>
      <c r="S196" s="40"/>
      <c r="T196" s="41"/>
      <c r="U196" s="39"/>
      <c r="V196" s="39"/>
      <c r="W196" s="39"/>
    </row>
    <row r="197" spans="3:23" s="37" customFormat="1" ht="12" x14ac:dyDescent="0.2">
      <c r="C197" s="38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41"/>
      <c r="S197" s="40"/>
      <c r="T197" s="41"/>
      <c r="U197" s="39"/>
      <c r="V197" s="39"/>
      <c r="W197" s="39"/>
    </row>
    <row r="198" spans="3:23" s="37" customFormat="1" ht="12" x14ac:dyDescent="0.2">
      <c r="C198" s="38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41"/>
      <c r="S198" s="40"/>
      <c r="T198" s="41"/>
      <c r="U198" s="39"/>
      <c r="V198" s="39"/>
      <c r="W198" s="39"/>
    </row>
    <row r="199" spans="3:23" s="37" customFormat="1" ht="12" x14ac:dyDescent="0.2">
      <c r="C199" s="38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41"/>
      <c r="S199" s="40"/>
      <c r="T199" s="41"/>
      <c r="U199" s="39"/>
      <c r="V199" s="39"/>
      <c r="W199" s="39"/>
    </row>
    <row r="200" spans="3:23" s="37" customFormat="1" ht="12" x14ac:dyDescent="0.2">
      <c r="C200" s="38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41"/>
      <c r="S200" s="40"/>
      <c r="T200" s="41"/>
      <c r="U200" s="39"/>
      <c r="V200" s="39"/>
      <c r="W200" s="39"/>
    </row>
    <row r="201" spans="3:23" s="37" customFormat="1" ht="12" x14ac:dyDescent="0.2">
      <c r="C201" s="38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41"/>
      <c r="S201" s="40"/>
      <c r="T201" s="41"/>
      <c r="U201" s="39"/>
      <c r="V201" s="39"/>
      <c r="W201" s="39"/>
    </row>
    <row r="202" spans="3:23" s="37" customFormat="1" ht="12" x14ac:dyDescent="0.2">
      <c r="C202" s="38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41"/>
      <c r="S202" s="40"/>
      <c r="T202" s="41"/>
      <c r="U202" s="39"/>
      <c r="V202" s="39"/>
      <c r="W202" s="39"/>
    </row>
    <row r="203" spans="3:23" s="37" customFormat="1" ht="12" x14ac:dyDescent="0.2">
      <c r="C203" s="38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41"/>
      <c r="S203" s="40"/>
      <c r="T203" s="41"/>
      <c r="U203" s="39"/>
      <c r="V203" s="39"/>
      <c r="W203" s="39"/>
    </row>
    <row r="204" spans="3:23" s="37" customFormat="1" ht="12" x14ac:dyDescent="0.2">
      <c r="C204" s="38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41"/>
      <c r="S204" s="40"/>
      <c r="T204" s="41"/>
      <c r="U204" s="39"/>
      <c r="V204" s="39"/>
      <c r="W204" s="39"/>
    </row>
    <row r="205" spans="3:23" s="37" customFormat="1" ht="12" x14ac:dyDescent="0.2">
      <c r="C205" s="38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41"/>
      <c r="S205" s="40"/>
      <c r="T205" s="41"/>
      <c r="U205" s="39"/>
      <c r="V205" s="39"/>
      <c r="W205" s="39"/>
    </row>
    <row r="206" spans="3:23" s="37" customFormat="1" ht="12" x14ac:dyDescent="0.2">
      <c r="C206" s="38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41"/>
      <c r="S206" s="40"/>
      <c r="T206" s="41"/>
      <c r="U206" s="39"/>
      <c r="V206" s="39"/>
      <c r="W206" s="39"/>
    </row>
    <row r="207" spans="3:23" s="37" customFormat="1" ht="12" x14ac:dyDescent="0.2">
      <c r="C207" s="38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41"/>
      <c r="S207" s="40"/>
      <c r="T207" s="41"/>
      <c r="U207" s="39"/>
      <c r="V207" s="39"/>
      <c r="W207" s="39"/>
    </row>
    <row r="208" spans="3:23" s="37" customFormat="1" ht="12" x14ac:dyDescent="0.2">
      <c r="C208" s="38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41"/>
      <c r="S208" s="40"/>
      <c r="T208" s="41"/>
      <c r="U208" s="39"/>
      <c r="V208" s="39"/>
      <c r="W208" s="39"/>
    </row>
    <row r="209" spans="3:23" s="37" customFormat="1" ht="12" x14ac:dyDescent="0.2">
      <c r="C209" s="38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41"/>
      <c r="S209" s="40"/>
      <c r="T209" s="41"/>
      <c r="U209" s="39"/>
      <c r="V209" s="39"/>
      <c r="W209" s="39"/>
    </row>
    <row r="210" spans="3:23" s="37" customFormat="1" ht="12" x14ac:dyDescent="0.2">
      <c r="C210" s="38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41"/>
      <c r="S210" s="40"/>
      <c r="T210" s="41"/>
      <c r="U210" s="39"/>
      <c r="V210" s="39"/>
      <c r="W210" s="39"/>
    </row>
    <row r="211" spans="3:23" s="37" customFormat="1" ht="12" x14ac:dyDescent="0.2">
      <c r="C211" s="38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41"/>
      <c r="S211" s="40"/>
      <c r="T211" s="41"/>
      <c r="U211" s="39"/>
      <c r="V211" s="39"/>
      <c r="W211" s="39"/>
    </row>
    <row r="212" spans="3:23" s="37" customFormat="1" ht="12" x14ac:dyDescent="0.2">
      <c r="C212" s="38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41"/>
      <c r="S212" s="40"/>
      <c r="T212" s="41"/>
      <c r="U212" s="39"/>
      <c r="V212" s="39"/>
      <c r="W212" s="39"/>
    </row>
    <row r="213" spans="3:23" s="37" customFormat="1" ht="12" x14ac:dyDescent="0.2">
      <c r="C213" s="38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41"/>
      <c r="S213" s="40"/>
      <c r="T213" s="41"/>
      <c r="U213" s="39"/>
      <c r="V213" s="39"/>
      <c r="W213" s="39"/>
    </row>
    <row r="214" spans="3:23" s="37" customFormat="1" ht="12" x14ac:dyDescent="0.2">
      <c r="C214" s="38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41"/>
      <c r="S214" s="40"/>
      <c r="T214" s="41"/>
      <c r="U214" s="39"/>
      <c r="V214" s="39"/>
      <c r="W214" s="39"/>
    </row>
    <row r="215" spans="3:23" s="37" customFormat="1" ht="12" x14ac:dyDescent="0.2">
      <c r="C215" s="38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41"/>
      <c r="S215" s="40"/>
      <c r="T215" s="41"/>
      <c r="U215" s="39"/>
      <c r="V215" s="39"/>
      <c r="W215" s="39"/>
    </row>
    <row r="216" spans="3:23" s="37" customFormat="1" ht="12" x14ac:dyDescent="0.2">
      <c r="C216" s="38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41"/>
      <c r="S216" s="40"/>
      <c r="T216" s="41"/>
      <c r="U216" s="39"/>
      <c r="V216" s="39"/>
      <c r="W216" s="39"/>
    </row>
    <row r="217" spans="3:23" s="37" customFormat="1" ht="12" x14ac:dyDescent="0.2">
      <c r="C217" s="38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41"/>
      <c r="S217" s="40"/>
      <c r="T217" s="41"/>
      <c r="U217" s="39"/>
      <c r="V217" s="39"/>
      <c r="W217" s="39"/>
    </row>
    <row r="218" spans="3:23" s="37" customFormat="1" ht="12" x14ac:dyDescent="0.2">
      <c r="C218" s="38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41"/>
      <c r="S218" s="40"/>
      <c r="T218" s="41"/>
      <c r="U218" s="39"/>
      <c r="V218" s="39"/>
      <c r="W218" s="39"/>
    </row>
    <row r="219" spans="3:23" s="37" customFormat="1" ht="12" x14ac:dyDescent="0.2">
      <c r="C219" s="38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41"/>
      <c r="S219" s="40"/>
      <c r="T219" s="41"/>
      <c r="U219" s="39"/>
      <c r="V219" s="39"/>
      <c r="W219" s="39"/>
    </row>
    <row r="220" spans="3:23" s="37" customFormat="1" ht="12" x14ac:dyDescent="0.2">
      <c r="C220" s="38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41"/>
      <c r="S220" s="40"/>
      <c r="T220" s="41"/>
      <c r="U220" s="39"/>
      <c r="V220" s="39"/>
      <c r="W220" s="39"/>
    </row>
    <row r="221" spans="3:23" s="37" customFormat="1" ht="12" x14ac:dyDescent="0.2">
      <c r="C221" s="38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41"/>
      <c r="S221" s="40"/>
      <c r="T221" s="41"/>
      <c r="U221" s="39"/>
      <c r="V221" s="39"/>
      <c r="W221" s="39"/>
    </row>
    <row r="222" spans="3:23" s="37" customFormat="1" ht="12" x14ac:dyDescent="0.2">
      <c r="C222" s="38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41"/>
      <c r="S222" s="40"/>
      <c r="T222" s="41"/>
      <c r="U222" s="39"/>
      <c r="V222" s="39"/>
      <c r="W222" s="39"/>
    </row>
    <row r="223" spans="3:23" s="37" customFormat="1" ht="12" x14ac:dyDescent="0.2">
      <c r="C223" s="38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41"/>
      <c r="S223" s="40"/>
      <c r="T223" s="41"/>
      <c r="U223" s="39"/>
      <c r="V223" s="39"/>
      <c r="W223" s="39"/>
    </row>
    <row r="224" spans="3:23" s="37" customFormat="1" ht="12" x14ac:dyDescent="0.2">
      <c r="C224" s="38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41"/>
      <c r="S224" s="40"/>
      <c r="T224" s="41"/>
      <c r="U224" s="39"/>
      <c r="V224" s="39"/>
      <c r="W224" s="39"/>
    </row>
    <row r="225" spans="3:23" s="37" customFormat="1" ht="12" x14ac:dyDescent="0.2">
      <c r="C225" s="38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41"/>
      <c r="S225" s="40"/>
      <c r="T225" s="41"/>
      <c r="U225" s="39"/>
      <c r="V225" s="39"/>
      <c r="W225" s="39"/>
    </row>
    <row r="226" spans="3:23" s="37" customFormat="1" ht="12" x14ac:dyDescent="0.2">
      <c r="C226" s="38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41"/>
      <c r="S226" s="40"/>
      <c r="T226" s="41"/>
      <c r="U226" s="39"/>
      <c r="V226" s="39"/>
      <c r="W226" s="39"/>
    </row>
    <row r="227" spans="3:23" s="37" customFormat="1" ht="12" x14ac:dyDescent="0.2">
      <c r="C227" s="38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41"/>
      <c r="S227" s="40"/>
      <c r="T227" s="41"/>
      <c r="U227" s="39"/>
      <c r="V227" s="39"/>
      <c r="W227" s="39"/>
    </row>
    <row r="228" spans="3:23" s="37" customFormat="1" ht="12" x14ac:dyDescent="0.2">
      <c r="C228" s="38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41"/>
      <c r="S228" s="40"/>
      <c r="T228" s="41"/>
      <c r="U228" s="39"/>
      <c r="V228" s="39"/>
      <c r="W228" s="39"/>
    </row>
    <row r="229" spans="3:23" s="37" customFormat="1" ht="12" x14ac:dyDescent="0.2">
      <c r="C229" s="38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41"/>
      <c r="S229" s="40"/>
      <c r="T229" s="41"/>
      <c r="U229" s="39"/>
      <c r="V229" s="39"/>
      <c r="W229" s="39"/>
    </row>
    <row r="230" spans="3:23" s="37" customFormat="1" ht="12" x14ac:dyDescent="0.2">
      <c r="C230" s="38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41"/>
      <c r="S230" s="40"/>
      <c r="T230" s="41"/>
      <c r="U230" s="39"/>
      <c r="V230" s="39"/>
      <c r="W230" s="39"/>
    </row>
    <row r="231" spans="3:23" s="37" customFormat="1" ht="12" x14ac:dyDescent="0.2">
      <c r="C231" s="38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41"/>
      <c r="S231" s="40"/>
      <c r="T231" s="41"/>
      <c r="U231" s="39"/>
      <c r="V231" s="39"/>
      <c r="W231" s="39"/>
    </row>
    <row r="232" spans="3:23" s="37" customFormat="1" ht="12" x14ac:dyDescent="0.2">
      <c r="C232" s="38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41"/>
      <c r="S232" s="40"/>
      <c r="T232" s="41"/>
      <c r="U232" s="39"/>
      <c r="V232" s="39"/>
      <c r="W232" s="39"/>
    </row>
    <row r="233" spans="3:23" s="37" customFormat="1" ht="12" x14ac:dyDescent="0.2">
      <c r="C233" s="38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41"/>
      <c r="S233" s="40"/>
      <c r="T233" s="41"/>
      <c r="U233" s="39"/>
      <c r="V233" s="39"/>
      <c r="W233" s="39"/>
    </row>
    <row r="234" spans="3:23" s="37" customFormat="1" ht="12" x14ac:dyDescent="0.2">
      <c r="C234" s="38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41"/>
      <c r="S234" s="40"/>
      <c r="T234" s="41"/>
      <c r="U234" s="39"/>
      <c r="V234" s="39"/>
      <c r="W234" s="39"/>
    </row>
    <row r="235" spans="3:23" s="37" customFormat="1" ht="12" x14ac:dyDescent="0.2">
      <c r="C235" s="38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41"/>
      <c r="S235" s="40"/>
      <c r="T235" s="41"/>
      <c r="U235" s="39"/>
      <c r="V235" s="39"/>
      <c r="W235" s="39"/>
    </row>
    <row r="236" spans="3:23" s="37" customFormat="1" ht="12" x14ac:dyDescent="0.2">
      <c r="C236" s="38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41"/>
      <c r="S236" s="40"/>
      <c r="T236" s="41"/>
      <c r="U236" s="39"/>
      <c r="V236" s="39"/>
      <c r="W236" s="39"/>
    </row>
    <row r="237" spans="3:23" s="37" customFormat="1" ht="12" x14ac:dyDescent="0.2">
      <c r="C237" s="38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41"/>
      <c r="S237" s="40"/>
      <c r="T237" s="41"/>
      <c r="U237" s="39"/>
      <c r="V237" s="39"/>
      <c r="W237" s="39"/>
    </row>
    <row r="238" spans="3:23" s="37" customFormat="1" ht="12" x14ac:dyDescent="0.2">
      <c r="C238" s="38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41"/>
      <c r="S238" s="40"/>
      <c r="T238" s="41"/>
      <c r="U238" s="39"/>
      <c r="V238" s="39"/>
      <c r="W238" s="39"/>
    </row>
    <row r="239" spans="3:23" s="37" customFormat="1" ht="12" x14ac:dyDescent="0.2">
      <c r="C239" s="38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41"/>
      <c r="S239" s="40"/>
      <c r="T239" s="41"/>
      <c r="U239" s="39"/>
      <c r="V239" s="39"/>
      <c r="W239" s="39"/>
    </row>
    <row r="240" spans="3:23" s="37" customFormat="1" ht="12" x14ac:dyDescent="0.2">
      <c r="C240" s="38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41"/>
      <c r="S240" s="40"/>
      <c r="T240" s="41"/>
      <c r="U240" s="39"/>
      <c r="V240" s="39"/>
      <c r="W240" s="39"/>
    </row>
    <row r="241" spans="3:23" s="37" customFormat="1" ht="12" x14ac:dyDescent="0.2">
      <c r="C241" s="38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41"/>
      <c r="S241" s="40"/>
      <c r="T241" s="41"/>
      <c r="U241" s="39"/>
      <c r="V241" s="39"/>
      <c r="W241" s="39"/>
    </row>
    <row r="242" spans="3:23" s="37" customFormat="1" ht="12" x14ac:dyDescent="0.2">
      <c r="C242" s="38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41"/>
      <c r="S242" s="40"/>
      <c r="T242" s="41"/>
      <c r="U242" s="39"/>
      <c r="V242" s="39"/>
      <c r="W242" s="39"/>
    </row>
    <row r="243" spans="3:23" s="37" customFormat="1" ht="12" x14ac:dyDescent="0.2">
      <c r="C243" s="38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41"/>
      <c r="S243" s="40"/>
      <c r="T243" s="41"/>
      <c r="U243" s="39"/>
      <c r="V243" s="39"/>
      <c r="W243" s="39"/>
    </row>
    <row r="244" spans="3:23" s="37" customFormat="1" ht="12" x14ac:dyDescent="0.2">
      <c r="C244" s="38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41"/>
      <c r="S244" s="40"/>
      <c r="T244" s="41"/>
      <c r="U244" s="39"/>
      <c r="V244" s="39"/>
      <c r="W244" s="39"/>
    </row>
    <row r="245" spans="3:23" s="37" customFormat="1" ht="12" x14ac:dyDescent="0.2">
      <c r="C245" s="38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41"/>
      <c r="S245" s="40"/>
      <c r="T245" s="41"/>
      <c r="U245" s="39"/>
      <c r="V245" s="39"/>
      <c r="W245" s="39"/>
    </row>
    <row r="246" spans="3:23" s="37" customFormat="1" ht="12" x14ac:dyDescent="0.2">
      <c r="C246" s="38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41"/>
      <c r="S246" s="40"/>
      <c r="T246" s="41"/>
      <c r="U246" s="39"/>
      <c r="V246" s="39"/>
      <c r="W246" s="39"/>
    </row>
    <row r="247" spans="3:23" s="37" customFormat="1" ht="12" x14ac:dyDescent="0.2">
      <c r="C247" s="38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41"/>
      <c r="S247" s="40"/>
      <c r="T247" s="41"/>
      <c r="U247" s="39"/>
      <c r="V247" s="39"/>
      <c r="W247" s="39"/>
    </row>
    <row r="248" spans="3:23" s="37" customFormat="1" ht="12" x14ac:dyDescent="0.2">
      <c r="C248" s="38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41"/>
      <c r="S248" s="40"/>
      <c r="T248" s="41"/>
      <c r="U248" s="39"/>
      <c r="V248" s="39"/>
      <c r="W248" s="39"/>
    </row>
    <row r="249" spans="3:23" s="37" customFormat="1" ht="12" x14ac:dyDescent="0.2">
      <c r="C249" s="38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41"/>
      <c r="S249" s="40"/>
      <c r="T249" s="41"/>
      <c r="U249" s="39"/>
      <c r="V249" s="39"/>
      <c r="W249" s="39"/>
    </row>
    <row r="250" spans="3:23" s="37" customFormat="1" ht="12" x14ac:dyDescent="0.2">
      <c r="C250" s="38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41"/>
      <c r="S250" s="40"/>
      <c r="T250" s="41"/>
      <c r="U250" s="39"/>
      <c r="V250" s="39"/>
      <c r="W250" s="39"/>
    </row>
    <row r="251" spans="3:23" s="37" customFormat="1" ht="12" x14ac:dyDescent="0.2">
      <c r="C251" s="38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41"/>
      <c r="S251" s="40"/>
      <c r="T251" s="41"/>
      <c r="U251" s="39"/>
      <c r="V251" s="39"/>
      <c r="W251" s="39"/>
    </row>
    <row r="252" spans="3:23" s="37" customFormat="1" ht="12" x14ac:dyDescent="0.2">
      <c r="C252" s="38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41"/>
      <c r="S252" s="40"/>
      <c r="T252" s="41"/>
      <c r="U252" s="39"/>
      <c r="V252" s="39"/>
      <c r="W252" s="39"/>
    </row>
    <row r="253" spans="3:23" s="37" customFormat="1" ht="12" x14ac:dyDescent="0.2">
      <c r="C253" s="38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41"/>
      <c r="S253" s="40"/>
      <c r="T253" s="41"/>
      <c r="U253" s="39"/>
      <c r="V253" s="39"/>
      <c r="W253" s="39"/>
    </row>
    <row r="254" spans="3:23" s="37" customFormat="1" ht="12" x14ac:dyDescent="0.2">
      <c r="C254" s="38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41"/>
      <c r="S254" s="40"/>
      <c r="T254" s="41"/>
      <c r="U254" s="39"/>
      <c r="V254" s="39"/>
      <c r="W254" s="39"/>
    </row>
    <row r="255" spans="3:23" s="37" customFormat="1" ht="12" x14ac:dyDescent="0.2">
      <c r="C255" s="38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41"/>
      <c r="S255" s="40"/>
      <c r="T255" s="41"/>
      <c r="U255" s="39"/>
      <c r="V255" s="39"/>
      <c r="W255" s="39"/>
    </row>
    <row r="256" spans="3:23" s="37" customFormat="1" ht="12" x14ac:dyDescent="0.2">
      <c r="C256" s="38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41"/>
      <c r="S256" s="40"/>
      <c r="T256" s="41"/>
      <c r="U256" s="39"/>
      <c r="V256" s="39"/>
      <c r="W256" s="39"/>
    </row>
    <row r="257" spans="3:23" s="37" customFormat="1" ht="12" x14ac:dyDescent="0.2">
      <c r="C257" s="38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41"/>
      <c r="S257" s="40"/>
      <c r="T257" s="41"/>
      <c r="U257" s="39"/>
      <c r="V257" s="39"/>
      <c r="W257" s="39"/>
    </row>
    <row r="258" spans="3:23" s="37" customFormat="1" ht="12" x14ac:dyDescent="0.2">
      <c r="C258" s="38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41"/>
      <c r="S258" s="40"/>
      <c r="T258" s="41"/>
      <c r="U258" s="39"/>
      <c r="V258" s="39"/>
      <c r="W258" s="39"/>
    </row>
    <row r="259" spans="3:23" s="37" customFormat="1" ht="12" x14ac:dyDescent="0.2">
      <c r="C259" s="38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41"/>
      <c r="S259" s="40"/>
      <c r="T259" s="41"/>
      <c r="U259" s="39"/>
      <c r="V259" s="39"/>
      <c r="W259" s="39"/>
    </row>
    <row r="260" spans="3:23" s="37" customFormat="1" ht="12" x14ac:dyDescent="0.2">
      <c r="C260" s="38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41"/>
      <c r="S260" s="40"/>
      <c r="T260" s="41"/>
      <c r="U260" s="39"/>
      <c r="V260" s="39"/>
      <c r="W260" s="39"/>
    </row>
    <row r="261" spans="3:23" s="37" customFormat="1" ht="12" x14ac:dyDescent="0.2">
      <c r="C261" s="38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41"/>
      <c r="S261" s="40"/>
      <c r="T261" s="41"/>
      <c r="U261" s="39"/>
      <c r="V261" s="39"/>
      <c r="W261" s="39"/>
    </row>
    <row r="262" spans="3:23" s="37" customFormat="1" ht="12" x14ac:dyDescent="0.2">
      <c r="C262" s="38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41"/>
      <c r="S262" s="40"/>
      <c r="T262" s="41"/>
      <c r="U262" s="39"/>
      <c r="V262" s="39"/>
      <c r="W262" s="39"/>
    </row>
    <row r="263" spans="3:23" s="37" customFormat="1" ht="12" x14ac:dyDescent="0.2">
      <c r="C263" s="38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41"/>
      <c r="S263" s="40"/>
      <c r="T263" s="41"/>
      <c r="U263" s="39"/>
      <c r="V263" s="39"/>
      <c r="W263" s="39"/>
    </row>
    <row r="264" spans="3:23" s="37" customFormat="1" ht="12" x14ac:dyDescent="0.2">
      <c r="C264" s="38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41"/>
      <c r="S264" s="40"/>
      <c r="T264" s="41"/>
      <c r="U264" s="39"/>
      <c r="V264" s="39"/>
      <c r="W264" s="39"/>
    </row>
    <row r="265" spans="3:23" s="37" customFormat="1" ht="12" x14ac:dyDescent="0.2">
      <c r="C265" s="38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41"/>
      <c r="S265" s="40"/>
      <c r="T265" s="41"/>
      <c r="U265" s="39"/>
      <c r="V265" s="39"/>
      <c r="W265" s="39"/>
    </row>
    <row r="266" spans="3:23" s="37" customFormat="1" ht="12" x14ac:dyDescent="0.2">
      <c r="C266" s="38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41"/>
      <c r="S266" s="40"/>
      <c r="T266" s="41"/>
      <c r="U266" s="39"/>
      <c r="V266" s="39"/>
      <c r="W266" s="39"/>
    </row>
    <row r="267" spans="3:23" s="37" customFormat="1" ht="12" x14ac:dyDescent="0.2">
      <c r="C267" s="38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41"/>
      <c r="S267" s="40"/>
      <c r="T267" s="41"/>
      <c r="U267" s="39"/>
      <c r="V267" s="39"/>
      <c r="W267" s="39"/>
    </row>
    <row r="268" spans="3:23" s="37" customFormat="1" ht="12" x14ac:dyDescent="0.2">
      <c r="C268" s="38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41"/>
      <c r="S268" s="40"/>
      <c r="T268" s="41"/>
      <c r="U268" s="39"/>
      <c r="V268" s="39"/>
      <c r="W268" s="39"/>
    </row>
    <row r="269" spans="3:23" s="37" customFormat="1" ht="12" x14ac:dyDescent="0.2">
      <c r="C269" s="38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41"/>
      <c r="S269" s="40"/>
      <c r="T269" s="41"/>
      <c r="U269" s="39"/>
      <c r="V269" s="39"/>
      <c r="W269" s="39"/>
    </row>
    <row r="270" spans="3:23" s="37" customFormat="1" ht="12" x14ac:dyDescent="0.2">
      <c r="C270" s="38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41"/>
      <c r="S270" s="40"/>
      <c r="T270" s="41"/>
      <c r="U270" s="39"/>
      <c r="V270" s="39"/>
      <c r="W270" s="39"/>
    </row>
    <row r="271" spans="3:23" s="37" customFormat="1" ht="12" x14ac:dyDescent="0.2">
      <c r="C271" s="38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41"/>
      <c r="S271" s="40"/>
      <c r="T271" s="41"/>
      <c r="U271" s="39"/>
      <c r="V271" s="39"/>
      <c r="W271" s="39"/>
    </row>
    <row r="272" spans="3:23" s="37" customFormat="1" ht="12" x14ac:dyDescent="0.2">
      <c r="C272" s="38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41"/>
      <c r="S272" s="40"/>
      <c r="T272" s="41"/>
      <c r="U272" s="39"/>
      <c r="V272" s="39"/>
      <c r="W272" s="39"/>
    </row>
    <row r="273" spans="3:23" s="37" customFormat="1" ht="12" x14ac:dyDescent="0.2">
      <c r="C273" s="38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41"/>
      <c r="S273" s="40"/>
      <c r="T273" s="41"/>
      <c r="U273" s="39"/>
      <c r="V273" s="39"/>
      <c r="W273" s="39"/>
    </row>
    <row r="274" spans="3:23" s="37" customFormat="1" ht="12" x14ac:dyDescent="0.2">
      <c r="C274" s="38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41"/>
      <c r="S274" s="40"/>
      <c r="T274" s="41"/>
      <c r="U274" s="39"/>
      <c r="V274" s="39"/>
      <c r="W274" s="39"/>
    </row>
    <row r="275" spans="3:23" s="37" customFormat="1" ht="12" x14ac:dyDescent="0.2">
      <c r="C275" s="38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41"/>
      <c r="S275" s="40"/>
      <c r="T275" s="41"/>
      <c r="U275" s="39"/>
      <c r="V275" s="39"/>
      <c r="W275" s="39"/>
    </row>
    <row r="276" spans="3:23" s="37" customFormat="1" ht="12" x14ac:dyDescent="0.2">
      <c r="C276" s="38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41"/>
      <c r="S276" s="40"/>
      <c r="T276" s="41"/>
      <c r="U276" s="39"/>
      <c r="V276" s="39"/>
      <c r="W276" s="39"/>
    </row>
    <row r="277" spans="3:23" x14ac:dyDescent="0.25"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R277" s="27"/>
      <c r="S277" s="23"/>
      <c r="T277" s="27"/>
      <c r="U277" s="22"/>
      <c r="V277" s="22"/>
      <c r="W277" s="22"/>
    </row>
  </sheetData>
  <sheetProtection algorithmName="SHA-512" hashValue="GBi8FEk7WFmaoPB+BWYfrDuU14lGTsnLsdJZKLT1M3YwFArXifkfK3xyMXuFSrlOnPvfAGIWXMvmk60BBvbBAw==" saltValue="qGuk1rTOpjBgSmWww3vYKA==" spinCount="100000" sheet="1" objects="1" scenarios="1" selectLockedCells="1"/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1"/>
  </sheetPr>
  <dimension ref="A1:W277"/>
  <sheetViews>
    <sheetView workbookViewId="0">
      <selection sqref="A1:XFD1048576"/>
    </sheetView>
  </sheetViews>
  <sheetFormatPr defaultColWidth="8.85546875" defaultRowHeight="15" x14ac:dyDescent="0.25"/>
  <cols>
    <col min="1" max="2" width="3.140625" style="14" customWidth="1"/>
    <col min="3" max="3" width="7.85546875" style="20" customWidth="1"/>
    <col min="4" max="4" width="31.85546875" style="14" customWidth="1"/>
    <col min="5" max="10" width="8.85546875" style="14" bestFit="1" customWidth="1"/>
    <col min="11" max="16" width="9.140625" style="14" bestFit="1" customWidth="1"/>
    <col min="17" max="17" width="8.85546875" style="22"/>
    <col min="18" max="18" width="2.140625" style="28" customWidth="1"/>
    <col min="19" max="19" width="8.85546875" style="21"/>
    <col min="20" max="20" width="2.140625" style="28" customWidth="1"/>
    <col min="21" max="16384" width="8.85546875" style="14"/>
  </cols>
  <sheetData>
    <row r="1" spans="1:23" s="1" customFormat="1" ht="21" x14ac:dyDescent="0.35">
      <c r="A1" s="11" t="str">
        <f>'Rev &amp; Enroll'!$F$5</f>
        <v>Nevada State High School (Northwest)</v>
      </c>
      <c r="B1" s="11"/>
      <c r="C1" s="17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4"/>
      <c r="R1" s="24"/>
      <c r="S1" s="3"/>
      <c r="T1" s="29"/>
      <c r="U1" s="2"/>
      <c r="V1" s="2"/>
    </row>
    <row r="2" spans="1:23" s="1" customFormat="1" x14ac:dyDescent="0.25">
      <c r="A2" s="12" t="str">
        <f>CONCATENATE("Monthly Cash Flow/Budget"," ",MYP!K4)</f>
        <v>Monthly Cash Flow/Budget FY24</v>
      </c>
      <c r="B2" s="12"/>
      <c r="C2" s="17"/>
      <c r="D2" s="13"/>
      <c r="E2" s="2"/>
      <c r="F2" s="2"/>
      <c r="G2" s="2"/>
      <c r="H2" s="2"/>
      <c r="I2" s="2"/>
      <c r="J2" s="2"/>
      <c r="M2" s="2"/>
      <c r="N2" s="2"/>
      <c r="O2" s="2"/>
      <c r="Q2" s="8"/>
      <c r="R2" s="25"/>
      <c r="S2" s="2"/>
      <c r="T2" s="29"/>
      <c r="U2" s="4"/>
      <c r="V2" s="4"/>
    </row>
    <row r="3" spans="1:23" s="6" customFormat="1" ht="13.5" customHeight="1" x14ac:dyDescent="0.2">
      <c r="A3" s="5" t="str">
        <f>'FY21'!A3</f>
        <v>Board Approved: Proposed: 4/16/2020</v>
      </c>
      <c r="B3" s="5"/>
      <c r="C3" s="1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8"/>
      <c r="R3" s="25"/>
      <c r="S3" s="7"/>
      <c r="T3" s="31"/>
      <c r="U3" s="7"/>
      <c r="V3" s="7"/>
    </row>
    <row r="4" spans="1:23" s="9" customFormat="1" ht="29.45" customHeight="1" x14ac:dyDescent="0.25">
      <c r="C4" s="19"/>
      <c r="D4" s="10"/>
      <c r="E4" s="33">
        <f>'FY21'!E4+(365*3)</f>
        <v>45108</v>
      </c>
      <c r="F4" s="33">
        <f t="shared" ref="F4:P4" si="0">E4+31</f>
        <v>45139</v>
      </c>
      <c r="G4" s="33">
        <f t="shared" si="0"/>
        <v>45170</v>
      </c>
      <c r="H4" s="33">
        <f t="shared" si="0"/>
        <v>45201</v>
      </c>
      <c r="I4" s="33">
        <f t="shared" si="0"/>
        <v>45232</v>
      </c>
      <c r="J4" s="33">
        <f t="shared" si="0"/>
        <v>45263</v>
      </c>
      <c r="K4" s="33">
        <f t="shared" si="0"/>
        <v>45294</v>
      </c>
      <c r="L4" s="33">
        <f t="shared" si="0"/>
        <v>45325</v>
      </c>
      <c r="M4" s="33">
        <f t="shared" si="0"/>
        <v>45356</v>
      </c>
      <c r="N4" s="33">
        <f t="shared" si="0"/>
        <v>45387</v>
      </c>
      <c r="O4" s="33">
        <f t="shared" si="0"/>
        <v>45418</v>
      </c>
      <c r="P4" s="56">
        <f t="shared" si="0"/>
        <v>45449</v>
      </c>
      <c r="Q4" s="35" t="s">
        <v>54</v>
      </c>
      <c r="R4" s="26"/>
      <c r="S4" s="58" t="s">
        <v>55</v>
      </c>
      <c r="T4" s="32"/>
      <c r="U4" s="33" t="s">
        <v>57</v>
      </c>
      <c r="V4" s="33" t="s">
        <v>56</v>
      </c>
    </row>
    <row r="5" spans="1:23" s="9" customFormat="1" ht="12" x14ac:dyDescent="0.2">
      <c r="C5" s="19"/>
      <c r="D5" s="208" t="s">
        <v>185</v>
      </c>
      <c r="E5" s="327">
        <f>IF(('Rev &amp; Enroll'!$F37*'Rev &amp; Enroll'!$F24)&gt;500000,0.08333,0)</f>
        <v>0</v>
      </c>
      <c r="F5" s="327">
        <f>IF(('Rev &amp; Enroll'!$F37*'Rev &amp; Enroll'!$F24)&gt;500000,0.08333,0.25)</f>
        <v>0.25</v>
      </c>
      <c r="G5" s="327">
        <f>IF(('Rev &amp; Enroll'!$F37*'Rev &amp; Enroll'!$F24)&gt;500000,0.08333,0)</f>
        <v>0</v>
      </c>
      <c r="H5" s="327">
        <f>IF(('Rev &amp; Enroll'!$F37*'Rev &amp; Enroll'!$F24)&gt;500000,0.08333,0)</f>
        <v>0</v>
      </c>
      <c r="I5" s="327">
        <f>IF(('Rev &amp; Enroll'!$F37*'Rev &amp; Enroll'!$F24)&gt;500000,0.08333,0.25)</f>
        <v>0.25</v>
      </c>
      <c r="J5" s="327">
        <f>IF(('Rev &amp; Enroll'!$F37*'Rev &amp; Enroll'!$F24)&gt;500000,0.08333,0)</f>
        <v>0</v>
      </c>
      <c r="K5" s="327">
        <f>IF(('Rev &amp; Enroll'!$F37*'Rev &amp; Enroll'!$F24)&gt;500000,0.08333,0)</f>
        <v>0</v>
      </c>
      <c r="L5" s="327">
        <f>IF(('Rev &amp; Enroll'!$F37*'Rev &amp; Enroll'!$F24)&gt;500000,0.08333,0.25)</f>
        <v>0.25</v>
      </c>
      <c r="M5" s="327">
        <f>IF(('Rev &amp; Enroll'!$F37*'Rev &amp; Enroll'!$F24)&gt;500000,0.08333,0)</f>
        <v>0</v>
      </c>
      <c r="N5" s="327">
        <f>IF(('Rev &amp; Enroll'!$F37*'Rev &amp; Enroll'!$F24)&gt;500000,0.08333,0)</f>
        <v>0</v>
      </c>
      <c r="O5" s="327">
        <f>IF(('Rev &amp; Enroll'!$F37*'Rev &amp; Enroll'!$F24)&gt;500000,0.08333,0.25)</f>
        <v>0.25</v>
      </c>
      <c r="P5" s="327">
        <f>IF(('Rev &amp; Enroll'!$F37*'Rev &amp; Enroll'!$F24)&gt;500000,0.08333,0)</f>
        <v>0</v>
      </c>
      <c r="Q5" s="222">
        <f>1-SUM(E5:P5)</f>
        <v>0</v>
      </c>
      <c r="R5" s="41"/>
      <c r="S5" s="59"/>
      <c r="T5" s="41"/>
      <c r="U5" s="39"/>
      <c r="V5" s="39"/>
      <c r="W5" s="32"/>
    </row>
    <row r="6" spans="1:23" s="37" customFormat="1" ht="11.45" customHeight="1" x14ac:dyDescent="0.2">
      <c r="A6" s="45" t="s">
        <v>58</v>
      </c>
      <c r="C6" s="38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6"/>
      <c r="R6" s="41"/>
      <c r="S6" s="59"/>
      <c r="T6" s="41"/>
      <c r="U6" s="39"/>
      <c r="V6" s="39"/>
      <c r="W6" s="39"/>
    </row>
    <row r="7" spans="1:23" s="37" customFormat="1" ht="12" x14ac:dyDescent="0.2">
      <c r="A7" s="45"/>
      <c r="C7" s="49" t="s">
        <v>172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6"/>
      <c r="R7" s="41"/>
      <c r="S7" s="59"/>
      <c r="T7" s="41"/>
      <c r="U7" s="39"/>
      <c r="V7" s="39"/>
      <c r="W7" s="39"/>
    </row>
    <row r="8" spans="1:23" s="37" customFormat="1" ht="12" x14ac:dyDescent="0.2">
      <c r="A8" s="45"/>
      <c r="C8" s="199">
        <v>1110</v>
      </c>
      <c r="D8" s="37" t="s">
        <v>0</v>
      </c>
      <c r="E8" s="180">
        <f>+'FY23'!E8*(1+MYP!$K$8)</f>
        <v>14194.635839999995</v>
      </c>
      <c r="F8" s="180">
        <f>+'FY23'!F8*(1+MYP!$K$8)</f>
        <v>14194.635839999995</v>
      </c>
      <c r="G8" s="180">
        <f>+'FY23'!G8*(1+MYP!$K$8)</f>
        <v>14194.635839999995</v>
      </c>
      <c r="H8" s="180">
        <f>+'FY23'!H8*(1+MYP!$K$8)</f>
        <v>14194.635839999995</v>
      </c>
      <c r="I8" s="180">
        <f>+'FY23'!I8*(1+MYP!$K$8)</f>
        <v>14194.635839999995</v>
      </c>
      <c r="J8" s="180">
        <f>+'FY23'!J8*(1+MYP!$K$8)</f>
        <v>14194.635839999995</v>
      </c>
      <c r="K8" s="180">
        <f>+'FY23'!K8*(1+MYP!$K$8)</f>
        <v>14194.635839999995</v>
      </c>
      <c r="L8" s="180">
        <f>+'FY23'!L8*(1+MYP!$K$8)</f>
        <v>14194.635839999995</v>
      </c>
      <c r="M8" s="180">
        <f>+'FY23'!M8*(1+MYP!$K$8)</f>
        <v>14194.635839999995</v>
      </c>
      <c r="N8" s="180">
        <f>+'FY23'!N8*(1+MYP!$K$8)</f>
        <v>14194.635839999995</v>
      </c>
      <c r="O8" s="180">
        <f>+'FY23'!O8*(1+MYP!$K$8)</f>
        <v>14194.635839999995</v>
      </c>
      <c r="P8" s="180">
        <f>+'FY23'!P8*(1+MYP!$K$8)</f>
        <v>14194.635839999995</v>
      </c>
      <c r="Q8" s="185"/>
      <c r="R8" s="186"/>
      <c r="S8" s="187">
        <f>SUM(E8:Q8)</f>
        <v>170335.63008</v>
      </c>
      <c r="T8" s="186"/>
      <c r="U8" s="180">
        <f>'FY23'!S8</f>
        <v>154850.57279999994</v>
      </c>
      <c r="V8" s="180">
        <f t="shared" ref="V8:V20" si="1">S8-U8</f>
        <v>15485.057280000066</v>
      </c>
      <c r="W8" s="39"/>
    </row>
    <row r="9" spans="1:23" s="37" customFormat="1" ht="12" x14ac:dyDescent="0.2">
      <c r="A9" s="45"/>
      <c r="C9" s="199">
        <v>1120</v>
      </c>
      <c r="D9" s="37" t="s">
        <v>1</v>
      </c>
      <c r="E9" s="362">
        <f>+'FY23'!E9*(1+MYP!$K$8)</f>
        <v>15592.592399999996</v>
      </c>
      <c r="F9" s="362">
        <f>+'FY23'!F9*(1+MYP!$K$8)</f>
        <v>15592.592399999996</v>
      </c>
      <c r="G9" s="362">
        <f>+'FY23'!G9*(1+MYP!$K$8)</f>
        <v>15592.592399999996</v>
      </c>
      <c r="H9" s="362">
        <f>+'FY23'!H9*(1+MYP!$K$8)</f>
        <v>15592.592399999996</v>
      </c>
      <c r="I9" s="362">
        <f>+'FY23'!I9*(1+MYP!$K$8)</f>
        <v>15592.592399999996</v>
      </c>
      <c r="J9" s="362">
        <f>+'FY23'!J9*(1+MYP!$K$8)</f>
        <v>15592.592399999996</v>
      </c>
      <c r="K9" s="362">
        <f>+'FY23'!K9*(1+MYP!$K$8)</f>
        <v>15592.592399999996</v>
      </c>
      <c r="L9" s="362">
        <f>+'FY23'!L9*(1+MYP!$K$8)</f>
        <v>15592.592399999996</v>
      </c>
      <c r="M9" s="362">
        <f>+'FY23'!M9*(1+MYP!$K$8)</f>
        <v>15592.592399999996</v>
      </c>
      <c r="N9" s="362">
        <f>+'FY23'!N9*(1+MYP!$K$8)</f>
        <v>15592.592399999996</v>
      </c>
      <c r="O9" s="362">
        <f>+'FY23'!O9*(1+MYP!$K$8)</f>
        <v>15592.592399999996</v>
      </c>
      <c r="P9" s="362">
        <f>+'FY23'!P9*(1+MYP!$K$8)</f>
        <v>15592.592399999996</v>
      </c>
      <c r="Q9" s="36"/>
      <c r="R9" s="41"/>
      <c r="S9" s="59">
        <f t="shared" ref="S9:S20" si="2">SUM(E9:Q9)</f>
        <v>187111.10879999996</v>
      </c>
      <c r="T9" s="41"/>
      <c r="U9" s="39">
        <f>'FY23'!S9</f>
        <v>170101.008</v>
      </c>
      <c r="V9" s="39">
        <f t="shared" si="1"/>
        <v>17010.100799999957</v>
      </c>
      <c r="W9" s="39"/>
    </row>
    <row r="10" spans="1:23" s="37" customFormat="1" ht="12" x14ac:dyDescent="0.2">
      <c r="A10" s="45"/>
      <c r="C10" s="199">
        <v>1191</v>
      </c>
      <c r="D10" s="37" t="s">
        <v>2</v>
      </c>
      <c r="E10" s="362">
        <f>+'FY23'!E10*(1+MYP!$K$8)</f>
        <v>53.767559999999982</v>
      </c>
      <c r="F10" s="362">
        <f>+'FY23'!F10*(1+MYP!$K$8)</f>
        <v>53.767559999999982</v>
      </c>
      <c r="G10" s="362">
        <f>+'FY23'!G10*(1+MYP!$K$8)</f>
        <v>53.767559999999982</v>
      </c>
      <c r="H10" s="362">
        <f>+'FY23'!H10*(1+MYP!$K$8)</f>
        <v>53.767559999999982</v>
      </c>
      <c r="I10" s="362">
        <f>+'FY23'!I10*(1+MYP!$K$8)</f>
        <v>53.767559999999982</v>
      </c>
      <c r="J10" s="362">
        <f>+'FY23'!J10*(1+MYP!$K$8)</f>
        <v>53.767559999999982</v>
      </c>
      <c r="K10" s="362">
        <f>+'FY23'!K10*(1+MYP!$K$8)</f>
        <v>53.767559999999982</v>
      </c>
      <c r="L10" s="362">
        <f>+'FY23'!L10*(1+MYP!$K$8)</f>
        <v>53.767559999999982</v>
      </c>
      <c r="M10" s="362">
        <f>+'FY23'!M10*(1+MYP!$K$8)</f>
        <v>53.767559999999982</v>
      </c>
      <c r="N10" s="362">
        <f>+'FY23'!N10*(1+MYP!$K$8)</f>
        <v>53.767559999999982</v>
      </c>
      <c r="O10" s="362">
        <f>+'FY23'!O10*(1+MYP!$K$8)</f>
        <v>53.767559999999982</v>
      </c>
      <c r="P10" s="362">
        <f>+'FY23'!P10*(1+MYP!$K$8)</f>
        <v>53.767559999999982</v>
      </c>
      <c r="Q10" s="36"/>
      <c r="R10" s="41"/>
      <c r="S10" s="59">
        <f t="shared" si="2"/>
        <v>645.21071999999992</v>
      </c>
      <c r="T10" s="41"/>
      <c r="U10" s="39">
        <f>'FY23'!S10</f>
        <v>586.55519999999979</v>
      </c>
      <c r="V10" s="39">
        <f t="shared" si="1"/>
        <v>58.655520000000138</v>
      </c>
      <c r="W10" s="39"/>
    </row>
    <row r="11" spans="1:23" s="37" customFormat="1" ht="12" x14ac:dyDescent="0.2">
      <c r="A11" s="45"/>
      <c r="C11" s="199">
        <v>1192</v>
      </c>
      <c r="D11" s="37" t="s">
        <v>3</v>
      </c>
      <c r="E11" s="362">
        <f>+'FY23'!E11*(1+MYP!$K$8)</f>
        <v>1666.7943599999999</v>
      </c>
      <c r="F11" s="362">
        <f>+'FY23'!F11*(1+MYP!$K$8)</f>
        <v>1666.7943599999999</v>
      </c>
      <c r="G11" s="362">
        <f>+'FY23'!G11*(1+MYP!$K$8)</f>
        <v>1666.7943599999999</v>
      </c>
      <c r="H11" s="362">
        <f>+'FY23'!H11*(1+MYP!$K$8)</f>
        <v>1666.7943599999999</v>
      </c>
      <c r="I11" s="362">
        <f>+'FY23'!I11*(1+MYP!$K$8)</f>
        <v>1666.7943599999999</v>
      </c>
      <c r="J11" s="362">
        <f>+'FY23'!J11*(1+MYP!$K$8)</f>
        <v>1666.7943599999999</v>
      </c>
      <c r="K11" s="362">
        <f>+'FY23'!K11*(1+MYP!$K$8)</f>
        <v>1666.7943599999999</v>
      </c>
      <c r="L11" s="362">
        <f>+'FY23'!L11*(1+MYP!$K$8)</f>
        <v>1666.7943599999999</v>
      </c>
      <c r="M11" s="362">
        <f>+'FY23'!M11*(1+MYP!$K$8)</f>
        <v>1666.7943599999999</v>
      </c>
      <c r="N11" s="362">
        <f>+'FY23'!N11*(1+MYP!$K$8)</f>
        <v>1666.7943599999999</v>
      </c>
      <c r="O11" s="362">
        <f>+'FY23'!O11*(1+MYP!$K$8)</f>
        <v>1666.7943599999999</v>
      </c>
      <c r="P11" s="362">
        <f>+'FY23'!P11*(1+MYP!$K$8)</f>
        <v>1666.7943599999999</v>
      </c>
      <c r="Q11" s="98"/>
      <c r="R11" s="41"/>
      <c r="S11" s="59">
        <f t="shared" si="2"/>
        <v>20001.532319999998</v>
      </c>
      <c r="T11" s="41"/>
      <c r="U11" s="39">
        <f>'FY23'!S11</f>
        <v>18183.211199999994</v>
      </c>
      <c r="V11" s="39">
        <f t="shared" si="1"/>
        <v>1818.3211200000042</v>
      </c>
      <c r="W11" s="39"/>
    </row>
    <row r="12" spans="1:23" s="37" customFormat="1" ht="12" x14ac:dyDescent="0.2">
      <c r="A12" s="45"/>
      <c r="C12" s="199">
        <v>3110</v>
      </c>
      <c r="D12" s="37" t="s">
        <v>73</v>
      </c>
      <c r="E12" s="362">
        <f>+'FY23'!E12*(1+MYP!$K$8)</f>
        <v>22259.769839999994</v>
      </c>
      <c r="F12" s="362">
        <f>+'FY23'!F12*(1+MYP!$K$8)</f>
        <v>22259.769839999994</v>
      </c>
      <c r="G12" s="362">
        <f>+'FY23'!G12*(1+MYP!$K$8)</f>
        <v>22259.769839999994</v>
      </c>
      <c r="H12" s="362">
        <f>+'FY23'!H12*(1+MYP!$K$8)</f>
        <v>22259.769839999994</v>
      </c>
      <c r="I12" s="362">
        <f>+'FY23'!I12*(1+MYP!$K$8)</f>
        <v>22259.769839999994</v>
      </c>
      <c r="J12" s="362">
        <f>+'FY23'!J12*(1+MYP!$K$8)</f>
        <v>22259.769839999994</v>
      </c>
      <c r="K12" s="362">
        <f>+'FY23'!K12*(1+MYP!$K$8)</f>
        <v>22259.769839999994</v>
      </c>
      <c r="L12" s="362">
        <f>+'FY23'!L12*(1+MYP!$K$8)</f>
        <v>22259.769839999994</v>
      </c>
      <c r="M12" s="362">
        <f>+'FY23'!M12*(1+MYP!$K$8)</f>
        <v>22259.769839999994</v>
      </c>
      <c r="N12" s="362">
        <f>+'FY23'!N12*(1+MYP!$K$8)</f>
        <v>22259.769839999994</v>
      </c>
      <c r="O12" s="362">
        <f>+'FY23'!O12*(1+MYP!$K$8)</f>
        <v>22259.769839999994</v>
      </c>
      <c r="P12" s="362">
        <f>+'FY23'!P12*(1+MYP!$K$8)</f>
        <v>22259.769839999994</v>
      </c>
      <c r="Q12" s="98"/>
      <c r="R12" s="41"/>
      <c r="S12" s="59">
        <f t="shared" si="2"/>
        <v>267117.23807999992</v>
      </c>
      <c r="T12" s="41"/>
      <c r="U12" s="39">
        <f>'FY23'!S12</f>
        <v>242833.85279999996</v>
      </c>
      <c r="V12" s="39">
        <f t="shared" si="1"/>
        <v>24283.385279999959</v>
      </c>
      <c r="W12" s="39"/>
    </row>
    <row r="13" spans="1:23" s="37" customFormat="1" ht="12" x14ac:dyDescent="0.2">
      <c r="A13" s="45"/>
      <c r="C13" s="38"/>
      <c r="E13" s="50">
        <f>SUBTOTAL(9,E8:E12)</f>
        <v>53767.559999999983</v>
      </c>
      <c r="F13" s="50">
        <f t="shared" ref="F13:S13" si="3">SUBTOTAL(9,F8:F12)</f>
        <v>53767.559999999983</v>
      </c>
      <c r="G13" s="50">
        <f t="shared" si="3"/>
        <v>53767.559999999983</v>
      </c>
      <c r="H13" s="50">
        <f t="shared" si="3"/>
        <v>53767.559999999983</v>
      </c>
      <c r="I13" s="50">
        <f t="shared" si="3"/>
        <v>53767.559999999983</v>
      </c>
      <c r="J13" s="50">
        <f t="shared" si="3"/>
        <v>53767.559999999983</v>
      </c>
      <c r="K13" s="50">
        <f t="shared" si="3"/>
        <v>53767.559999999983</v>
      </c>
      <c r="L13" s="50">
        <f t="shared" si="3"/>
        <v>53767.559999999983</v>
      </c>
      <c r="M13" s="50">
        <f t="shared" si="3"/>
        <v>53767.559999999983</v>
      </c>
      <c r="N13" s="50">
        <f t="shared" si="3"/>
        <v>53767.559999999983</v>
      </c>
      <c r="O13" s="50">
        <f t="shared" si="3"/>
        <v>53767.559999999983</v>
      </c>
      <c r="P13" s="50">
        <f t="shared" si="3"/>
        <v>53767.559999999983</v>
      </c>
      <c r="Q13" s="99"/>
      <c r="R13" s="41"/>
      <c r="S13" s="61">
        <f t="shared" si="3"/>
        <v>645210.71999999986</v>
      </c>
      <c r="T13" s="41"/>
      <c r="U13" s="50">
        <f t="shared" ref="U13" si="4">SUBTOTAL(9,U8:U12)</f>
        <v>586555.19999999995</v>
      </c>
      <c r="V13" s="50">
        <f t="shared" ref="V13" si="5">SUBTOTAL(9,V8:V12)</f>
        <v>58655.51999999999</v>
      </c>
      <c r="W13" s="39"/>
    </row>
    <row r="14" spans="1:23" s="37" customFormat="1" ht="12" x14ac:dyDescent="0.2">
      <c r="A14" s="45"/>
      <c r="C14" s="49" t="s">
        <v>171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98"/>
      <c r="R14" s="41"/>
      <c r="S14" s="59"/>
      <c r="T14" s="41"/>
      <c r="U14" s="39"/>
      <c r="V14" s="39"/>
      <c r="W14" s="39"/>
    </row>
    <row r="15" spans="1:23" s="37" customFormat="1" ht="12" x14ac:dyDescent="0.2">
      <c r="A15" s="45"/>
      <c r="C15" s="199">
        <v>3115</v>
      </c>
      <c r="D15" s="37" t="s">
        <v>5</v>
      </c>
      <c r="E15" s="362">
        <f>+'FY23'!E15*(1+MYP!$K$8)</f>
        <v>0</v>
      </c>
      <c r="F15" s="362">
        <f>+'FY23'!F15*(1+MYP!$K$8)</f>
        <v>0</v>
      </c>
      <c r="G15" s="362">
        <f>+'FY23'!G15*(1+MYP!$K$8)</f>
        <v>0</v>
      </c>
      <c r="H15" s="362">
        <f>+'FY23'!H15*(1+MYP!$K$8)</f>
        <v>0</v>
      </c>
      <c r="I15" s="362">
        <f>+'FY23'!I15*(1+MYP!$K$8)</f>
        <v>0</v>
      </c>
      <c r="J15" s="362">
        <f>+'FY23'!J15*(1+MYP!$K$8)</f>
        <v>0</v>
      </c>
      <c r="K15" s="362">
        <f>+'FY23'!K15*(1+MYP!$K$8)</f>
        <v>0</v>
      </c>
      <c r="L15" s="362">
        <f>+'FY23'!L15*(1+MYP!$K$8)</f>
        <v>0</v>
      </c>
      <c r="M15" s="362">
        <f>+'FY23'!M15*(1+MYP!$K$8)</f>
        <v>0</v>
      </c>
      <c r="N15" s="362">
        <f>+'FY23'!N15*(1+MYP!$K$8)</f>
        <v>0</v>
      </c>
      <c r="O15" s="362">
        <f>+'FY23'!O15*(1+MYP!$K$8)</f>
        <v>0</v>
      </c>
      <c r="P15" s="362">
        <f>+'FY23'!P15*(1+MYP!$K$8)</f>
        <v>0</v>
      </c>
      <c r="Q15" s="100"/>
      <c r="R15" s="41"/>
      <c r="S15" s="59">
        <f t="shared" si="2"/>
        <v>0</v>
      </c>
      <c r="T15" s="41"/>
      <c r="U15" s="39">
        <f>'FY23'!S15</f>
        <v>0</v>
      </c>
      <c r="V15" s="39">
        <f t="shared" si="1"/>
        <v>0</v>
      </c>
      <c r="W15" s="39"/>
    </row>
    <row r="16" spans="1:23" s="37" customFormat="1" ht="12" x14ac:dyDescent="0.2">
      <c r="A16" s="45"/>
      <c r="C16" s="199">
        <v>3200</v>
      </c>
      <c r="D16" s="37" t="s">
        <v>6</v>
      </c>
      <c r="E16" s="362">
        <f>+'FY23'!E16*(1+MYP!$K$8)</f>
        <v>0</v>
      </c>
      <c r="F16" s="362">
        <f>+'FY23'!F16*(1+MYP!$K$8)</f>
        <v>0</v>
      </c>
      <c r="G16" s="362">
        <f>+'FY23'!G16*(1+MYP!$K$8)</f>
        <v>0</v>
      </c>
      <c r="H16" s="362">
        <f>+'FY23'!H16*(1+MYP!$K$8)</f>
        <v>0</v>
      </c>
      <c r="I16" s="362">
        <f>+'FY23'!I16*(1+MYP!$K$8)</f>
        <v>0</v>
      </c>
      <c r="J16" s="362">
        <f>+'FY23'!J16*(1+MYP!$K$8)</f>
        <v>0</v>
      </c>
      <c r="K16" s="362">
        <v>0</v>
      </c>
      <c r="L16" s="362">
        <f>+'FY23'!L16*(1+MYP!$K$8)</f>
        <v>0</v>
      </c>
      <c r="M16" s="362">
        <v>0</v>
      </c>
      <c r="N16" s="362">
        <f>+'FY23'!N16*(1+MYP!$K$8)</f>
        <v>0</v>
      </c>
      <c r="O16" s="362">
        <v>0</v>
      </c>
      <c r="P16" s="362">
        <f>+'FY23'!P16*(1+MYP!$K$8)</f>
        <v>0</v>
      </c>
      <c r="Q16" s="100"/>
      <c r="R16" s="41"/>
      <c r="S16" s="59">
        <f t="shared" si="2"/>
        <v>0</v>
      </c>
      <c r="T16" s="41"/>
      <c r="U16" s="39">
        <f>'FY23'!S16</f>
        <v>0</v>
      </c>
      <c r="V16" s="39">
        <f t="shared" si="1"/>
        <v>0</v>
      </c>
      <c r="W16" s="39"/>
    </row>
    <row r="17" spans="1:23" s="37" customFormat="1" ht="12" x14ac:dyDescent="0.2">
      <c r="A17" s="45"/>
      <c r="C17" s="38"/>
      <c r="E17" s="50">
        <f>SUBTOTAL(9,E15:E16)</f>
        <v>0</v>
      </c>
      <c r="F17" s="50">
        <f t="shared" ref="F17:V17" si="6">SUBTOTAL(9,F15:F16)</f>
        <v>0</v>
      </c>
      <c r="G17" s="50">
        <f t="shared" si="6"/>
        <v>0</v>
      </c>
      <c r="H17" s="50">
        <f t="shared" si="6"/>
        <v>0</v>
      </c>
      <c r="I17" s="50">
        <f t="shared" si="6"/>
        <v>0</v>
      </c>
      <c r="J17" s="50">
        <f t="shared" si="6"/>
        <v>0</v>
      </c>
      <c r="K17" s="50">
        <f t="shared" si="6"/>
        <v>0</v>
      </c>
      <c r="L17" s="50">
        <f t="shared" si="6"/>
        <v>0</v>
      </c>
      <c r="M17" s="50">
        <f t="shared" si="6"/>
        <v>0</v>
      </c>
      <c r="N17" s="50">
        <f t="shared" si="6"/>
        <v>0</v>
      </c>
      <c r="O17" s="50">
        <f t="shared" si="6"/>
        <v>0</v>
      </c>
      <c r="P17" s="50">
        <f t="shared" si="6"/>
        <v>0</v>
      </c>
      <c r="Q17" s="99"/>
      <c r="R17" s="41"/>
      <c r="S17" s="61">
        <f t="shared" si="6"/>
        <v>0</v>
      </c>
      <c r="T17" s="41"/>
      <c r="U17" s="50">
        <f t="shared" si="6"/>
        <v>0</v>
      </c>
      <c r="V17" s="50">
        <f t="shared" si="6"/>
        <v>0</v>
      </c>
      <c r="W17" s="39"/>
    </row>
    <row r="18" spans="1:23" s="37" customFormat="1" ht="12" x14ac:dyDescent="0.2">
      <c r="A18" s="45"/>
      <c r="C18" s="49" t="s">
        <v>149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100"/>
      <c r="R18" s="41"/>
      <c r="S18" s="59"/>
      <c r="T18" s="41"/>
      <c r="U18" s="39"/>
      <c r="V18" s="39"/>
      <c r="W18" s="39"/>
    </row>
    <row r="19" spans="1:23" s="37" customFormat="1" ht="12" x14ac:dyDescent="0.2">
      <c r="A19" s="45"/>
      <c r="C19" s="199">
        <v>4500</v>
      </c>
      <c r="D19" s="37" t="s">
        <v>6</v>
      </c>
      <c r="E19" s="362">
        <f>+'FY23'!E19*(1+MYP!$K$8)</f>
        <v>0</v>
      </c>
      <c r="F19" s="362">
        <f>+'FY23'!F19*(1+MYP!$K$8)</f>
        <v>0</v>
      </c>
      <c r="G19" s="362">
        <f>+'FY23'!G19*(1+MYP!$K$8)</f>
        <v>0</v>
      </c>
      <c r="H19" s="362">
        <f>+'FY23'!H19*(1+MYP!$K$8)</f>
        <v>0</v>
      </c>
      <c r="I19" s="362">
        <f>+'FY23'!I19*(1+MYP!$K$8)</f>
        <v>0</v>
      </c>
      <c r="J19" s="362">
        <f>+'FY23'!J19*(1+MYP!$K$8)</f>
        <v>0</v>
      </c>
      <c r="K19" s="362">
        <f>+'FY23'!K19*(1+MYP!$K$8)</f>
        <v>0</v>
      </c>
      <c r="L19" s="362">
        <f>+'FY23'!L19*(1+MYP!$K$8)</f>
        <v>0</v>
      </c>
      <c r="M19" s="362">
        <f>+'FY23'!M19*(1+MYP!$K$8)</f>
        <v>0</v>
      </c>
      <c r="N19" s="362">
        <f>+'FY23'!N19*(1+MYP!$K$8)</f>
        <v>0</v>
      </c>
      <c r="O19" s="362">
        <f>+'FY23'!O19*(1+MYP!$K$8)</f>
        <v>0</v>
      </c>
      <c r="P19" s="362">
        <f>+'FY23'!P19*(1+MYP!$K$8)</f>
        <v>0</v>
      </c>
      <c r="Q19" s="100"/>
      <c r="R19" s="41"/>
      <c r="S19" s="59">
        <f t="shared" si="2"/>
        <v>0</v>
      </c>
      <c r="T19" s="41"/>
      <c r="U19" s="39">
        <f>'FY23'!S19</f>
        <v>0</v>
      </c>
      <c r="V19" s="39">
        <f t="shared" si="1"/>
        <v>0</v>
      </c>
      <c r="W19" s="39"/>
    </row>
    <row r="20" spans="1:23" s="37" customFormat="1" ht="12" x14ac:dyDescent="0.2">
      <c r="A20" s="45"/>
      <c r="C20" s="199">
        <v>4571</v>
      </c>
      <c r="D20" s="37" t="s">
        <v>7</v>
      </c>
      <c r="E20" s="362">
        <f>+'FY23'!E20*(1+MYP!$K$8)</f>
        <v>0</v>
      </c>
      <c r="F20" s="362">
        <f>+'FY23'!F20*(1+MYP!$K$8)</f>
        <v>0</v>
      </c>
      <c r="G20" s="362">
        <f>+'FY23'!G20*(1+MYP!$K$8)</f>
        <v>0</v>
      </c>
      <c r="H20" s="362">
        <f>+'FY23'!H20*(1+MYP!$K$8)</f>
        <v>0</v>
      </c>
      <c r="I20" s="362">
        <f>+'FY23'!I20*(1+MYP!$K$8)</f>
        <v>0</v>
      </c>
      <c r="J20" s="362">
        <f>+'FY23'!J20*(1+MYP!$K$8)</f>
        <v>0</v>
      </c>
      <c r="K20" s="362">
        <f>+'FY23'!K20*(1+MYP!$K$8)</f>
        <v>0</v>
      </c>
      <c r="L20" s="362">
        <f>+'FY23'!L20*(1+MYP!$K$8)</f>
        <v>0</v>
      </c>
      <c r="M20" s="362">
        <f>+'FY23'!M20*(1+MYP!$K$8)</f>
        <v>0</v>
      </c>
      <c r="N20" s="362">
        <f>+'FY23'!N20*(1+MYP!$K$8)</f>
        <v>0</v>
      </c>
      <c r="O20" s="362">
        <f>+'FY23'!O20*(1+MYP!$K$8)</f>
        <v>0</v>
      </c>
      <c r="P20" s="362">
        <f>+'FY23'!P20*(1+MYP!$K$8)</f>
        <v>0</v>
      </c>
      <c r="Q20" s="100"/>
      <c r="R20" s="41"/>
      <c r="S20" s="62">
        <f t="shared" si="2"/>
        <v>0</v>
      </c>
      <c r="T20" s="41"/>
      <c r="U20" s="41">
        <f>'FY23'!S20</f>
        <v>0</v>
      </c>
      <c r="V20" s="41">
        <f t="shared" si="1"/>
        <v>0</v>
      </c>
      <c r="W20" s="39"/>
    </row>
    <row r="21" spans="1:23" s="37" customFormat="1" ht="12" x14ac:dyDescent="0.2">
      <c r="A21" s="45"/>
      <c r="C21" s="38">
        <v>4703</v>
      </c>
      <c r="D21" s="37" t="s">
        <v>186</v>
      </c>
      <c r="E21" s="362">
        <f>+'FY23'!E21*(1+MYP!$K$8)</f>
        <v>0</v>
      </c>
      <c r="F21" s="362">
        <f>+'FY23'!F21*(1+MYP!$K$8)</f>
        <v>0</v>
      </c>
      <c r="G21" s="362">
        <f>+'FY23'!G21*(1+MYP!$K$8)</f>
        <v>0</v>
      </c>
      <c r="H21" s="362">
        <f>+'FY23'!H21*(1+MYP!$K$8)</f>
        <v>0</v>
      </c>
      <c r="I21" s="362">
        <f>+'FY23'!I21*(1+MYP!$K$8)</f>
        <v>0</v>
      </c>
      <c r="J21" s="362">
        <f>+'FY23'!J21*(1+MYP!$K$8)</f>
        <v>0</v>
      </c>
      <c r="K21" s="362">
        <f>+'FY23'!K21*(1+MYP!$K$8)</f>
        <v>0</v>
      </c>
      <c r="L21" s="362">
        <f>+'FY23'!L21*(1+MYP!$K$8)</f>
        <v>0</v>
      </c>
      <c r="M21" s="362">
        <f>+'FY23'!M21*(1+MYP!$K$8)</f>
        <v>0</v>
      </c>
      <c r="N21" s="362">
        <f>+'FY23'!N21*(1+MYP!$K$8)</f>
        <v>0</v>
      </c>
      <c r="O21" s="362">
        <f>+'FY23'!O21*(1+MYP!$K$8)</f>
        <v>0</v>
      </c>
      <c r="P21" s="362">
        <f>+'FY23'!P21*(1+MYP!$K$8)</f>
        <v>0</v>
      </c>
      <c r="Q21" s="100"/>
      <c r="R21" s="41"/>
      <c r="S21" s="62">
        <f t="shared" ref="S21" si="7">SUM(E21:Q21)</f>
        <v>0</v>
      </c>
      <c r="T21" s="41"/>
      <c r="U21" s="41">
        <f>'FY23'!S21</f>
        <v>0</v>
      </c>
      <c r="V21" s="41">
        <f t="shared" ref="V21" si="8">S21-U21</f>
        <v>0</v>
      </c>
      <c r="W21" s="39"/>
    </row>
    <row r="22" spans="1:23" s="37" customFormat="1" ht="12" x14ac:dyDescent="0.2">
      <c r="A22" s="45"/>
      <c r="C22" s="38"/>
      <c r="E22" s="50">
        <f>SUBTOTAL(9,E19:E21)</f>
        <v>0</v>
      </c>
      <c r="F22" s="50">
        <f t="shared" ref="F22:P22" si="9">SUBTOTAL(9,F19:F21)</f>
        <v>0</v>
      </c>
      <c r="G22" s="50">
        <f t="shared" si="9"/>
        <v>0</v>
      </c>
      <c r="H22" s="50">
        <f t="shared" si="9"/>
        <v>0</v>
      </c>
      <c r="I22" s="50">
        <f t="shared" si="9"/>
        <v>0</v>
      </c>
      <c r="J22" s="50">
        <f t="shared" si="9"/>
        <v>0</v>
      </c>
      <c r="K22" s="50">
        <f t="shared" si="9"/>
        <v>0</v>
      </c>
      <c r="L22" s="50">
        <f t="shared" si="9"/>
        <v>0</v>
      </c>
      <c r="M22" s="50">
        <f t="shared" si="9"/>
        <v>0</v>
      </c>
      <c r="N22" s="50">
        <f t="shared" si="9"/>
        <v>0</v>
      </c>
      <c r="O22" s="50">
        <f t="shared" si="9"/>
        <v>0</v>
      </c>
      <c r="P22" s="50">
        <f t="shared" si="9"/>
        <v>0</v>
      </c>
      <c r="Q22" s="99"/>
      <c r="R22" s="41"/>
      <c r="S22" s="61">
        <f>SUBTOTAL(9,S19:S21)</f>
        <v>0</v>
      </c>
      <c r="T22" s="41"/>
      <c r="U22" s="50">
        <f>SUBTOTAL(9,U19:U21)</f>
        <v>0</v>
      </c>
      <c r="V22" s="50">
        <f>SUBTOTAL(9,V19:V21)</f>
        <v>0</v>
      </c>
      <c r="W22" s="39"/>
    </row>
    <row r="23" spans="1:23" s="37" customFormat="1" ht="12" x14ac:dyDescent="0.2">
      <c r="A23" s="45"/>
      <c r="C23" s="49" t="s">
        <v>150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100"/>
      <c r="R23" s="41"/>
      <c r="S23" s="62"/>
      <c r="T23" s="41"/>
      <c r="U23" s="41"/>
      <c r="V23" s="41"/>
      <c r="W23" s="39"/>
    </row>
    <row r="24" spans="1:23" s="37" customFormat="1" ht="12" x14ac:dyDescent="0.2">
      <c r="A24" s="45"/>
      <c r="C24" s="199">
        <v>1790</v>
      </c>
      <c r="D24" s="37" t="s">
        <v>4</v>
      </c>
      <c r="E24" s="362">
        <f>+'FY23'!E24*(1+MYP!$K$8)</f>
        <v>0</v>
      </c>
      <c r="F24" s="362">
        <f>+'FY23'!F24*(1+MYP!$K$8)</f>
        <v>0</v>
      </c>
      <c r="G24" s="362">
        <f>+'FY23'!G24*(1+MYP!$K$8)</f>
        <v>0</v>
      </c>
      <c r="H24" s="362">
        <f>+'FY23'!H24*(1+MYP!$K$8)</f>
        <v>0</v>
      </c>
      <c r="I24" s="362">
        <f>+'FY23'!I24*(1+MYP!$K$8)</f>
        <v>0</v>
      </c>
      <c r="J24" s="362">
        <f>+'FY23'!J24*(1+MYP!$K$8)</f>
        <v>0</v>
      </c>
      <c r="K24" s="362">
        <f>+'FY23'!K24*(1+MYP!$K$8)</f>
        <v>0</v>
      </c>
      <c r="L24" s="362">
        <f>+'FY23'!L24*(1+MYP!$K$8)</f>
        <v>0</v>
      </c>
      <c r="M24" s="362">
        <f>+'FY23'!M24*(1+MYP!$K$8)</f>
        <v>0</v>
      </c>
      <c r="N24" s="362">
        <f>+'FY23'!N24*(1+MYP!$K$8)</f>
        <v>0</v>
      </c>
      <c r="O24" s="362">
        <f>+'FY23'!O24*(1+MYP!$K$8)</f>
        <v>0</v>
      </c>
      <c r="P24" s="362">
        <f>+'FY23'!P24*(1+MYP!$K$8)</f>
        <v>0</v>
      </c>
      <c r="Q24" s="100"/>
      <c r="R24" s="41"/>
      <c r="S24" s="59">
        <f>SUM(E24:Q24)</f>
        <v>0</v>
      </c>
      <c r="T24" s="41"/>
      <c r="U24" s="39">
        <f>'FY23'!S24</f>
        <v>0</v>
      </c>
      <c r="V24" s="39">
        <f>S24-U24</f>
        <v>0</v>
      </c>
      <c r="W24" s="39"/>
    </row>
    <row r="25" spans="1:23" s="37" customFormat="1" ht="12" x14ac:dyDescent="0.2">
      <c r="A25" s="45"/>
      <c r="C25" s="38"/>
      <c r="E25" s="50">
        <f>SUBTOTAL(9,E24)</f>
        <v>0</v>
      </c>
      <c r="F25" s="50">
        <f t="shared" ref="F25:S25" si="10">SUBTOTAL(9,F24)</f>
        <v>0</v>
      </c>
      <c r="G25" s="50">
        <f t="shared" si="10"/>
        <v>0</v>
      </c>
      <c r="H25" s="50">
        <f t="shared" si="10"/>
        <v>0</v>
      </c>
      <c r="I25" s="50">
        <f t="shared" si="10"/>
        <v>0</v>
      </c>
      <c r="J25" s="50">
        <f t="shared" si="10"/>
        <v>0</v>
      </c>
      <c r="K25" s="50">
        <f t="shared" si="10"/>
        <v>0</v>
      </c>
      <c r="L25" s="50">
        <f t="shared" si="10"/>
        <v>0</v>
      </c>
      <c r="M25" s="50">
        <f t="shared" si="10"/>
        <v>0</v>
      </c>
      <c r="N25" s="50">
        <f t="shared" si="10"/>
        <v>0</v>
      </c>
      <c r="O25" s="50">
        <f t="shared" si="10"/>
        <v>0</v>
      </c>
      <c r="P25" s="50">
        <f t="shared" si="10"/>
        <v>0</v>
      </c>
      <c r="Q25" s="99"/>
      <c r="R25" s="41"/>
      <c r="S25" s="61">
        <f t="shared" si="10"/>
        <v>0</v>
      </c>
      <c r="T25" s="41"/>
      <c r="U25" s="50">
        <f t="shared" ref="U25" si="11">SUBTOTAL(9,U24)</f>
        <v>0</v>
      </c>
      <c r="V25" s="50">
        <f t="shared" ref="V25" si="12">SUBTOTAL(9,V24)</f>
        <v>0</v>
      </c>
      <c r="W25" s="39"/>
    </row>
    <row r="26" spans="1:23" s="37" customFormat="1" ht="9" customHeight="1" x14ac:dyDescent="0.2">
      <c r="A26" s="45"/>
      <c r="C26" s="38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100"/>
      <c r="R26" s="41"/>
      <c r="S26" s="59"/>
      <c r="T26" s="41"/>
      <c r="U26" s="39"/>
      <c r="V26" s="39"/>
      <c r="W26" s="39"/>
    </row>
    <row r="27" spans="1:23" s="45" customFormat="1" ht="12" x14ac:dyDescent="0.2">
      <c r="A27" s="45" t="s">
        <v>105</v>
      </c>
      <c r="C27" s="46"/>
      <c r="E27" s="43">
        <f t="shared" ref="E27:P27" si="13">SUBTOTAL(9,E8:E26)</f>
        <v>53767.559999999983</v>
      </c>
      <c r="F27" s="43">
        <f t="shared" si="13"/>
        <v>53767.559999999983</v>
      </c>
      <c r="G27" s="43">
        <f t="shared" si="13"/>
        <v>53767.559999999983</v>
      </c>
      <c r="H27" s="43">
        <f t="shared" si="13"/>
        <v>53767.559999999983</v>
      </c>
      <c r="I27" s="43">
        <f t="shared" si="13"/>
        <v>53767.559999999983</v>
      </c>
      <c r="J27" s="43">
        <f t="shared" si="13"/>
        <v>53767.559999999983</v>
      </c>
      <c r="K27" s="43">
        <f t="shared" si="13"/>
        <v>53767.559999999983</v>
      </c>
      <c r="L27" s="43">
        <f t="shared" si="13"/>
        <v>53767.559999999983</v>
      </c>
      <c r="M27" s="43">
        <f t="shared" si="13"/>
        <v>53767.559999999983</v>
      </c>
      <c r="N27" s="43">
        <f t="shared" si="13"/>
        <v>53767.559999999983</v>
      </c>
      <c r="O27" s="43">
        <f t="shared" si="13"/>
        <v>53767.559999999983</v>
      </c>
      <c r="P27" s="43">
        <f t="shared" si="13"/>
        <v>53767.559999999983</v>
      </c>
      <c r="Q27" s="196"/>
      <c r="R27" s="48"/>
      <c r="S27" s="60">
        <f>SUBTOTAL(9,S8:S26)</f>
        <v>645210.71999999986</v>
      </c>
      <c r="T27" s="48"/>
      <c r="U27" s="43">
        <f>SUBTOTAL(9,U8:U26)</f>
        <v>586555.19999999995</v>
      </c>
      <c r="V27" s="43">
        <f>SUBTOTAL(9,V8:V26)</f>
        <v>58655.51999999999</v>
      </c>
      <c r="W27" s="40"/>
    </row>
    <row r="28" spans="1:23" s="45" customFormat="1" ht="12" x14ac:dyDescent="0.2">
      <c r="C28" s="46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100"/>
      <c r="R28" s="48"/>
      <c r="S28" s="59"/>
      <c r="T28" s="48"/>
      <c r="U28" s="40"/>
      <c r="V28" s="40"/>
      <c r="W28" s="40"/>
    </row>
    <row r="29" spans="1:23" s="37" customFormat="1" ht="12" x14ac:dyDescent="0.2">
      <c r="A29" s="45" t="s">
        <v>59</v>
      </c>
      <c r="C29" s="3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44"/>
      <c r="R29" s="41"/>
      <c r="S29" s="59"/>
      <c r="T29" s="41"/>
      <c r="U29" s="39"/>
      <c r="V29" s="39"/>
      <c r="W29" s="39"/>
    </row>
    <row r="30" spans="1:23" s="37" customFormat="1" ht="12" x14ac:dyDescent="0.2">
      <c r="C30" s="49" t="s">
        <v>8</v>
      </c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44"/>
      <c r="R30" s="41"/>
      <c r="S30" s="59"/>
      <c r="T30" s="41"/>
      <c r="U30" s="39"/>
      <c r="V30" s="39"/>
      <c r="W30" s="39"/>
    </row>
    <row r="31" spans="1:23" s="37" customFormat="1" ht="12" x14ac:dyDescent="0.2">
      <c r="C31" s="199">
        <v>6111</v>
      </c>
      <c r="D31" s="37" t="s">
        <v>192</v>
      </c>
      <c r="E31" s="39">
        <f>+'FY23'!E31*(1+MYP!$K$9)</f>
        <v>6214.5796987979993</v>
      </c>
      <c r="F31" s="39">
        <f>+'FY23'!F31*(1+MYP!$K$9)</f>
        <v>6214.5796987979993</v>
      </c>
      <c r="G31" s="39">
        <f>+'FY23'!G31*(1+MYP!$K$9)</f>
        <v>6214.5796987979993</v>
      </c>
      <c r="H31" s="39">
        <f>+'FY23'!H31*(1+MYP!$K$9)</f>
        <v>6214.5796987979993</v>
      </c>
      <c r="I31" s="39">
        <f>+'FY23'!I31*(1+MYP!$K$9)</f>
        <v>6214.5796987979993</v>
      </c>
      <c r="J31" s="39">
        <f>+'FY23'!J31*(1+MYP!$K$9)</f>
        <v>6214.5796987979993</v>
      </c>
      <c r="K31" s="39">
        <f>+'FY23'!K31*(1+MYP!$K$9)</f>
        <v>6214.5796987979993</v>
      </c>
      <c r="L31" s="39">
        <f>+'FY23'!L31*(1+MYP!$K$9)</f>
        <v>6214.5796987979993</v>
      </c>
      <c r="M31" s="39">
        <f>+'FY23'!M31*(1+MYP!$K$9)</f>
        <v>6214.5796987979993</v>
      </c>
      <c r="N31" s="39">
        <f>+'FY23'!N31*(1+MYP!$K$9)</f>
        <v>6214.5796987979993</v>
      </c>
      <c r="O31" s="39">
        <f>+'FY23'!O31*(1+MYP!$K$9)</f>
        <v>6214.5796987979993</v>
      </c>
      <c r="P31" s="39">
        <f>+'FY23'!P31*(1+MYP!$K$9)</f>
        <v>6214.5796987979993</v>
      </c>
      <c r="Q31" s="100"/>
      <c r="R31" s="41"/>
      <c r="S31" s="59">
        <f t="shared" ref="S31:S40" si="14">SUM(E31:Q31)</f>
        <v>74574.956385575992</v>
      </c>
      <c r="T31" s="41"/>
      <c r="U31" s="39">
        <f>'FY23'!S31</f>
        <v>73112.702338799994</v>
      </c>
      <c r="V31" s="39">
        <f>U31-S31</f>
        <v>-1462.2540467759973</v>
      </c>
      <c r="W31" s="39"/>
    </row>
    <row r="32" spans="1:23" s="37" customFormat="1" ht="12" x14ac:dyDescent="0.2">
      <c r="C32" s="199">
        <v>6114</v>
      </c>
      <c r="D32" s="37" t="s">
        <v>193</v>
      </c>
      <c r="E32" s="39">
        <f>+'FY23'!E32*(1+MYP!$K$9)</f>
        <v>1933.3883250000001</v>
      </c>
      <c r="F32" s="39">
        <f>+'FY23'!F32*(1+MYP!$K$9)</f>
        <v>1933.3883250000001</v>
      </c>
      <c r="G32" s="39">
        <f>+'FY23'!G32*(1+MYP!$K$9)</f>
        <v>1933.3883250000001</v>
      </c>
      <c r="H32" s="39">
        <f>+'FY23'!H32*(1+MYP!$K$9)</f>
        <v>1933.3883250000001</v>
      </c>
      <c r="I32" s="39">
        <f>+'FY23'!I32*(1+MYP!$K$9)</f>
        <v>1933.3883250000001</v>
      </c>
      <c r="J32" s="39">
        <f>+'FY23'!J32*(1+MYP!$K$9)</f>
        <v>1933.3883250000001</v>
      </c>
      <c r="K32" s="39">
        <f>+'FY23'!K32*(1+MYP!$K$9)</f>
        <v>1933.3883250000001</v>
      </c>
      <c r="L32" s="39">
        <f>+'FY23'!L32*(1+MYP!$K$9)</f>
        <v>1933.3883250000001</v>
      </c>
      <c r="M32" s="39">
        <f>+'FY23'!M32*(1+MYP!$K$9)</f>
        <v>1933.3883250000001</v>
      </c>
      <c r="N32" s="39">
        <f>+'FY23'!N32*(1+MYP!$K$9)</f>
        <v>1933.3883250000001</v>
      </c>
      <c r="O32" s="39">
        <f>+'FY23'!O32*(1+MYP!$K$9)</f>
        <v>1933.3883250000001</v>
      </c>
      <c r="P32" s="39">
        <f>+'FY23'!P32*(1+MYP!$K$9)</f>
        <v>1933.3883250000001</v>
      </c>
      <c r="Q32" s="100"/>
      <c r="R32" s="41"/>
      <c r="S32" s="59">
        <f t="shared" si="14"/>
        <v>23200.659900000002</v>
      </c>
      <c r="T32" s="41"/>
      <c r="U32" s="39">
        <f>'FY23'!S32</f>
        <v>22745.744999999995</v>
      </c>
      <c r="V32" s="39">
        <f t="shared" ref="V32:V40" si="15">U32-S32</f>
        <v>-454.91490000000704</v>
      </c>
      <c r="W32" s="39"/>
    </row>
    <row r="33" spans="3:23" s="37" customFormat="1" ht="12" x14ac:dyDescent="0.2">
      <c r="C33" s="199">
        <v>6117</v>
      </c>
      <c r="D33" s="37" t="s">
        <v>229</v>
      </c>
      <c r="E33" s="39">
        <f>+'FY23'!E33*(1+MYP!$K$9)</f>
        <v>3565.7424501300002</v>
      </c>
      <c r="F33" s="39">
        <f>+'FY23'!F33*(1+MYP!$K$9)</f>
        <v>3565.7424501300002</v>
      </c>
      <c r="G33" s="39">
        <f>+'FY23'!G33*(1+MYP!$K$9)</f>
        <v>3565.7424501300002</v>
      </c>
      <c r="H33" s="39">
        <f>+'FY23'!H33*(1+MYP!$K$9)</f>
        <v>3565.7424501300002</v>
      </c>
      <c r="I33" s="39">
        <f>+'FY23'!I33*(1+MYP!$K$9)</f>
        <v>3565.7424501300002</v>
      </c>
      <c r="J33" s="39">
        <f>+'FY23'!J33*(1+MYP!$K$9)</f>
        <v>3565.7424501300002</v>
      </c>
      <c r="K33" s="39">
        <f>+'FY23'!K33*(1+MYP!$K$9)</f>
        <v>3565.7424501300002</v>
      </c>
      <c r="L33" s="39">
        <f>+'FY23'!L33*(1+MYP!$K$9)</f>
        <v>3565.7424501300002</v>
      </c>
      <c r="M33" s="39">
        <f>+'FY23'!M33*(1+MYP!$K$9)</f>
        <v>3565.7424501300002</v>
      </c>
      <c r="N33" s="39">
        <f>+'FY23'!N33*(1+MYP!$K$9)</f>
        <v>3565.7424501300002</v>
      </c>
      <c r="O33" s="39">
        <f>+'FY23'!O33*(1+MYP!$K$9)</f>
        <v>3565.7424501300002</v>
      </c>
      <c r="P33" s="39">
        <f>+'FY23'!P33*(1+MYP!$K$9)</f>
        <v>3565.7424501300002</v>
      </c>
      <c r="Q33" s="100"/>
      <c r="R33" s="41"/>
      <c r="S33" s="59">
        <f t="shared" si="14"/>
        <v>42788.909401559999</v>
      </c>
      <c r="T33" s="41"/>
      <c r="U33" s="39">
        <f>'FY23'!S33</f>
        <v>41949.911178000009</v>
      </c>
      <c r="V33" s="39">
        <f t="shared" si="15"/>
        <v>-838.99822355998913</v>
      </c>
      <c r="W33" s="39"/>
    </row>
    <row r="34" spans="3:23" s="37" customFormat="1" ht="12" x14ac:dyDescent="0.2">
      <c r="C34" s="199">
        <v>6127</v>
      </c>
      <c r="D34" s="37" t="s">
        <v>230</v>
      </c>
      <c r="E34" s="39">
        <f>+'FY23'!E34*(1+MYP!$K$9)</f>
        <v>919.71360000000004</v>
      </c>
      <c r="F34" s="39">
        <f>+'FY23'!F34*(1+MYP!$K$9)</f>
        <v>919.71360000000004</v>
      </c>
      <c r="G34" s="39">
        <f>+'FY23'!G34*(1+MYP!$K$9)</f>
        <v>919.71360000000004</v>
      </c>
      <c r="H34" s="39">
        <f>+'FY23'!H34*(1+MYP!$K$9)</f>
        <v>919.71360000000004</v>
      </c>
      <c r="I34" s="39">
        <f>+'FY23'!I34*(1+MYP!$K$9)</f>
        <v>919.71360000000004</v>
      </c>
      <c r="J34" s="39">
        <f>+'FY23'!J34*(1+MYP!$K$9)</f>
        <v>919.71360000000004</v>
      </c>
      <c r="K34" s="39">
        <f>+'FY23'!K34*(1+MYP!$K$9)</f>
        <v>919.71360000000004</v>
      </c>
      <c r="L34" s="39">
        <f>+'FY23'!L34*(1+MYP!$K$9)</f>
        <v>919.71360000000004</v>
      </c>
      <c r="M34" s="39">
        <f>+'FY23'!M34*(1+MYP!$K$9)</f>
        <v>919.71360000000004</v>
      </c>
      <c r="N34" s="39">
        <f>+'FY23'!N34*(1+MYP!$K$9)</f>
        <v>919.71360000000004</v>
      </c>
      <c r="O34" s="39">
        <f>+'FY23'!O34*(1+MYP!$K$9)</f>
        <v>919.71360000000004</v>
      </c>
      <c r="P34" s="39">
        <f>+'FY23'!P34*(1+MYP!$K$9)</f>
        <v>919.71360000000004</v>
      </c>
      <c r="Q34" s="100"/>
      <c r="R34" s="41"/>
      <c r="S34" s="59">
        <f t="shared" si="14"/>
        <v>11036.563199999997</v>
      </c>
      <c r="T34" s="41"/>
      <c r="U34" s="39">
        <f>'FY23'!S34</f>
        <v>10820.160000000002</v>
      </c>
      <c r="V34" s="39">
        <f t="shared" si="15"/>
        <v>-216.40319999999519</v>
      </c>
      <c r="W34" s="39"/>
    </row>
    <row r="35" spans="3:23" s="37" customFormat="1" ht="12" x14ac:dyDescent="0.2">
      <c r="C35" s="199">
        <v>6151</v>
      </c>
      <c r="D35" s="37" t="s">
        <v>190</v>
      </c>
      <c r="E35" s="39">
        <f>+'FY23'!E35*(1+MYP!$K$9)</f>
        <v>0</v>
      </c>
      <c r="F35" s="39">
        <f>+'FY23'!F35*(1+MYP!$K$9)</f>
        <v>891.4147200000001</v>
      </c>
      <c r="G35" s="39">
        <f>+'FY23'!G35*(1+MYP!$K$9)</f>
        <v>891.4147200000001</v>
      </c>
      <c r="H35" s="39">
        <f>+'FY23'!H35*(1+MYP!$K$9)</f>
        <v>891.4147200000001</v>
      </c>
      <c r="I35" s="39">
        <f>+'FY23'!I35*(1+MYP!$K$9)</f>
        <v>0</v>
      </c>
      <c r="J35" s="39">
        <f>+'FY23'!J35*(1+MYP!$K$9)</f>
        <v>0</v>
      </c>
      <c r="K35" s="39">
        <f>+'FY23'!K35*(1+MYP!$K$9)</f>
        <v>0</v>
      </c>
      <c r="L35" s="39">
        <f>+'FY23'!L35*(1+MYP!$K$9)</f>
        <v>891.4147200000001</v>
      </c>
      <c r="M35" s="39">
        <f>+'FY23'!M35*(1+MYP!$K$9)</f>
        <v>891.4147200000001</v>
      </c>
      <c r="N35" s="39">
        <f>+'FY23'!N35*(1+MYP!$K$9)</f>
        <v>0</v>
      </c>
      <c r="O35" s="39">
        <f>+'FY23'!O35*(1+MYP!$K$9)</f>
        <v>0</v>
      </c>
      <c r="P35" s="39">
        <f>+'FY23'!P35*(1+MYP!$K$9)</f>
        <v>0</v>
      </c>
      <c r="Q35" s="100"/>
      <c r="R35" s="41"/>
      <c r="S35" s="59">
        <f t="shared" si="14"/>
        <v>4457.0736000000006</v>
      </c>
      <c r="T35" s="41"/>
      <c r="U35" s="39">
        <f>'FY23'!S35</f>
        <v>4369.68</v>
      </c>
      <c r="V35" s="39">
        <f t="shared" si="15"/>
        <v>-87.393600000000333</v>
      </c>
      <c r="W35" s="39"/>
    </row>
    <row r="36" spans="3:23" s="37" customFormat="1" ht="12" x14ac:dyDescent="0.2">
      <c r="C36" s="199">
        <v>6154</v>
      </c>
      <c r="D36" s="37" t="s">
        <v>191</v>
      </c>
      <c r="E36" s="39">
        <f>+'FY23'!E36*(1+MYP!$K$9)</f>
        <v>0</v>
      </c>
      <c r="F36" s="39">
        <f>+'FY23'!F36*(1+MYP!$K$9)</f>
        <v>0</v>
      </c>
      <c r="G36" s="39">
        <f>+'FY23'!G36*(1+MYP!$K$9)</f>
        <v>0</v>
      </c>
      <c r="H36" s="39">
        <f>+'FY23'!H36*(1+MYP!$K$9)</f>
        <v>0</v>
      </c>
      <c r="I36" s="39">
        <f>+'FY23'!I36*(1+MYP!$K$9)</f>
        <v>0</v>
      </c>
      <c r="J36" s="39">
        <f>+'FY23'!J36*(1+MYP!$K$9)</f>
        <v>0</v>
      </c>
      <c r="K36" s="39">
        <f>+'FY23'!K36*(1+MYP!$K$9)</f>
        <v>0</v>
      </c>
      <c r="L36" s="39">
        <f>+'FY23'!L36*(1+MYP!$K$9)</f>
        <v>0</v>
      </c>
      <c r="M36" s="39">
        <f>+'FY23'!M36*(1+MYP!$K$9)</f>
        <v>891.4147200000001</v>
      </c>
      <c r="N36" s="39">
        <f>+'FY23'!N36*(1+MYP!$K$9)</f>
        <v>0</v>
      </c>
      <c r="O36" s="39">
        <f>+'FY23'!O36*(1+MYP!$K$9)</f>
        <v>0</v>
      </c>
      <c r="P36" s="39">
        <f>+'FY23'!P36*(1+MYP!$K$9)</f>
        <v>795.90600000000006</v>
      </c>
      <c r="Q36" s="100"/>
      <c r="R36" s="41"/>
      <c r="S36" s="59">
        <f t="shared" si="14"/>
        <v>1687.3207200000002</v>
      </c>
      <c r="T36" s="41"/>
      <c r="U36" s="39">
        <f>'FY23'!S36</f>
        <v>1654.2360000000001</v>
      </c>
      <c r="V36" s="39">
        <f t="shared" si="15"/>
        <v>-33.084720000000061</v>
      </c>
      <c r="W36" s="39"/>
    </row>
    <row r="37" spans="3:23" s="37" customFormat="1" ht="12" x14ac:dyDescent="0.2">
      <c r="C37" s="199">
        <v>6157</v>
      </c>
      <c r="D37" s="37" t="s">
        <v>231</v>
      </c>
      <c r="E37" s="39">
        <f>+'FY23'!E37*(1+MYP!$K$9)</f>
        <v>0</v>
      </c>
      <c r="F37" s="39">
        <f>+'FY23'!F37*(1+MYP!$K$9)</f>
        <v>795.90600000000006</v>
      </c>
      <c r="G37" s="39">
        <f>+'FY23'!G37*(1+MYP!$K$9)</f>
        <v>795.90600000000006</v>
      </c>
      <c r="H37" s="39">
        <f>+'FY23'!H37*(1+MYP!$K$9)</f>
        <v>0</v>
      </c>
      <c r="I37" s="39">
        <f>+'FY23'!I37*(1+MYP!$K$9)</f>
        <v>0</v>
      </c>
      <c r="J37" s="39">
        <f>+'FY23'!J37*(1+MYP!$K$9)</f>
        <v>0</v>
      </c>
      <c r="K37" s="39">
        <f>+'FY23'!K37*(1+MYP!$K$9)</f>
        <v>795.90600000000006</v>
      </c>
      <c r="L37" s="39">
        <f>+'FY23'!L37*(1+MYP!$K$9)</f>
        <v>795.90600000000006</v>
      </c>
      <c r="M37" s="39">
        <f>+'FY23'!M37*(1+MYP!$K$9)</f>
        <v>0</v>
      </c>
      <c r="N37" s="39">
        <f>+'FY23'!N37*(1+MYP!$K$9)</f>
        <v>0</v>
      </c>
      <c r="O37" s="39">
        <f>+'FY23'!O37*(1+MYP!$K$9)</f>
        <v>0</v>
      </c>
      <c r="P37" s="39">
        <f>+'FY23'!P37*(1+MYP!$K$9)</f>
        <v>0</v>
      </c>
      <c r="Q37" s="100"/>
      <c r="R37" s="41"/>
      <c r="S37" s="59">
        <f t="shared" si="14"/>
        <v>3183.6240000000003</v>
      </c>
      <c r="T37" s="41"/>
      <c r="U37" s="39">
        <f>'FY23'!S37</f>
        <v>3121.2000000000003</v>
      </c>
      <c r="V37" s="39">
        <f t="shared" si="15"/>
        <v>-62.423999999999978</v>
      </c>
      <c r="W37" s="39"/>
    </row>
    <row r="38" spans="3:23" s="37" customFormat="1" ht="12" x14ac:dyDescent="0.2">
      <c r="C38" s="199">
        <v>6161</v>
      </c>
      <c r="D38" s="37" t="s">
        <v>97</v>
      </c>
      <c r="E38" s="39">
        <f>+'FY23'!E38*(1+MYP!$K$9)</f>
        <v>0</v>
      </c>
      <c r="F38" s="39">
        <f>+'FY23'!F38*(1+MYP!$K$9)</f>
        <v>0</v>
      </c>
      <c r="G38" s="39">
        <f>+'FY23'!G38*(1+MYP!$K$9)</f>
        <v>0</v>
      </c>
      <c r="H38" s="39">
        <f>+'FY23'!H38*(1+MYP!$K$9)</f>
        <v>0</v>
      </c>
      <c r="I38" s="39">
        <f>+'FY23'!I38*(1+MYP!$K$9)</f>
        <v>0</v>
      </c>
      <c r="J38" s="39">
        <f>+'FY23'!J38*(1+MYP!$K$9)</f>
        <v>0</v>
      </c>
      <c r="K38" s="39">
        <f>+'FY23'!K38*(1+MYP!$K$9)</f>
        <v>0</v>
      </c>
      <c r="L38" s="39">
        <f>+'FY23'!L38*(1+MYP!$K$9)</f>
        <v>0</v>
      </c>
      <c r="M38" s="39">
        <f>+'FY23'!M38*(1+MYP!$K$9)</f>
        <v>0</v>
      </c>
      <c r="N38" s="39">
        <f>+'FY23'!N38*(1+MYP!$K$9)</f>
        <v>0</v>
      </c>
      <c r="O38" s="39">
        <f>+'FY23'!O38*(1+MYP!$K$9)</f>
        <v>0</v>
      </c>
      <c r="P38" s="39">
        <f>+'FY23'!P38*(1+MYP!$K$9)</f>
        <v>0</v>
      </c>
      <c r="Q38" s="100"/>
      <c r="R38" s="41"/>
      <c r="S38" s="59">
        <f t="shared" si="14"/>
        <v>0</v>
      </c>
      <c r="T38" s="41"/>
      <c r="U38" s="39">
        <f>'FY23'!S38</f>
        <v>0</v>
      </c>
      <c r="V38" s="39">
        <f t="shared" si="15"/>
        <v>0</v>
      </c>
      <c r="W38" s="39"/>
    </row>
    <row r="39" spans="3:23" s="37" customFormat="1" ht="12" x14ac:dyDescent="0.2">
      <c r="C39" s="199">
        <v>6164</v>
      </c>
      <c r="D39" s="37" t="s">
        <v>98</v>
      </c>
      <c r="E39" s="39">
        <f>+'FY23'!E39*(1+MYP!$K$9)</f>
        <v>0</v>
      </c>
      <c r="F39" s="39">
        <f>+'FY23'!F39*(1+MYP!$K$9)</f>
        <v>0</v>
      </c>
      <c r="G39" s="39">
        <f>+'FY23'!G39*(1+MYP!$K$9)</f>
        <v>0</v>
      </c>
      <c r="H39" s="39">
        <f>+'FY23'!H39*(1+MYP!$K$9)</f>
        <v>0</v>
      </c>
      <c r="I39" s="39">
        <f>+'FY23'!I39*(1+MYP!$K$9)</f>
        <v>0</v>
      </c>
      <c r="J39" s="39">
        <f>+'FY23'!J39*(1+MYP!$K$9)</f>
        <v>0</v>
      </c>
      <c r="K39" s="39">
        <f>+'FY23'!K39*(1+MYP!$K$9)</f>
        <v>0</v>
      </c>
      <c r="L39" s="39">
        <f>+'FY23'!L39*(1+MYP!$K$9)</f>
        <v>0</v>
      </c>
      <c r="M39" s="39">
        <f>+'FY23'!M39*(1+MYP!$K$9)</f>
        <v>0</v>
      </c>
      <c r="N39" s="39">
        <f>+'FY23'!N39*(1+MYP!$K$9)</f>
        <v>0</v>
      </c>
      <c r="O39" s="39">
        <f>+'FY23'!O39*(1+MYP!$K$9)</f>
        <v>0</v>
      </c>
      <c r="P39" s="39">
        <f>+'FY23'!P39*(1+MYP!$K$9)</f>
        <v>0</v>
      </c>
      <c r="Q39" s="100"/>
      <c r="R39" s="41"/>
      <c r="S39" s="59">
        <f t="shared" si="14"/>
        <v>0</v>
      </c>
      <c r="T39" s="41"/>
      <c r="U39" s="39">
        <f>'FY23'!S39</f>
        <v>0</v>
      </c>
      <c r="V39" s="39">
        <f t="shared" si="15"/>
        <v>0</v>
      </c>
      <c r="W39" s="39"/>
    </row>
    <row r="40" spans="3:23" s="37" customFormat="1" ht="12" x14ac:dyDescent="0.2">
      <c r="C40" s="199">
        <v>6167</v>
      </c>
      <c r="D40" s="37" t="s">
        <v>232</v>
      </c>
      <c r="E40" s="39">
        <f>+'FY23'!E40*(1+MYP!$K$9)</f>
        <v>0</v>
      </c>
      <c r="F40" s="39">
        <f>+'FY23'!F40*(1+MYP!$K$9)</f>
        <v>0</v>
      </c>
      <c r="G40" s="39">
        <f>+'FY23'!G40*(1+MYP!$K$9)</f>
        <v>0</v>
      </c>
      <c r="H40" s="39">
        <f>+'FY23'!H40*(1+MYP!$K$9)</f>
        <v>0</v>
      </c>
      <c r="I40" s="39">
        <f>+'FY23'!I40*(1+MYP!$K$9)</f>
        <v>0</v>
      </c>
      <c r="J40" s="39">
        <f>+'FY23'!J40*(1+MYP!$K$9)</f>
        <v>0</v>
      </c>
      <c r="K40" s="39">
        <f>+'FY23'!K40*(1+MYP!$K$9)</f>
        <v>0</v>
      </c>
      <c r="L40" s="39">
        <f>+'FY23'!L40*(1+MYP!$K$9)</f>
        <v>0</v>
      </c>
      <c r="M40" s="39">
        <f>+'FY23'!M40*(1+MYP!$K$9)</f>
        <v>0</v>
      </c>
      <c r="N40" s="39">
        <f>+'FY23'!N40*(1+MYP!$K$9)</f>
        <v>0</v>
      </c>
      <c r="O40" s="39">
        <f>+'FY23'!O40*(1+MYP!$K$9)</f>
        <v>0</v>
      </c>
      <c r="P40" s="39">
        <f>+'FY23'!P40*(1+MYP!$K$9)</f>
        <v>0</v>
      </c>
      <c r="Q40" s="100"/>
      <c r="R40" s="41"/>
      <c r="S40" s="59">
        <f t="shared" si="14"/>
        <v>0</v>
      </c>
      <c r="T40" s="41"/>
      <c r="U40" s="39">
        <f>'FY23'!S40</f>
        <v>0</v>
      </c>
      <c r="V40" s="39">
        <f t="shared" si="15"/>
        <v>0</v>
      </c>
      <c r="W40" s="39"/>
    </row>
    <row r="41" spans="3:23" s="37" customFormat="1" ht="12" x14ac:dyDescent="0.2">
      <c r="C41" s="38"/>
      <c r="E41" s="50">
        <f t="shared" ref="E41:P41" si="16">SUBTOTAL(9,E31:E40)</f>
        <v>12633.424073927999</v>
      </c>
      <c r="F41" s="50">
        <f t="shared" si="16"/>
        <v>14320.744793928001</v>
      </c>
      <c r="G41" s="50">
        <f t="shared" si="16"/>
        <v>14320.744793928001</v>
      </c>
      <c r="H41" s="50">
        <f t="shared" si="16"/>
        <v>13524.838793928</v>
      </c>
      <c r="I41" s="50">
        <f t="shared" si="16"/>
        <v>12633.424073927999</v>
      </c>
      <c r="J41" s="50">
        <f t="shared" si="16"/>
        <v>12633.424073927999</v>
      </c>
      <c r="K41" s="50">
        <f t="shared" si="16"/>
        <v>13429.330073928</v>
      </c>
      <c r="L41" s="50">
        <f t="shared" si="16"/>
        <v>14320.744793928001</v>
      </c>
      <c r="M41" s="50">
        <f t="shared" si="16"/>
        <v>14416.253513928001</v>
      </c>
      <c r="N41" s="50">
        <f t="shared" si="16"/>
        <v>12633.424073927999</v>
      </c>
      <c r="O41" s="50">
        <f t="shared" si="16"/>
        <v>12633.424073927999</v>
      </c>
      <c r="P41" s="50">
        <f t="shared" si="16"/>
        <v>13429.330073928</v>
      </c>
      <c r="Q41" s="51"/>
      <c r="R41" s="41"/>
      <c r="S41" s="61">
        <f>SUBTOTAL(9,S31:S40)</f>
        <v>160929.107207136</v>
      </c>
      <c r="T41" s="41"/>
      <c r="U41" s="50">
        <f>SUBTOTAL(9,U31:U40)</f>
        <v>157773.6345168</v>
      </c>
      <c r="V41" s="50">
        <f>SUBTOTAL(9,V31:V40)</f>
        <v>-3155.4726903359888</v>
      </c>
      <c r="W41" s="39"/>
    </row>
    <row r="42" spans="3:23" s="37" customFormat="1" ht="12" x14ac:dyDescent="0.2">
      <c r="C42" s="49" t="s">
        <v>99</v>
      </c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44"/>
      <c r="R42" s="41"/>
      <c r="S42" s="59"/>
      <c r="T42" s="41"/>
      <c r="U42" s="39"/>
      <c r="V42" s="39"/>
      <c r="W42" s="39"/>
    </row>
    <row r="43" spans="3:23" s="37" customFormat="1" ht="12" x14ac:dyDescent="0.2">
      <c r="C43" s="199">
        <v>6211</v>
      </c>
      <c r="D43" s="37" t="s">
        <v>199</v>
      </c>
      <c r="E43" s="39">
        <f>+'FY23'!E43*(1+MYP!$K$9)</f>
        <v>39.264696000000008</v>
      </c>
      <c r="F43" s="39">
        <f>+'FY23'!F43*(1+MYP!$K$9)</f>
        <v>39.264696000000008</v>
      </c>
      <c r="G43" s="39">
        <f>+'FY23'!G43*(1+MYP!$K$9)</f>
        <v>39.264696000000008</v>
      </c>
      <c r="H43" s="39">
        <f>+'FY23'!H43*(1+MYP!$K$9)</f>
        <v>39.264696000000008</v>
      </c>
      <c r="I43" s="39">
        <f>+'FY23'!I43*(1+MYP!$K$9)</f>
        <v>39.264696000000008</v>
      </c>
      <c r="J43" s="39">
        <f>+'FY23'!J43*(1+MYP!$K$9)</f>
        <v>39.264696000000008</v>
      </c>
      <c r="K43" s="39">
        <f>+'FY23'!K43*(1+MYP!$K$9)</f>
        <v>39.264696000000008</v>
      </c>
      <c r="L43" s="39">
        <f>+'FY23'!L43*(1+MYP!$K$9)</f>
        <v>39.264696000000008</v>
      </c>
      <c r="M43" s="39">
        <f>+'FY23'!M43*(1+MYP!$K$9)</f>
        <v>39.264696000000008</v>
      </c>
      <c r="N43" s="39">
        <f>+'FY23'!N43*(1+MYP!$K$9)</f>
        <v>39.264696000000008</v>
      </c>
      <c r="O43" s="39">
        <f>+'FY23'!O43*(1+MYP!$K$9)</f>
        <v>39.264696000000008</v>
      </c>
      <c r="P43" s="39">
        <f>+'FY23'!P43*(1+MYP!$K$9)</f>
        <v>39.264696000000008</v>
      </c>
      <c r="Q43" s="36"/>
      <c r="R43" s="41"/>
      <c r="S43" s="59">
        <f t="shared" ref="S43:S61" si="17">SUM(E43:Q43)</f>
        <v>471.17635200000012</v>
      </c>
      <c r="T43" s="41"/>
      <c r="U43" s="39">
        <f>'FY23'!S43</f>
        <v>461.93760000000003</v>
      </c>
      <c r="V43" s="39">
        <f t="shared" ref="V43:V61" si="18">U43-S43</f>
        <v>-9.2387520000000904</v>
      </c>
      <c r="W43" s="39"/>
    </row>
    <row r="44" spans="3:23" s="37" customFormat="1" ht="12" x14ac:dyDescent="0.2">
      <c r="C44" s="199">
        <v>6214</v>
      </c>
      <c r="D44" s="37" t="s">
        <v>200</v>
      </c>
      <c r="E44" s="39">
        <f>+'FY23'!E44*(1+MYP!$K$9)</f>
        <v>9.816174000000002</v>
      </c>
      <c r="F44" s="39">
        <f>+'FY23'!F44*(1+MYP!$K$9)</f>
        <v>9.816174000000002</v>
      </c>
      <c r="G44" s="39">
        <f>+'FY23'!G44*(1+MYP!$K$9)</f>
        <v>9.816174000000002</v>
      </c>
      <c r="H44" s="39">
        <f>+'FY23'!H44*(1+MYP!$K$9)</f>
        <v>9.816174000000002</v>
      </c>
      <c r="I44" s="39">
        <f>+'FY23'!I44*(1+MYP!$K$9)</f>
        <v>9.816174000000002</v>
      </c>
      <c r="J44" s="39">
        <f>+'FY23'!J44*(1+MYP!$K$9)</f>
        <v>9.816174000000002</v>
      </c>
      <c r="K44" s="39">
        <f>+'FY23'!K44*(1+MYP!$K$9)</f>
        <v>9.816174000000002</v>
      </c>
      <c r="L44" s="39">
        <f>+'FY23'!L44*(1+MYP!$K$9)</f>
        <v>9.816174000000002</v>
      </c>
      <c r="M44" s="39">
        <f>+'FY23'!M44*(1+MYP!$K$9)</f>
        <v>9.816174000000002</v>
      </c>
      <c r="N44" s="39">
        <f>+'FY23'!N44*(1+MYP!$K$9)</f>
        <v>9.816174000000002</v>
      </c>
      <c r="O44" s="39">
        <f>+'FY23'!O44*(1+MYP!$K$9)</f>
        <v>9.816174000000002</v>
      </c>
      <c r="P44" s="39">
        <f>+'FY23'!P44*(1+MYP!$K$9)</f>
        <v>9.816174000000002</v>
      </c>
      <c r="Q44" s="36"/>
      <c r="R44" s="41"/>
      <c r="S44" s="59">
        <f t="shared" si="17"/>
        <v>117.79408800000003</v>
      </c>
      <c r="T44" s="41"/>
      <c r="U44" s="39">
        <f>'FY23'!S44</f>
        <v>115.48440000000001</v>
      </c>
      <c r="V44" s="39">
        <f t="shared" si="18"/>
        <v>-2.3096880000000226</v>
      </c>
      <c r="W44" s="39"/>
    </row>
    <row r="45" spans="3:23" s="37" customFormat="1" ht="12" x14ac:dyDescent="0.2">
      <c r="C45" s="199">
        <v>6217</v>
      </c>
      <c r="D45" s="37" t="s">
        <v>223</v>
      </c>
      <c r="E45" s="39">
        <f>+'FY23'!E45*(1+MYP!$K$9)</f>
        <v>39.264696000000008</v>
      </c>
      <c r="F45" s="39">
        <f>+'FY23'!F45*(1+MYP!$K$9)</f>
        <v>39.264696000000008</v>
      </c>
      <c r="G45" s="39">
        <f>+'FY23'!G45*(1+MYP!$K$9)</f>
        <v>39.264696000000008</v>
      </c>
      <c r="H45" s="39">
        <f>+'FY23'!H45*(1+MYP!$K$9)</f>
        <v>39.264696000000008</v>
      </c>
      <c r="I45" s="39">
        <f>+'FY23'!I45*(1+MYP!$K$9)</f>
        <v>39.264696000000008</v>
      </c>
      <c r="J45" s="39">
        <f>+'FY23'!J45*(1+MYP!$K$9)</f>
        <v>39.264696000000008</v>
      </c>
      <c r="K45" s="39">
        <f>+'FY23'!K45*(1+MYP!$K$9)</f>
        <v>39.264696000000008</v>
      </c>
      <c r="L45" s="39">
        <f>+'FY23'!L45*(1+MYP!$K$9)</f>
        <v>39.264696000000008</v>
      </c>
      <c r="M45" s="39">
        <f>+'FY23'!M45*(1+MYP!$K$9)</f>
        <v>39.264696000000008</v>
      </c>
      <c r="N45" s="39">
        <f>+'FY23'!N45*(1+MYP!$K$9)</f>
        <v>39.264696000000008</v>
      </c>
      <c r="O45" s="39">
        <f>+'FY23'!O45*(1+MYP!$K$9)</f>
        <v>39.264696000000008</v>
      </c>
      <c r="P45" s="39">
        <f>+'FY23'!P45*(1+MYP!$K$9)</f>
        <v>39.264696000000008</v>
      </c>
      <c r="Q45" s="36"/>
      <c r="R45" s="41"/>
      <c r="S45" s="59">
        <f t="shared" si="17"/>
        <v>471.17635200000012</v>
      </c>
      <c r="T45" s="41"/>
      <c r="U45" s="39">
        <f>'FY23'!S45</f>
        <v>461.93760000000003</v>
      </c>
      <c r="V45" s="39">
        <f t="shared" si="18"/>
        <v>-9.2387520000000904</v>
      </c>
      <c r="W45" s="39"/>
    </row>
    <row r="46" spans="3:23" s="37" customFormat="1" ht="12" x14ac:dyDescent="0.2">
      <c r="C46" s="199">
        <v>6227</v>
      </c>
      <c r="D46" s="37" t="s">
        <v>222</v>
      </c>
      <c r="E46" s="39">
        <f>+'FY23'!E46*(1+MYP!$K$9)</f>
        <v>57.022243199999991</v>
      </c>
      <c r="F46" s="39">
        <f>+'FY23'!F46*(1+MYP!$K$9)</f>
        <v>57.022243199999991</v>
      </c>
      <c r="G46" s="39">
        <f>+'FY23'!G46*(1+MYP!$K$9)</f>
        <v>57.022243199999991</v>
      </c>
      <c r="H46" s="39">
        <f>+'FY23'!H46*(1+MYP!$K$9)</f>
        <v>57.022243199999991</v>
      </c>
      <c r="I46" s="39">
        <f>+'FY23'!I46*(1+MYP!$K$9)</f>
        <v>57.022243199999991</v>
      </c>
      <c r="J46" s="39">
        <f>+'FY23'!J46*(1+MYP!$K$9)</f>
        <v>57.022243199999991</v>
      </c>
      <c r="K46" s="39">
        <f>+'FY23'!K46*(1+MYP!$K$9)</f>
        <v>57.022243199999991</v>
      </c>
      <c r="L46" s="39">
        <f>+'FY23'!L46*(1+MYP!$K$9)</f>
        <v>57.022243199999991</v>
      </c>
      <c r="M46" s="39">
        <f>+'FY23'!M46*(1+MYP!$K$9)</f>
        <v>57.022243199999991</v>
      </c>
      <c r="N46" s="39">
        <f>+'FY23'!N46*(1+MYP!$K$9)</f>
        <v>57.022243199999991</v>
      </c>
      <c r="O46" s="39">
        <f>+'FY23'!O46*(1+MYP!$K$9)</f>
        <v>57.022243199999991</v>
      </c>
      <c r="P46" s="39">
        <f>+'FY23'!P46*(1+MYP!$K$9)</f>
        <v>57.022243199999991</v>
      </c>
      <c r="Q46" s="36"/>
      <c r="R46" s="41"/>
      <c r="S46" s="59">
        <f t="shared" si="17"/>
        <v>684.26691840000012</v>
      </c>
      <c r="T46" s="41"/>
      <c r="U46" s="39">
        <f>'FY23'!S46</f>
        <v>670.84991999999988</v>
      </c>
      <c r="V46" s="39">
        <f t="shared" si="18"/>
        <v>-13.416998400000239</v>
      </c>
      <c r="W46" s="39"/>
    </row>
    <row r="47" spans="3:23" s="37" customFormat="1" ht="12" x14ac:dyDescent="0.2">
      <c r="C47" s="199">
        <v>6231</v>
      </c>
      <c r="D47" s="37" t="s">
        <v>206</v>
      </c>
      <c r="E47" s="39">
        <f>+'FY23'!E47*(1+MYP!$K$9)</f>
        <v>947.72340406669502</v>
      </c>
      <c r="F47" s="39">
        <f>+'FY23'!F47*(1+MYP!$K$9)</f>
        <v>947.72340406669502</v>
      </c>
      <c r="G47" s="39">
        <f>+'FY23'!G47*(1+MYP!$K$9)</f>
        <v>947.72340406669502</v>
      </c>
      <c r="H47" s="39">
        <f>+'FY23'!H47*(1+MYP!$K$9)</f>
        <v>947.72340406669502</v>
      </c>
      <c r="I47" s="39">
        <f>+'FY23'!I47*(1+MYP!$K$9)</f>
        <v>947.72340406669502</v>
      </c>
      <c r="J47" s="39">
        <f>+'FY23'!J47*(1+MYP!$K$9)</f>
        <v>947.72340406669502</v>
      </c>
      <c r="K47" s="39">
        <f>+'FY23'!K47*(1+MYP!$K$9)</f>
        <v>947.72340406669502</v>
      </c>
      <c r="L47" s="39">
        <f>+'FY23'!L47*(1+MYP!$K$9)</f>
        <v>947.72340406669502</v>
      </c>
      <c r="M47" s="39">
        <f>+'FY23'!M47*(1+MYP!$K$9)</f>
        <v>947.72340406669502</v>
      </c>
      <c r="N47" s="39">
        <f>+'FY23'!N47*(1+MYP!$K$9)</f>
        <v>947.72340406669502</v>
      </c>
      <c r="O47" s="39">
        <f>+'FY23'!O47*(1+MYP!$K$9)</f>
        <v>947.72340406669502</v>
      </c>
      <c r="P47" s="39">
        <f>+'FY23'!P47*(1+MYP!$K$9)</f>
        <v>947.72340406669502</v>
      </c>
      <c r="Q47" s="36"/>
      <c r="R47" s="41"/>
      <c r="S47" s="59">
        <f>SUM(E47:Q47)</f>
        <v>11372.680848800343</v>
      </c>
      <c r="T47" s="41"/>
      <c r="U47" s="39">
        <f>'FY23'!S47</f>
        <v>11149.687106666999</v>
      </c>
      <c r="V47" s="39">
        <f t="shared" si="18"/>
        <v>-222.9937421333434</v>
      </c>
      <c r="W47" s="39"/>
    </row>
    <row r="48" spans="3:23" s="37" customFormat="1" ht="12" x14ac:dyDescent="0.2">
      <c r="C48" s="199">
        <v>6234</v>
      </c>
      <c r="D48" s="37" t="s">
        <v>207</v>
      </c>
      <c r="E48" s="39">
        <f>+'FY23'!E48*(1+MYP!$K$9)</f>
        <v>565.51608506250011</v>
      </c>
      <c r="F48" s="39">
        <f>+'FY23'!F48*(1+MYP!$K$9)</f>
        <v>565.51608506250011</v>
      </c>
      <c r="G48" s="39">
        <f>+'FY23'!G48*(1+MYP!$K$9)</f>
        <v>565.51608506250011</v>
      </c>
      <c r="H48" s="39">
        <f>+'FY23'!H48*(1+MYP!$K$9)</f>
        <v>565.51608506250011</v>
      </c>
      <c r="I48" s="39">
        <f>+'FY23'!I48*(1+MYP!$K$9)</f>
        <v>565.51608506250011</v>
      </c>
      <c r="J48" s="39">
        <f>+'FY23'!J48*(1+MYP!$K$9)</f>
        <v>565.51608506250011</v>
      </c>
      <c r="K48" s="39">
        <f>+'FY23'!K48*(1+MYP!$K$9)</f>
        <v>565.51608506250011</v>
      </c>
      <c r="L48" s="39">
        <f>+'FY23'!L48*(1+MYP!$K$9)</f>
        <v>565.51608506250011</v>
      </c>
      <c r="M48" s="39">
        <f>+'FY23'!M48*(1+MYP!$K$9)</f>
        <v>565.51608506250011</v>
      </c>
      <c r="N48" s="39">
        <f>+'FY23'!N48*(1+MYP!$K$9)</f>
        <v>565.51608506250011</v>
      </c>
      <c r="O48" s="39">
        <f>+'FY23'!O48*(1+MYP!$K$9)</f>
        <v>565.51608506250011</v>
      </c>
      <c r="P48" s="39">
        <f>+'FY23'!P48*(1+MYP!$K$9)</f>
        <v>565.51608506250011</v>
      </c>
      <c r="Q48" s="36"/>
      <c r="R48" s="41"/>
      <c r="S48" s="59">
        <f t="shared" si="17"/>
        <v>6786.19302075</v>
      </c>
      <c r="T48" s="41"/>
      <c r="U48" s="39">
        <f>'FY23'!S48</f>
        <v>6653.1304124999988</v>
      </c>
      <c r="V48" s="39">
        <f t="shared" si="18"/>
        <v>-133.06260825000118</v>
      </c>
      <c r="W48" s="39"/>
    </row>
    <row r="49" spans="3:23" s="37" customFormat="1" ht="12" x14ac:dyDescent="0.2">
      <c r="C49" s="199">
        <v>6237</v>
      </c>
      <c r="D49" s="37" t="s">
        <v>224</v>
      </c>
      <c r="E49" s="39">
        <f>+'FY23'!E49*(1+MYP!$K$9)</f>
        <v>543.77572364482501</v>
      </c>
      <c r="F49" s="39">
        <f>+'FY23'!F49*(1+MYP!$K$9)</f>
        <v>543.77572364482501</v>
      </c>
      <c r="G49" s="39">
        <f>+'FY23'!G49*(1+MYP!$K$9)</f>
        <v>543.77572364482501</v>
      </c>
      <c r="H49" s="39">
        <f>+'FY23'!H49*(1+MYP!$K$9)</f>
        <v>543.77572364482501</v>
      </c>
      <c r="I49" s="39">
        <f>+'FY23'!I49*(1+MYP!$K$9)</f>
        <v>543.77572364482501</v>
      </c>
      <c r="J49" s="39">
        <f>+'FY23'!J49*(1+MYP!$K$9)</f>
        <v>543.77572364482501</v>
      </c>
      <c r="K49" s="39">
        <f>+'FY23'!K49*(1+MYP!$K$9)</f>
        <v>543.77572364482501</v>
      </c>
      <c r="L49" s="39">
        <f>+'FY23'!L49*(1+MYP!$K$9)</f>
        <v>543.77572364482501</v>
      </c>
      <c r="M49" s="39">
        <f>+'FY23'!M49*(1+MYP!$K$9)</f>
        <v>543.77572364482501</v>
      </c>
      <c r="N49" s="39">
        <f>+'FY23'!N49*(1+MYP!$K$9)</f>
        <v>543.77572364482501</v>
      </c>
      <c r="O49" s="39">
        <f>+'FY23'!O49*(1+MYP!$K$9)</f>
        <v>543.77572364482501</v>
      </c>
      <c r="P49" s="39">
        <f>+'FY23'!P49*(1+MYP!$K$9)</f>
        <v>543.77572364482501</v>
      </c>
      <c r="Q49" s="36"/>
      <c r="R49" s="41"/>
      <c r="S49" s="59">
        <f t="shared" si="17"/>
        <v>6525.3086837379005</v>
      </c>
      <c r="T49" s="41"/>
      <c r="U49" s="39">
        <f>'FY23'!S49</f>
        <v>6397.361454644998</v>
      </c>
      <c r="V49" s="39">
        <f t="shared" si="18"/>
        <v>-127.94722909290249</v>
      </c>
      <c r="W49" s="39"/>
    </row>
    <row r="50" spans="3:23" s="37" customFormat="1" ht="12" x14ac:dyDescent="0.2">
      <c r="C50" s="199">
        <v>6241</v>
      </c>
      <c r="D50" s="37" t="s">
        <v>197</v>
      </c>
      <c r="E50" s="39">
        <f>+'FY23'!E50*(1+MYP!$K$9)</f>
        <v>90.111405632571007</v>
      </c>
      <c r="F50" s="39">
        <f>+'FY23'!F50*(1+MYP!$K$9)</f>
        <v>103.036919072571</v>
      </c>
      <c r="G50" s="39">
        <f>+'FY23'!G50*(1+MYP!$K$9)</f>
        <v>103.036919072571</v>
      </c>
      <c r="H50" s="39">
        <f>+'FY23'!H50*(1+MYP!$K$9)</f>
        <v>103.036919072571</v>
      </c>
      <c r="I50" s="39">
        <f>+'FY23'!I50*(1+MYP!$K$9)</f>
        <v>90.111405632571007</v>
      </c>
      <c r="J50" s="39">
        <f>+'FY23'!J50*(1+MYP!$K$9)</f>
        <v>90.111405632571007</v>
      </c>
      <c r="K50" s="39">
        <f>+'FY23'!K50*(1+MYP!$K$9)</f>
        <v>90.111405632571007</v>
      </c>
      <c r="L50" s="39">
        <f>+'FY23'!L50*(1+MYP!$K$9)</f>
        <v>103.036919072571</v>
      </c>
      <c r="M50" s="39">
        <f>+'FY23'!M50*(1+MYP!$K$9)</f>
        <v>103.036919072571</v>
      </c>
      <c r="N50" s="39">
        <f>+'FY23'!N50*(1+MYP!$K$9)</f>
        <v>90.111405632571007</v>
      </c>
      <c r="O50" s="39">
        <f>+'FY23'!O50*(1+MYP!$K$9)</f>
        <v>90.111405632571007</v>
      </c>
      <c r="P50" s="39">
        <f>+'FY23'!P50*(1+MYP!$K$9)</f>
        <v>90.111405632571007</v>
      </c>
      <c r="Q50" s="36"/>
      <c r="R50" s="41"/>
      <c r="S50" s="59">
        <f t="shared" si="17"/>
        <v>1145.9644347908518</v>
      </c>
      <c r="T50" s="41"/>
      <c r="U50" s="39">
        <f>'FY23'!S50</f>
        <v>1123.4945439126</v>
      </c>
      <c r="V50" s="39">
        <f t="shared" si="18"/>
        <v>-22.469890878251817</v>
      </c>
      <c r="W50" s="39"/>
    </row>
    <row r="51" spans="3:23" s="37" customFormat="1" ht="12" x14ac:dyDescent="0.2">
      <c r="C51" s="199">
        <v>6244</v>
      </c>
      <c r="D51" s="37" t="s">
        <v>198</v>
      </c>
      <c r="E51" s="39">
        <f>+'FY23'!E51*(1+MYP!$K$9)</f>
        <v>28.034130712500001</v>
      </c>
      <c r="F51" s="39">
        <f>+'FY23'!F51*(1+MYP!$K$9)</f>
        <v>28.034130712500001</v>
      </c>
      <c r="G51" s="39">
        <f>+'FY23'!G51*(1+MYP!$K$9)</f>
        <v>28.034130712500001</v>
      </c>
      <c r="H51" s="39">
        <f>+'FY23'!H51*(1+MYP!$K$9)</f>
        <v>28.034130712500001</v>
      </c>
      <c r="I51" s="39">
        <f>+'FY23'!I51*(1+MYP!$K$9)</f>
        <v>28.034130712500001</v>
      </c>
      <c r="J51" s="39">
        <f>+'FY23'!J51*(1+MYP!$K$9)</f>
        <v>28.034130712500001</v>
      </c>
      <c r="K51" s="39">
        <f>+'FY23'!K51*(1+MYP!$K$9)</f>
        <v>28.034130712500001</v>
      </c>
      <c r="L51" s="39">
        <f>+'FY23'!L51*(1+MYP!$K$9)</f>
        <v>28.034130712500001</v>
      </c>
      <c r="M51" s="39">
        <f>+'FY23'!M51*(1+MYP!$K$9)</f>
        <v>40.959644152500005</v>
      </c>
      <c r="N51" s="39">
        <f>+'FY23'!N51*(1+MYP!$K$9)</f>
        <v>28.034130712500001</v>
      </c>
      <c r="O51" s="39">
        <f>+'FY23'!O51*(1+MYP!$K$9)</f>
        <v>28.034130712500001</v>
      </c>
      <c r="P51" s="39">
        <f>+'FY23'!P51*(1+MYP!$K$9)</f>
        <v>39.574767712500005</v>
      </c>
      <c r="Q51" s="36"/>
      <c r="R51" s="41"/>
      <c r="S51" s="59">
        <f t="shared" si="17"/>
        <v>360.87571899</v>
      </c>
      <c r="T51" s="41"/>
      <c r="U51" s="39">
        <f>'FY23'!S51</f>
        <v>353.79972450000014</v>
      </c>
      <c r="V51" s="39">
        <f t="shared" si="18"/>
        <v>-7.0759944899998573</v>
      </c>
      <c r="W51" s="39"/>
    </row>
    <row r="52" spans="3:23" s="37" customFormat="1" ht="12" x14ac:dyDescent="0.2">
      <c r="C52" s="199">
        <v>6247</v>
      </c>
      <c r="D52" s="37" t="s">
        <v>225</v>
      </c>
      <c r="E52" s="39">
        <f>+'FY23'!E52*(1+MYP!$K$9)</f>
        <v>65.039112726885008</v>
      </c>
      <c r="F52" s="39">
        <f>+'FY23'!F52*(1+MYP!$K$9)</f>
        <v>76.579749726884998</v>
      </c>
      <c r="G52" s="39">
        <f>+'FY23'!G52*(1+MYP!$K$9)</f>
        <v>76.579749726884998</v>
      </c>
      <c r="H52" s="39">
        <f>+'FY23'!H52*(1+MYP!$K$9)</f>
        <v>65.039112726885008</v>
      </c>
      <c r="I52" s="39">
        <f>+'FY23'!I52*(1+MYP!$K$9)</f>
        <v>65.039112726885008</v>
      </c>
      <c r="J52" s="39">
        <f>+'FY23'!J52*(1+MYP!$K$9)</f>
        <v>65.039112726885008</v>
      </c>
      <c r="K52" s="39">
        <f>+'FY23'!K52*(1+MYP!$K$9)</f>
        <v>76.579749726884998</v>
      </c>
      <c r="L52" s="39">
        <f>+'FY23'!L52*(1+MYP!$K$9)</f>
        <v>76.579749726884998</v>
      </c>
      <c r="M52" s="39">
        <f>+'FY23'!M52*(1+MYP!$K$9)</f>
        <v>65.039112726885008</v>
      </c>
      <c r="N52" s="39">
        <f>+'FY23'!N52*(1+MYP!$K$9)</f>
        <v>65.039112726885008</v>
      </c>
      <c r="O52" s="39">
        <f>+'FY23'!O52*(1+MYP!$K$9)</f>
        <v>65.039112726885008</v>
      </c>
      <c r="P52" s="39">
        <f>+'FY23'!P52*(1+MYP!$K$9)</f>
        <v>65.039112726885008</v>
      </c>
      <c r="Q52" s="36"/>
      <c r="R52" s="41"/>
      <c r="S52" s="59">
        <f t="shared" si="17"/>
        <v>826.63190072262023</v>
      </c>
      <c r="T52" s="41"/>
      <c r="U52" s="39">
        <f>'FY23'!S52</f>
        <v>810.4234320810001</v>
      </c>
      <c r="V52" s="39">
        <f t="shared" si="18"/>
        <v>-16.208468641620129</v>
      </c>
      <c r="W52" s="39"/>
    </row>
    <row r="53" spans="3:23" s="37" customFormat="1" ht="12" x14ac:dyDescent="0.2">
      <c r="C53" s="199">
        <v>6261</v>
      </c>
      <c r="D53" s="37" t="s">
        <v>208</v>
      </c>
      <c r="E53" s="39">
        <f>+'FY23'!E53*(1+MYP!$K$9)</f>
        <v>82.774224000000004</v>
      </c>
      <c r="F53" s="39">
        <f>+'FY23'!F53*(1+MYP!$K$9)</f>
        <v>82.774224000000004</v>
      </c>
      <c r="G53" s="39">
        <f>+'FY23'!G53*(1+MYP!$K$9)</f>
        <v>82.774224000000004</v>
      </c>
      <c r="H53" s="39">
        <f>+'FY23'!H53*(1+MYP!$K$9)</f>
        <v>82.774224000000004</v>
      </c>
      <c r="I53" s="39">
        <f>+'FY23'!I53*(1+MYP!$K$9)</f>
        <v>82.774224000000004</v>
      </c>
      <c r="J53" s="39">
        <f>+'FY23'!J53*(1+MYP!$K$9)</f>
        <v>82.774224000000004</v>
      </c>
      <c r="K53" s="39">
        <f>+'FY23'!K53*(1+MYP!$K$9)</f>
        <v>82.774224000000004</v>
      </c>
      <c r="L53" s="39">
        <f>+'FY23'!L53*(1+MYP!$K$9)</f>
        <v>82.774224000000004</v>
      </c>
      <c r="M53" s="39">
        <f>+'FY23'!M53*(1+MYP!$K$9)</f>
        <v>82.774224000000004</v>
      </c>
      <c r="N53" s="39">
        <f>+'FY23'!N53*(1+MYP!$K$9)</f>
        <v>82.774224000000004</v>
      </c>
      <c r="O53" s="39">
        <f>+'FY23'!O53*(1+MYP!$K$9)</f>
        <v>82.774224000000004</v>
      </c>
      <c r="P53" s="39">
        <f>+'FY23'!P53*(1+MYP!$K$9)</f>
        <v>82.774224000000004</v>
      </c>
      <c r="Q53" s="36"/>
      <c r="R53" s="41"/>
      <c r="S53" s="59">
        <f t="shared" si="17"/>
        <v>993.29068800000005</v>
      </c>
      <c r="T53" s="41"/>
      <c r="U53" s="39">
        <f>'FY23'!S53</f>
        <v>973.81440000000009</v>
      </c>
      <c r="V53" s="39">
        <f t="shared" si="18"/>
        <v>-19.476287999999954</v>
      </c>
      <c r="W53" s="39"/>
    </row>
    <row r="54" spans="3:23" s="37" customFormat="1" ht="12" x14ac:dyDescent="0.2">
      <c r="C54" s="199">
        <v>6264</v>
      </c>
      <c r="D54" s="37" t="s">
        <v>209</v>
      </c>
      <c r="E54" s="39">
        <f>+'FY23'!E54*(1+MYP!$K$9)</f>
        <v>58.001649749999999</v>
      </c>
      <c r="F54" s="39">
        <f>+'FY23'!F54*(1+MYP!$K$9)</f>
        <v>58.001649749999999</v>
      </c>
      <c r="G54" s="39">
        <f>+'FY23'!G54*(1+MYP!$K$9)</f>
        <v>58.001649749999999</v>
      </c>
      <c r="H54" s="39">
        <f>+'FY23'!H54*(1+MYP!$K$9)</f>
        <v>58.001649749999999</v>
      </c>
      <c r="I54" s="39">
        <f>+'FY23'!I54*(1+MYP!$K$9)</f>
        <v>58.001649749999999</v>
      </c>
      <c r="J54" s="39">
        <f>+'FY23'!J54*(1+MYP!$K$9)</f>
        <v>58.001649749999999</v>
      </c>
      <c r="K54" s="39">
        <f>+'FY23'!K54*(1+MYP!$K$9)</f>
        <v>58.001649749999999</v>
      </c>
      <c r="L54" s="39">
        <f>+'FY23'!L54*(1+MYP!$K$9)</f>
        <v>58.001649749999999</v>
      </c>
      <c r="M54" s="39">
        <f>+'FY23'!M54*(1+MYP!$K$9)</f>
        <v>58.001649749999999</v>
      </c>
      <c r="N54" s="39">
        <f>+'FY23'!N54*(1+MYP!$K$9)</f>
        <v>58.001649749999999</v>
      </c>
      <c r="O54" s="39">
        <f>+'FY23'!O54*(1+MYP!$K$9)</f>
        <v>58.001649749999999</v>
      </c>
      <c r="P54" s="39">
        <f>+'FY23'!P54*(1+MYP!$K$9)</f>
        <v>58.001649749999999</v>
      </c>
      <c r="Q54" s="36"/>
      <c r="R54" s="41"/>
      <c r="S54" s="59">
        <f t="shared" si="17"/>
        <v>696.01979699999993</v>
      </c>
      <c r="T54" s="41"/>
      <c r="U54" s="39">
        <f>'FY23'!S54</f>
        <v>682.37234999999976</v>
      </c>
      <c r="V54" s="39">
        <f t="shared" si="18"/>
        <v>-13.64744700000017</v>
      </c>
      <c r="W54" s="39"/>
    </row>
    <row r="55" spans="3:23" s="37" customFormat="1" ht="12" x14ac:dyDescent="0.2">
      <c r="C55" s="199">
        <v>6267</v>
      </c>
      <c r="D55" s="37" t="s">
        <v>226</v>
      </c>
      <c r="E55" s="39">
        <f>+'FY23'!E55*(1+MYP!$K$9)</f>
        <v>110.36563200000001</v>
      </c>
      <c r="F55" s="39">
        <f>+'FY23'!F55*(1+MYP!$K$9)</f>
        <v>110.36563200000001</v>
      </c>
      <c r="G55" s="39">
        <f>+'FY23'!G55*(1+MYP!$K$9)</f>
        <v>110.36563200000001</v>
      </c>
      <c r="H55" s="39">
        <f>+'FY23'!H55*(1+MYP!$K$9)</f>
        <v>110.36563200000001</v>
      </c>
      <c r="I55" s="39">
        <f>+'FY23'!I55*(1+MYP!$K$9)</f>
        <v>110.36563200000001</v>
      </c>
      <c r="J55" s="39">
        <f>+'FY23'!J55*(1+MYP!$K$9)</f>
        <v>110.36563200000001</v>
      </c>
      <c r="K55" s="39">
        <f>+'FY23'!K55*(1+MYP!$K$9)</f>
        <v>110.36563200000001</v>
      </c>
      <c r="L55" s="39">
        <f>+'FY23'!L55*(1+MYP!$K$9)</f>
        <v>110.36563200000001</v>
      </c>
      <c r="M55" s="39">
        <f>+'FY23'!M55*(1+MYP!$K$9)</f>
        <v>110.36563200000001</v>
      </c>
      <c r="N55" s="39">
        <f>+'FY23'!N55*(1+MYP!$K$9)</f>
        <v>110.36563200000001</v>
      </c>
      <c r="O55" s="39">
        <f>+'FY23'!O55*(1+MYP!$K$9)</f>
        <v>110.36563200000001</v>
      </c>
      <c r="P55" s="39">
        <f>+'FY23'!P55*(1+MYP!$K$9)</f>
        <v>110.36563200000001</v>
      </c>
      <c r="Q55" s="36"/>
      <c r="R55" s="41"/>
      <c r="S55" s="59">
        <f t="shared" si="17"/>
        <v>1324.3875840000001</v>
      </c>
      <c r="T55" s="41"/>
      <c r="U55" s="39">
        <f>'FY23'!S55</f>
        <v>1298.4192000000003</v>
      </c>
      <c r="V55" s="39">
        <f t="shared" si="18"/>
        <v>-25.968383999999787</v>
      </c>
      <c r="W55" s="39"/>
    </row>
    <row r="56" spans="3:23" s="37" customFormat="1" ht="12" x14ac:dyDescent="0.2">
      <c r="C56" s="199">
        <v>6271</v>
      </c>
      <c r="D56" s="37" t="s">
        <v>210</v>
      </c>
      <c r="E56" s="39">
        <f>+'FY23'!E56*(1+MYP!$K$9)</f>
        <v>42.809016242187006</v>
      </c>
      <c r="F56" s="39">
        <f>+'FY23'!F56*(1+MYP!$K$9)</f>
        <v>42.809016242187006</v>
      </c>
      <c r="G56" s="39">
        <f>+'FY23'!G56*(1+MYP!$K$9)</f>
        <v>42.809016242187006</v>
      </c>
      <c r="H56" s="39">
        <f>+'FY23'!H56*(1+MYP!$K$9)</f>
        <v>42.809016242187006</v>
      </c>
      <c r="I56" s="39">
        <f>+'FY23'!I56*(1+MYP!$K$9)</f>
        <v>42.809016242187006</v>
      </c>
      <c r="J56" s="39">
        <f>+'FY23'!J56*(1+MYP!$K$9)</f>
        <v>42.809016242187006</v>
      </c>
      <c r="K56" s="39">
        <f>+'FY23'!K56*(1+MYP!$K$9)</f>
        <v>42.809016242187006</v>
      </c>
      <c r="L56" s="39">
        <f>+'FY23'!L56*(1+MYP!$K$9)</f>
        <v>42.809016242187006</v>
      </c>
      <c r="M56" s="39">
        <f>+'FY23'!M56*(1+MYP!$K$9)</f>
        <v>42.809016242187006</v>
      </c>
      <c r="N56" s="39">
        <f>+'FY23'!N56*(1+MYP!$K$9)</f>
        <v>42.809016242187006</v>
      </c>
      <c r="O56" s="39">
        <f>+'FY23'!O56*(1+MYP!$K$9)</f>
        <v>42.809016242187006</v>
      </c>
      <c r="P56" s="39">
        <f>+'FY23'!P56*(1+MYP!$K$9)</f>
        <v>42.809016242187006</v>
      </c>
      <c r="Q56" s="36"/>
      <c r="R56" s="41"/>
      <c r="S56" s="59">
        <f t="shared" si="17"/>
        <v>513.7081949062441</v>
      </c>
      <c r="T56" s="41"/>
      <c r="U56" s="39">
        <f>'FY23'!S56</f>
        <v>503.63548520220019</v>
      </c>
      <c r="V56" s="39">
        <f t="shared" si="18"/>
        <v>-10.072709704043916</v>
      </c>
      <c r="W56" s="39"/>
    </row>
    <row r="57" spans="3:23" s="37" customFormat="1" ht="12" x14ac:dyDescent="0.2">
      <c r="C57" s="199">
        <v>6274</v>
      </c>
      <c r="D57" s="37" t="s">
        <v>211</v>
      </c>
      <c r="E57" s="39">
        <f>+'FY23'!E57*(1+MYP!$K$9)</f>
        <v>13.4809895025</v>
      </c>
      <c r="F57" s="39">
        <f>+'FY23'!F57*(1+MYP!$K$9)</f>
        <v>13.4809895025</v>
      </c>
      <c r="G57" s="39">
        <f>+'FY23'!G57*(1+MYP!$K$9)</f>
        <v>13.4809895025</v>
      </c>
      <c r="H57" s="39">
        <f>+'FY23'!H57*(1+MYP!$K$9)</f>
        <v>13.4809895025</v>
      </c>
      <c r="I57" s="39">
        <f>+'FY23'!I57*(1+MYP!$K$9)</f>
        <v>13.4809895025</v>
      </c>
      <c r="J57" s="39">
        <f>+'FY23'!J57*(1+MYP!$K$9)</f>
        <v>13.4809895025</v>
      </c>
      <c r="K57" s="39">
        <f>+'FY23'!K57*(1+MYP!$K$9)</f>
        <v>13.4809895025</v>
      </c>
      <c r="L57" s="39">
        <f>+'FY23'!L57*(1+MYP!$K$9)</f>
        <v>13.4809895025</v>
      </c>
      <c r="M57" s="39">
        <f>+'FY23'!M57*(1+MYP!$K$9)</f>
        <v>13.4809895025</v>
      </c>
      <c r="N57" s="39">
        <f>+'FY23'!N57*(1+MYP!$K$9)</f>
        <v>13.4809895025</v>
      </c>
      <c r="O57" s="39">
        <f>+'FY23'!O57*(1+MYP!$K$9)</f>
        <v>13.4809895025</v>
      </c>
      <c r="P57" s="39">
        <f>+'FY23'!P57*(1+MYP!$K$9)</f>
        <v>13.4809895025</v>
      </c>
      <c r="Q57" s="36"/>
      <c r="R57" s="41"/>
      <c r="S57" s="59">
        <f t="shared" si="17"/>
        <v>161.77187402999996</v>
      </c>
      <c r="T57" s="41"/>
      <c r="U57" s="39">
        <f>'FY23'!S57</f>
        <v>158.59987649999999</v>
      </c>
      <c r="V57" s="39">
        <f t="shared" si="18"/>
        <v>-3.1719975299999703</v>
      </c>
      <c r="W57" s="39"/>
    </row>
    <row r="58" spans="3:23" s="37" customFormat="1" ht="12" x14ac:dyDescent="0.2">
      <c r="C58" s="199">
        <v>6277</v>
      </c>
      <c r="D58" s="37" t="s">
        <v>227</v>
      </c>
      <c r="E58" s="39">
        <f>+'FY23'!E58*(1+MYP!$K$9)</f>
        <v>30.879927325844996</v>
      </c>
      <c r="F58" s="39">
        <f>+'FY23'!F58*(1+MYP!$K$9)</f>
        <v>30.879927325844996</v>
      </c>
      <c r="G58" s="39">
        <f>+'FY23'!G58*(1+MYP!$K$9)</f>
        <v>30.879927325844996</v>
      </c>
      <c r="H58" s="39">
        <f>+'FY23'!H58*(1+MYP!$K$9)</f>
        <v>30.879927325844996</v>
      </c>
      <c r="I58" s="39">
        <f>+'FY23'!I58*(1+MYP!$K$9)</f>
        <v>30.879927325844996</v>
      </c>
      <c r="J58" s="39">
        <f>+'FY23'!J58*(1+MYP!$K$9)</f>
        <v>30.879927325844996</v>
      </c>
      <c r="K58" s="39">
        <f>+'FY23'!K58*(1+MYP!$K$9)</f>
        <v>30.879927325844996</v>
      </c>
      <c r="L58" s="39">
        <f>+'FY23'!L58*(1+MYP!$K$9)</f>
        <v>30.879927325844996</v>
      </c>
      <c r="M58" s="39">
        <f>+'FY23'!M58*(1+MYP!$K$9)</f>
        <v>30.879927325844996</v>
      </c>
      <c r="N58" s="39">
        <f>+'FY23'!N58*(1+MYP!$K$9)</f>
        <v>30.879927325844996</v>
      </c>
      <c r="O58" s="39">
        <f>+'FY23'!O58*(1+MYP!$K$9)</f>
        <v>30.879927325844996</v>
      </c>
      <c r="P58" s="39">
        <f>+'FY23'!P58*(1+MYP!$K$9)</f>
        <v>30.879927325844996</v>
      </c>
      <c r="Q58" s="36"/>
      <c r="R58" s="41"/>
      <c r="S58" s="59">
        <f t="shared" si="17"/>
        <v>370.55912791013998</v>
      </c>
      <c r="T58" s="41"/>
      <c r="U58" s="39">
        <f>'FY23'!S58</f>
        <v>363.29326265700001</v>
      </c>
      <c r="V58" s="39">
        <f t="shared" si="18"/>
        <v>-7.2658652531399639</v>
      </c>
      <c r="W58" s="39"/>
    </row>
    <row r="59" spans="3:23" s="37" customFormat="1" ht="12" x14ac:dyDescent="0.2">
      <c r="C59" s="199">
        <v>6281</v>
      </c>
      <c r="D59" s="37" t="s">
        <v>194</v>
      </c>
      <c r="E59" s="39">
        <f>+'FY23'!E59*(1+MYP!$K$9)</f>
        <v>429.78924000000001</v>
      </c>
      <c r="F59" s="39">
        <f>+'FY23'!F59*(1+MYP!$K$9)</f>
        <v>429.78924000000001</v>
      </c>
      <c r="G59" s="39">
        <f>+'FY23'!G59*(1+MYP!$K$9)</f>
        <v>429.78924000000001</v>
      </c>
      <c r="H59" s="39">
        <f>+'FY23'!H59*(1+MYP!$K$9)</f>
        <v>429.78924000000001</v>
      </c>
      <c r="I59" s="39">
        <f>+'FY23'!I59*(1+MYP!$K$9)</f>
        <v>429.78924000000001</v>
      </c>
      <c r="J59" s="39">
        <f>+'FY23'!J59*(1+MYP!$K$9)</f>
        <v>429.78924000000001</v>
      </c>
      <c r="K59" s="39">
        <f>+'FY23'!K59*(1+MYP!$K$9)</f>
        <v>429.78924000000001</v>
      </c>
      <c r="L59" s="39">
        <f>+'FY23'!L59*(1+MYP!$K$9)</f>
        <v>429.78924000000001</v>
      </c>
      <c r="M59" s="39">
        <f>+'FY23'!M59*(1+MYP!$K$9)</f>
        <v>429.78924000000001</v>
      </c>
      <c r="N59" s="39">
        <f>+'FY23'!N59*(1+MYP!$K$9)</f>
        <v>429.78924000000001</v>
      </c>
      <c r="O59" s="39">
        <f>+'FY23'!O59*(1+MYP!$K$9)</f>
        <v>429.78924000000001</v>
      </c>
      <c r="P59" s="39">
        <f>+'FY23'!P59*(1+MYP!$K$9)</f>
        <v>429.78924000000001</v>
      </c>
      <c r="Q59" s="36"/>
      <c r="R59" s="41"/>
      <c r="S59" s="59">
        <f t="shared" si="17"/>
        <v>5157.4708799999999</v>
      </c>
      <c r="T59" s="41"/>
      <c r="U59" s="39">
        <f>'FY23'!S59</f>
        <v>5056.3440000000001</v>
      </c>
      <c r="V59" s="39">
        <f t="shared" si="18"/>
        <v>-101.1268799999998</v>
      </c>
      <c r="W59" s="39"/>
    </row>
    <row r="60" spans="3:23" s="37" customFormat="1" ht="12" x14ac:dyDescent="0.2">
      <c r="C60" s="199">
        <v>6284</v>
      </c>
      <c r="D60" s="37" t="s">
        <v>195</v>
      </c>
      <c r="E60" s="39">
        <f>+'FY23'!E60*(1+MYP!$K$9)</f>
        <v>107.44731</v>
      </c>
      <c r="F60" s="39">
        <f>+'FY23'!F60*(1+MYP!$K$9)</f>
        <v>107.44731</v>
      </c>
      <c r="G60" s="39">
        <f>+'FY23'!G60*(1+MYP!$K$9)</f>
        <v>107.44731</v>
      </c>
      <c r="H60" s="39">
        <f>+'FY23'!H60*(1+MYP!$K$9)</f>
        <v>107.44731</v>
      </c>
      <c r="I60" s="39">
        <f>+'FY23'!I60*(1+MYP!$K$9)</f>
        <v>107.44731</v>
      </c>
      <c r="J60" s="39">
        <f>+'FY23'!J60*(1+MYP!$K$9)</f>
        <v>107.44731</v>
      </c>
      <c r="K60" s="39">
        <f>+'FY23'!K60*(1+MYP!$K$9)</f>
        <v>107.44731</v>
      </c>
      <c r="L60" s="39">
        <f>+'FY23'!L60*(1+MYP!$K$9)</f>
        <v>107.44731</v>
      </c>
      <c r="M60" s="39">
        <f>+'FY23'!M60*(1+MYP!$K$9)</f>
        <v>107.44731</v>
      </c>
      <c r="N60" s="39">
        <f>+'FY23'!N60*(1+MYP!$K$9)</f>
        <v>107.44731</v>
      </c>
      <c r="O60" s="39">
        <f>+'FY23'!O60*(1+MYP!$K$9)</f>
        <v>107.44731</v>
      </c>
      <c r="P60" s="39">
        <f>+'FY23'!P60*(1+MYP!$K$9)</f>
        <v>107.44731</v>
      </c>
      <c r="Q60" s="98"/>
      <c r="R60" s="41"/>
      <c r="S60" s="59">
        <f t="shared" si="17"/>
        <v>1289.36772</v>
      </c>
      <c r="T60" s="41"/>
      <c r="U60" s="39">
        <f>'FY23'!S60</f>
        <v>1264.086</v>
      </c>
      <c r="V60" s="39">
        <f t="shared" si="18"/>
        <v>-25.28171999999995</v>
      </c>
      <c r="W60" s="39"/>
    </row>
    <row r="61" spans="3:23" s="37" customFormat="1" ht="12" x14ac:dyDescent="0.2">
      <c r="C61" s="199">
        <v>6287</v>
      </c>
      <c r="D61" s="37" t="s">
        <v>228</v>
      </c>
      <c r="E61" s="39">
        <f>+'FY23'!E61*(1+MYP!$K$9)</f>
        <v>429.78924000000001</v>
      </c>
      <c r="F61" s="39">
        <f>+'FY23'!F61*(1+MYP!$K$9)</f>
        <v>429.78924000000001</v>
      </c>
      <c r="G61" s="39">
        <f>+'FY23'!G61*(1+MYP!$K$9)</f>
        <v>429.78924000000001</v>
      </c>
      <c r="H61" s="39">
        <f>+'FY23'!H61*(1+MYP!$K$9)</f>
        <v>429.78924000000001</v>
      </c>
      <c r="I61" s="39">
        <f>+'FY23'!I61*(1+MYP!$K$9)</f>
        <v>429.78924000000001</v>
      </c>
      <c r="J61" s="39">
        <f>+'FY23'!J61*(1+MYP!$K$9)</f>
        <v>429.78924000000001</v>
      </c>
      <c r="K61" s="39">
        <f>+'FY23'!K61*(1+MYP!$K$9)</f>
        <v>429.78924000000001</v>
      </c>
      <c r="L61" s="39">
        <f>+'FY23'!L61*(1+MYP!$K$9)</f>
        <v>429.78924000000001</v>
      </c>
      <c r="M61" s="39">
        <f>+'FY23'!M61*(1+MYP!$K$9)</f>
        <v>429.78924000000001</v>
      </c>
      <c r="N61" s="39">
        <f>+'FY23'!N61*(1+MYP!$K$9)</f>
        <v>429.78924000000001</v>
      </c>
      <c r="O61" s="39">
        <f>+'FY23'!O61*(1+MYP!$K$9)</f>
        <v>429.78924000000001</v>
      </c>
      <c r="P61" s="39">
        <f>+'FY23'!P61*(1+MYP!$K$9)</f>
        <v>429.78924000000001</v>
      </c>
      <c r="Q61" s="98"/>
      <c r="R61" s="41"/>
      <c r="S61" s="59">
        <f t="shared" si="17"/>
        <v>5157.4708799999999</v>
      </c>
      <c r="T61" s="41"/>
      <c r="U61" s="39">
        <f>'FY23'!S61</f>
        <v>5056.3440000000001</v>
      </c>
      <c r="V61" s="39">
        <f t="shared" si="18"/>
        <v>-101.1268799999998</v>
      </c>
      <c r="W61" s="39"/>
    </row>
    <row r="62" spans="3:23" s="37" customFormat="1" ht="12" x14ac:dyDescent="0.2">
      <c r="C62" s="38"/>
      <c r="E62" s="50">
        <f t="shared" ref="E62:P62" si="19">SUBTOTAL(9,E43:E61)</f>
        <v>3690.9048998665089</v>
      </c>
      <c r="F62" s="50">
        <f t="shared" si="19"/>
        <v>3715.371050306509</v>
      </c>
      <c r="G62" s="50">
        <f t="shared" si="19"/>
        <v>3715.371050306509</v>
      </c>
      <c r="H62" s="50">
        <f t="shared" si="19"/>
        <v>3703.8304133065089</v>
      </c>
      <c r="I62" s="50">
        <f t="shared" si="19"/>
        <v>3690.9048998665089</v>
      </c>
      <c r="J62" s="50">
        <f t="shared" si="19"/>
        <v>3690.9048998665089</v>
      </c>
      <c r="K62" s="50">
        <f t="shared" si="19"/>
        <v>3702.445536866509</v>
      </c>
      <c r="L62" s="50">
        <f t="shared" si="19"/>
        <v>3715.371050306509</v>
      </c>
      <c r="M62" s="50">
        <f t="shared" si="19"/>
        <v>3716.755926746509</v>
      </c>
      <c r="N62" s="50">
        <f t="shared" si="19"/>
        <v>3690.9048998665089</v>
      </c>
      <c r="O62" s="50">
        <f t="shared" si="19"/>
        <v>3690.9048998665089</v>
      </c>
      <c r="P62" s="50">
        <f t="shared" si="19"/>
        <v>3702.445536866509</v>
      </c>
      <c r="Q62" s="99"/>
      <c r="R62" s="41"/>
      <c r="S62" s="61">
        <f>SUBTOTAL(9,S43:S61)</f>
        <v>44426.115064038102</v>
      </c>
      <c r="T62" s="41"/>
      <c r="U62" s="50">
        <f>SUBTOTAL(9,U43:U61)</f>
        <v>43555.014768664798</v>
      </c>
      <c r="V62" s="50">
        <f>SUBTOTAL(9,V43:V61)</f>
        <v>-871.10029537330274</v>
      </c>
      <c r="W62" s="39"/>
    </row>
    <row r="63" spans="3:23" s="37" customFormat="1" ht="12" x14ac:dyDescent="0.2">
      <c r="C63" s="49" t="s">
        <v>9</v>
      </c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100"/>
      <c r="R63" s="41"/>
      <c r="S63" s="59"/>
      <c r="T63" s="41"/>
      <c r="U63" s="39"/>
      <c r="V63" s="39"/>
      <c r="W63" s="39"/>
    </row>
    <row r="64" spans="3:23" s="37" customFormat="1" ht="12" x14ac:dyDescent="0.2">
      <c r="C64" s="199">
        <v>6300</v>
      </c>
      <c r="D64" s="37" t="s">
        <v>9</v>
      </c>
      <c r="E64" s="39">
        <v>4321.5</v>
      </c>
      <c r="F64" s="39">
        <f>+'FY23'!F64*(1+MYP!$K$10)</f>
        <v>102.93717600000001</v>
      </c>
      <c r="G64" s="39">
        <f>+'FY23'!G64*(1+MYP!$K$10)</f>
        <v>102.93717600000001</v>
      </c>
      <c r="H64" s="39">
        <f>+'FY23'!H64*(1+MYP!$K$10)</f>
        <v>102.93717600000001</v>
      </c>
      <c r="I64" s="39">
        <f>+'FY23'!I64*(1+MYP!$K$10)</f>
        <v>102.93717600000001</v>
      </c>
      <c r="J64" s="39">
        <f>+'FY23'!J64*(1+MYP!$K$10)</f>
        <v>102.93717600000001</v>
      </c>
      <c r="K64" s="39">
        <f>+'FY23'!K64*(1+MYP!$K$10)</f>
        <v>102.93717600000001</v>
      </c>
      <c r="L64" s="39">
        <f>+'FY23'!L64*(1+MYP!$K$10)</f>
        <v>102.93717600000001</v>
      </c>
      <c r="M64" s="39">
        <f>+'FY23'!M64*(1+MYP!$K$10)</f>
        <v>102.93717600000001</v>
      </c>
      <c r="N64" s="39">
        <f>+'FY23'!N64*(1+MYP!$K$10)</f>
        <v>102.93717600000001</v>
      </c>
      <c r="O64" s="39">
        <f>+'FY23'!O64*(1+MYP!$K$10)</f>
        <v>102.93717600000001</v>
      </c>
      <c r="P64" s="39">
        <f>+'FY23'!P64*(1+MYP!$K$10)</f>
        <v>102.93717600000001</v>
      </c>
      <c r="Q64" s="100"/>
      <c r="R64" s="41"/>
      <c r="S64" s="59">
        <f t="shared" ref="S64:S73" si="20">SUM(E64:Q64)</f>
        <v>5453.808936000004</v>
      </c>
      <c r="T64" s="41"/>
      <c r="U64" s="39">
        <f>'FY23'!S64</f>
        <v>5431.6068000000041</v>
      </c>
      <c r="V64" s="39">
        <f t="shared" ref="V64:V73" si="21">U64-S64</f>
        <v>-22.202135999999882</v>
      </c>
      <c r="W64" s="39"/>
    </row>
    <row r="65" spans="3:23" s="37" customFormat="1" ht="12" x14ac:dyDescent="0.2">
      <c r="C65" s="199">
        <v>6320</v>
      </c>
      <c r="D65" s="37" t="s">
        <v>10</v>
      </c>
      <c r="E65" s="39">
        <f>+'FY23'!E65*(1+MYP!$K$10)</f>
        <v>88.433999999999997</v>
      </c>
      <c r="F65" s="39">
        <f>+'FY23'!F65*(1+MYP!$K$10)</f>
        <v>88.433999999999997</v>
      </c>
      <c r="G65" s="39">
        <f>+'FY23'!G65*(1+MYP!$K$10)</f>
        <v>88.433999999999997</v>
      </c>
      <c r="H65" s="39">
        <f>+'FY23'!H65*(1+MYP!$K$10)</f>
        <v>88.433999999999997</v>
      </c>
      <c r="I65" s="39">
        <f>+'FY23'!I65*(1+MYP!$K$10)</f>
        <v>88.433999999999997</v>
      </c>
      <c r="J65" s="39">
        <f>+'FY23'!J65*(1+MYP!$K$10)</f>
        <v>88.433999999999997</v>
      </c>
      <c r="K65" s="39">
        <f>+'FY23'!K65*(1+MYP!$K$10)</f>
        <v>88.433999999999997</v>
      </c>
      <c r="L65" s="39">
        <f>+'FY23'!L65*(1+MYP!$K$10)</f>
        <v>88.433999999999997</v>
      </c>
      <c r="M65" s="39">
        <f>+'FY23'!M65*(1+MYP!$K$10)</f>
        <v>88.433999999999997</v>
      </c>
      <c r="N65" s="39">
        <f>+'FY23'!N65*(1+MYP!$K$10)</f>
        <v>88.433999999999997</v>
      </c>
      <c r="O65" s="39">
        <f>+'FY23'!O65*(1+MYP!$K$10)</f>
        <v>88.433999999999997</v>
      </c>
      <c r="P65" s="39">
        <f>+'FY23'!P65*(1+MYP!$K$10)</f>
        <v>88.433999999999997</v>
      </c>
      <c r="Q65" s="100"/>
      <c r="R65" s="41"/>
      <c r="S65" s="59">
        <f t="shared" si="20"/>
        <v>1061.2079999999999</v>
      </c>
      <c r="T65" s="41"/>
      <c r="U65" s="39">
        <f>'FY23'!S65</f>
        <v>1040.4000000000003</v>
      </c>
      <c r="V65" s="39">
        <f t="shared" si="21"/>
        <v>-20.807999999999538</v>
      </c>
      <c r="W65" s="39"/>
    </row>
    <row r="66" spans="3:23" s="37" customFormat="1" ht="12" x14ac:dyDescent="0.2">
      <c r="C66" s="199">
        <v>6331</v>
      </c>
      <c r="D66" s="37" t="s">
        <v>11</v>
      </c>
      <c r="E66" s="39">
        <f>+'FY23'!E66*(1+MYP!$K$10)</f>
        <v>44.216999999999999</v>
      </c>
      <c r="F66" s="39">
        <f>+'FY23'!F66*(1+MYP!$K$10)</f>
        <v>44.216999999999999</v>
      </c>
      <c r="G66" s="39">
        <f>+'FY23'!G66*(1+MYP!$K$10)</f>
        <v>44.216999999999999</v>
      </c>
      <c r="H66" s="39">
        <f>+'FY23'!H66*(1+MYP!$K$10)</f>
        <v>44.216999999999999</v>
      </c>
      <c r="I66" s="39">
        <f>+'FY23'!I66*(1+MYP!$K$10)</f>
        <v>44.216999999999999</v>
      </c>
      <c r="J66" s="39">
        <f>+'FY23'!J66*(1+MYP!$K$10)</f>
        <v>44.216999999999999</v>
      </c>
      <c r="K66" s="39">
        <f>+'FY23'!K66*(1+MYP!$K$10)</f>
        <v>44.216999999999999</v>
      </c>
      <c r="L66" s="39">
        <f>+'FY23'!L66*(1+MYP!$K$10)</f>
        <v>44.216999999999999</v>
      </c>
      <c r="M66" s="39">
        <f>+'FY23'!M66*(1+MYP!$K$10)</f>
        <v>44.216999999999999</v>
      </c>
      <c r="N66" s="39">
        <f>+'FY23'!N66*(1+MYP!$K$10)</f>
        <v>44.216999999999999</v>
      </c>
      <c r="O66" s="39">
        <f>+'FY23'!O66*(1+MYP!$K$10)</f>
        <v>44.216999999999999</v>
      </c>
      <c r="P66" s="39">
        <f>+'FY23'!P66*(1+MYP!$K$10)</f>
        <v>44.216999999999999</v>
      </c>
      <c r="Q66" s="100"/>
      <c r="R66" s="41"/>
      <c r="S66" s="59">
        <f t="shared" si="20"/>
        <v>530.60399999999993</v>
      </c>
      <c r="T66" s="41"/>
      <c r="U66" s="39">
        <f>'FY23'!S66</f>
        <v>520.20000000000016</v>
      </c>
      <c r="V66" s="39">
        <f t="shared" si="21"/>
        <v>-10.403999999999769</v>
      </c>
      <c r="W66" s="39"/>
    </row>
    <row r="67" spans="3:23" s="37" customFormat="1" ht="12" x14ac:dyDescent="0.2">
      <c r="C67" s="199">
        <v>6334</v>
      </c>
      <c r="D67" s="37" t="s">
        <v>12</v>
      </c>
      <c r="E67" s="39">
        <f>+'FY23'!E67*(1+MYP!$K$10)</f>
        <v>0</v>
      </c>
      <c r="F67" s="39">
        <f>+'FY23'!F67*(1+MYP!$K$10)</f>
        <v>0</v>
      </c>
      <c r="G67" s="39">
        <f>+'FY23'!G67*(1+MYP!$K$10)</f>
        <v>0</v>
      </c>
      <c r="H67" s="39">
        <f>+'FY23'!H67*(1+MYP!$K$10)</f>
        <v>0</v>
      </c>
      <c r="I67" s="39">
        <f>+'FY23'!I67*(1+MYP!$K$10)</f>
        <v>0</v>
      </c>
      <c r="J67" s="39">
        <f>+'FY23'!J67*(1+MYP!$K$10)</f>
        <v>0</v>
      </c>
      <c r="K67" s="39">
        <f>+'FY23'!K67*(1+MYP!$K$10)</f>
        <v>0</v>
      </c>
      <c r="L67" s="39">
        <f>+'FY23'!L67*(1+MYP!$K$10)</f>
        <v>0</v>
      </c>
      <c r="M67" s="39">
        <f>+'FY23'!M67*(1+MYP!$K$10)</f>
        <v>0</v>
      </c>
      <c r="N67" s="39">
        <f>+'FY23'!N67*(1+MYP!$K$10)</f>
        <v>0</v>
      </c>
      <c r="O67" s="39">
        <f>+'FY23'!O67*(1+MYP!$K$10)</f>
        <v>0</v>
      </c>
      <c r="P67" s="39">
        <f>+'FY23'!P67*(1+MYP!$K$10)</f>
        <v>0</v>
      </c>
      <c r="Q67" s="100"/>
      <c r="R67" s="41"/>
      <c r="S67" s="59">
        <f t="shared" si="20"/>
        <v>0</v>
      </c>
      <c r="T67" s="41"/>
      <c r="U67" s="39">
        <f>'FY23'!S67</f>
        <v>0</v>
      </c>
      <c r="V67" s="39">
        <f t="shared" si="21"/>
        <v>0</v>
      </c>
      <c r="W67" s="39"/>
    </row>
    <row r="68" spans="3:23" s="37" customFormat="1" ht="12" x14ac:dyDescent="0.2">
      <c r="C68" s="199">
        <v>6336</v>
      </c>
      <c r="D68" s="37" t="s">
        <v>13</v>
      </c>
      <c r="E68" s="39">
        <f>+'FY23'!E68*(1+MYP!$K$10)</f>
        <v>0</v>
      </c>
      <c r="F68" s="39">
        <f>+'FY23'!F68*(1+MYP!$K$10)</f>
        <v>0</v>
      </c>
      <c r="G68" s="39">
        <f>+'FY23'!G68*(1+MYP!$K$10)</f>
        <v>0</v>
      </c>
      <c r="H68" s="39">
        <f>+'FY23'!H68*(1+MYP!$K$10)</f>
        <v>0</v>
      </c>
      <c r="I68" s="39">
        <f>+'FY23'!I68*(1+MYP!$K$10)</f>
        <v>0</v>
      </c>
      <c r="J68" s="39">
        <f>+'FY23'!J68*(1+MYP!$K$10)</f>
        <v>0</v>
      </c>
      <c r="K68" s="39">
        <f>+'FY23'!K68*(1+MYP!$K$10)</f>
        <v>0</v>
      </c>
      <c r="L68" s="39">
        <f>+'FY23'!L68*(1+MYP!$K$10)</f>
        <v>0</v>
      </c>
      <c r="M68" s="39">
        <f>+'FY23'!M68*(1+MYP!$K$10)</f>
        <v>0</v>
      </c>
      <c r="N68" s="39">
        <f>+'FY23'!N68*(1+MYP!$K$10)</f>
        <v>0</v>
      </c>
      <c r="O68" s="39">
        <f>+'FY23'!O68*(1+MYP!$K$10)</f>
        <v>0</v>
      </c>
      <c r="P68" s="39">
        <f>+'FY23'!P68*(1+MYP!$K$10)</f>
        <v>0</v>
      </c>
      <c r="Q68" s="100"/>
      <c r="R68" s="41"/>
      <c r="S68" s="59">
        <f t="shared" si="20"/>
        <v>0</v>
      </c>
      <c r="T68" s="41"/>
      <c r="U68" s="39">
        <f>'FY23'!S68</f>
        <v>0</v>
      </c>
      <c r="V68" s="39">
        <f t="shared" si="21"/>
        <v>0</v>
      </c>
      <c r="W68" s="39"/>
    </row>
    <row r="69" spans="3:23" s="37" customFormat="1" ht="12" x14ac:dyDescent="0.2">
      <c r="C69" s="199">
        <v>6337</v>
      </c>
      <c r="D69" s="37" t="s">
        <v>14</v>
      </c>
      <c r="E69" s="39">
        <f>+'FY23'!E69*(1+MYP!$K$10)</f>
        <v>44.216999999999999</v>
      </c>
      <c r="F69" s="39">
        <f>+'FY23'!F69*(1+MYP!$K$10)</f>
        <v>44.216999999999999</v>
      </c>
      <c r="G69" s="39">
        <f>+'FY23'!G69*(1+MYP!$K$10)</f>
        <v>44.216999999999999</v>
      </c>
      <c r="H69" s="39">
        <f>+'FY23'!H69*(1+MYP!$K$10)</f>
        <v>44.216999999999999</v>
      </c>
      <c r="I69" s="39">
        <f>+'FY23'!I69*(1+MYP!$K$10)</f>
        <v>44.216999999999999</v>
      </c>
      <c r="J69" s="39">
        <f>+'FY23'!J69*(1+MYP!$K$10)</f>
        <v>44.216999999999999</v>
      </c>
      <c r="K69" s="39">
        <f>+'FY23'!K69*(1+MYP!$K$10)</f>
        <v>44.216999999999999</v>
      </c>
      <c r="L69" s="39">
        <f>+'FY23'!L69*(1+MYP!$K$10)</f>
        <v>44.216999999999999</v>
      </c>
      <c r="M69" s="39">
        <f>+'FY23'!M69*(1+MYP!$K$10)</f>
        <v>44.216999999999999</v>
      </c>
      <c r="N69" s="39">
        <f>+'FY23'!N69*(1+MYP!$K$10)</f>
        <v>44.216999999999999</v>
      </c>
      <c r="O69" s="39">
        <f>+'FY23'!O69*(1+MYP!$K$10)</f>
        <v>44.216999999999999</v>
      </c>
      <c r="P69" s="39">
        <f>+'FY23'!P69*(1+MYP!$K$10)</f>
        <v>44.216999999999999</v>
      </c>
      <c r="Q69" s="100"/>
      <c r="R69" s="41"/>
      <c r="S69" s="59">
        <f t="shared" si="20"/>
        <v>530.60399999999993</v>
      </c>
      <c r="T69" s="41"/>
      <c r="U69" s="39">
        <f>'FY23'!S69</f>
        <v>520.20000000000016</v>
      </c>
      <c r="V69" s="39">
        <f t="shared" si="21"/>
        <v>-10.403999999999769</v>
      </c>
      <c r="W69" s="39"/>
    </row>
    <row r="70" spans="3:23" s="37" customFormat="1" ht="12" x14ac:dyDescent="0.2">
      <c r="C70" s="199">
        <v>6340</v>
      </c>
      <c r="D70" s="37" t="s">
        <v>15</v>
      </c>
      <c r="E70" s="39">
        <f>+'FY23'!E70*(1+MYP!$K$10)</f>
        <v>840.47673600000007</v>
      </c>
      <c r="F70" s="39">
        <f>+'FY23'!F70*(1+MYP!$K$10)</f>
        <v>840.47673600000007</v>
      </c>
      <c r="G70" s="39">
        <f>+'FY23'!G70*(1+MYP!$K$10)</f>
        <v>840.47673600000007</v>
      </c>
      <c r="H70" s="39">
        <f>+'FY23'!H70*(1+MYP!$K$10)</f>
        <v>840.47673600000007</v>
      </c>
      <c r="I70" s="39">
        <f>+'FY23'!I70*(1+MYP!$K$10)</f>
        <v>840.47673600000007</v>
      </c>
      <c r="J70" s="39">
        <f>+'FY23'!J70*(1+MYP!$K$10)</f>
        <v>840.47673600000007</v>
      </c>
      <c r="K70" s="39">
        <f>+'FY23'!K70*(1+MYP!$K$10)</f>
        <v>840.47673600000007</v>
      </c>
      <c r="L70" s="39">
        <f>+'FY23'!L70*(1+MYP!$K$10)</f>
        <v>840.47673600000007</v>
      </c>
      <c r="M70" s="39">
        <f>+'FY23'!M70*(1+MYP!$K$10)</f>
        <v>840.47673600000007</v>
      </c>
      <c r="N70" s="39">
        <f>+'FY23'!N70*(1+MYP!$K$10)</f>
        <v>840.47673600000007</v>
      </c>
      <c r="O70" s="39">
        <f>+'FY23'!O70*(1+MYP!$K$10)</f>
        <v>840.47673600000007</v>
      </c>
      <c r="P70" s="39">
        <f>+'FY23'!P70*(1+MYP!$K$10)</f>
        <v>840.47673600000007</v>
      </c>
      <c r="Q70" s="100"/>
      <c r="R70" s="41"/>
      <c r="S70" s="59">
        <f t="shared" si="20"/>
        <v>10085.720832000005</v>
      </c>
      <c r="T70" s="41"/>
      <c r="U70" s="39">
        <f>'FY23'!S70</f>
        <v>9887.9616000000024</v>
      </c>
      <c r="V70" s="39">
        <f t="shared" si="21"/>
        <v>-197.75923200000216</v>
      </c>
      <c r="W70" s="39"/>
    </row>
    <row r="71" spans="3:23" s="37" customFormat="1" ht="12" x14ac:dyDescent="0.2">
      <c r="C71" s="199">
        <v>6345</v>
      </c>
      <c r="D71" s="37" t="s">
        <v>16</v>
      </c>
      <c r="E71" s="39">
        <f>+'FY23'!E71*(1+MYP!$K$10)</f>
        <v>0</v>
      </c>
      <c r="F71" s="39">
        <f>+'FY23'!F71*(1+MYP!$K$10)</f>
        <v>0</v>
      </c>
      <c r="G71" s="39">
        <f>+'FY23'!G71*(1+MYP!$K$10)</f>
        <v>0</v>
      </c>
      <c r="H71" s="39">
        <f>+'FY23'!H71*(1+MYP!$K$10)</f>
        <v>0</v>
      </c>
      <c r="I71" s="39">
        <f>+'FY23'!I71*(1+MYP!$K$10)</f>
        <v>0</v>
      </c>
      <c r="J71" s="39">
        <f>+'FY23'!J71*(1+MYP!$K$10)</f>
        <v>0</v>
      </c>
      <c r="K71" s="39">
        <f>+'FY23'!K71*(1+MYP!$K$10)</f>
        <v>0</v>
      </c>
      <c r="L71" s="39">
        <f>+'FY23'!L71*(1+MYP!$K$10)</f>
        <v>0</v>
      </c>
      <c r="M71" s="39">
        <f>+'FY23'!M71*(1+MYP!$K$10)</f>
        <v>0</v>
      </c>
      <c r="N71" s="39">
        <f>+'FY23'!N71*(1+MYP!$K$10)</f>
        <v>0</v>
      </c>
      <c r="O71" s="39">
        <f>+'FY23'!O71*(1+MYP!$K$10)</f>
        <v>0</v>
      </c>
      <c r="P71" s="39">
        <f>+'FY23'!P71*(1+MYP!$K$10)</f>
        <v>0</v>
      </c>
      <c r="Q71" s="100"/>
      <c r="R71" s="41"/>
      <c r="S71" s="59">
        <f t="shared" si="20"/>
        <v>0</v>
      </c>
      <c r="T71" s="41"/>
      <c r="U71" s="39">
        <f>'FY23'!S71</f>
        <v>0</v>
      </c>
      <c r="V71" s="39">
        <f t="shared" si="21"/>
        <v>0</v>
      </c>
      <c r="W71" s="39"/>
    </row>
    <row r="72" spans="3:23" s="37" customFormat="1" ht="12" x14ac:dyDescent="0.2">
      <c r="C72" s="199">
        <v>6350</v>
      </c>
      <c r="D72" s="37" t="s">
        <v>17</v>
      </c>
      <c r="E72" s="39">
        <f>+'FY23'!E72*(1+MYP!$K$10)</f>
        <v>44.216999999999999</v>
      </c>
      <c r="F72" s="39">
        <f>+'FY23'!F72*(1+MYP!$K$10)</f>
        <v>44.216999999999999</v>
      </c>
      <c r="G72" s="39">
        <f>+'FY23'!G72*(1+MYP!$K$10)</f>
        <v>44.216999999999999</v>
      </c>
      <c r="H72" s="39">
        <f>+'FY23'!H72*(1+MYP!$K$10)</f>
        <v>44.216999999999999</v>
      </c>
      <c r="I72" s="39">
        <f>+'FY23'!I72*(1+MYP!$K$10)</f>
        <v>44.216999999999999</v>
      </c>
      <c r="J72" s="39">
        <f>+'FY23'!J72*(1+MYP!$K$10)</f>
        <v>44.216999999999999</v>
      </c>
      <c r="K72" s="39">
        <f>+'FY23'!K72*(1+MYP!$K$10)</f>
        <v>44.216999999999999</v>
      </c>
      <c r="L72" s="39">
        <f>+'FY23'!L72*(1+MYP!$K$10)</f>
        <v>44.216999999999999</v>
      </c>
      <c r="M72" s="39">
        <f>+'FY23'!M72*(1+MYP!$K$10)</f>
        <v>44.216999999999999</v>
      </c>
      <c r="N72" s="39">
        <f>+'FY23'!N72*(1+MYP!$K$10)</f>
        <v>44.216999999999999</v>
      </c>
      <c r="O72" s="39">
        <f>+'FY23'!O72*(1+MYP!$K$10)</f>
        <v>44.216999999999999</v>
      </c>
      <c r="P72" s="39">
        <f>+'FY23'!P72*(1+MYP!$K$10)</f>
        <v>44.216999999999999</v>
      </c>
      <c r="Q72" s="100"/>
      <c r="R72" s="41"/>
      <c r="S72" s="59">
        <f t="shared" si="20"/>
        <v>530.60399999999993</v>
      </c>
      <c r="T72" s="41"/>
      <c r="U72" s="39">
        <f>'FY23'!S72</f>
        <v>520.20000000000016</v>
      </c>
      <c r="V72" s="39">
        <f t="shared" si="21"/>
        <v>-10.403999999999769</v>
      </c>
      <c r="W72" s="39"/>
    </row>
    <row r="73" spans="3:23" s="37" customFormat="1" ht="12" x14ac:dyDescent="0.2">
      <c r="C73" s="199">
        <v>6351</v>
      </c>
      <c r="D73" s="37" t="s">
        <v>18</v>
      </c>
      <c r="E73" s="39">
        <f>+'FY23'!E73*(1+MYP!$K$10)</f>
        <v>0</v>
      </c>
      <c r="F73" s="39">
        <f>+'FY23'!F73*(1+MYP!$K$10)</f>
        <v>0</v>
      </c>
      <c r="G73" s="39">
        <f>+'FY23'!G73*(1+MYP!$K$10)</f>
        <v>0</v>
      </c>
      <c r="H73" s="39">
        <f>+'FY23'!H73*(1+MYP!$K$10)</f>
        <v>0</v>
      </c>
      <c r="I73" s="39">
        <f>+'FY23'!I73*(1+MYP!$K$10)</f>
        <v>0</v>
      </c>
      <c r="J73" s="39">
        <f>+'FY23'!J73*(1+MYP!$K$10)</f>
        <v>0</v>
      </c>
      <c r="K73" s="39">
        <f>+'FY23'!K73*(1+MYP!$K$10)</f>
        <v>0</v>
      </c>
      <c r="L73" s="39">
        <f>+'FY23'!L73*(1+MYP!$K$10)</f>
        <v>0</v>
      </c>
      <c r="M73" s="39">
        <f>+'FY23'!M73*(1+MYP!$K$10)</f>
        <v>0</v>
      </c>
      <c r="N73" s="39">
        <f>+'FY23'!N73*(1+MYP!$K$10)</f>
        <v>0</v>
      </c>
      <c r="O73" s="39">
        <f>+'FY23'!O73*(1+MYP!$K$10)</f>
        <v>0</v>
      </c>
      <c r="P73" s="39">
        <f>+'FY23'!P73*(1+MYP!$K$10)</f>
        <v>0</v>
      </c>
      <c r="Q73" s="100"/>
      <c r="R73" s="41"/>
      <c r="S73" s="59">
        <f t="shared" si="20"/>
        <v>0</v>
      </c>
      <c r="T73" s="41"/>
      <c r="U73" s="39">
        <f>'FY23'!S73</f>
        <v>0</v>
      </c>
      <c r="V73" s="39">
        <f t="shared" si="21"/>
        <v>0</v>
      </c>
      <c r="W73" s="39"/>
    </row>
    <row r="74" spans="3:23" s="37" customFormat="1" ht="12" x14ac:dyDescent="0.2">
      <c r="C74" s="38"/>
      <c r="E74" s="50">
        <f>SUBTOTAL(9,E64:E73)</f>
        <v>5383.0617359999987</v>
      </c>
      <c r="F74" s="50">
        <f t="shared" ref="F74:V74" si="22">SUBTOTAL(9,F64:F73)</f>
        <v>1164.498912</v>
      </c>
      <c r="G74" s="50">
        <f t="shared" si="22"/>
        <v>1164.498912</v>
      </c>
      <c r="H74" s="50">
        <f t="shared" si="22"/>
        <v>1164.498912</v>
      </c>
      <c r="I74" s="50">
        <f t="shared" si="22"/>
        <v>1164.498912</v>
      </c>
      <c r="J74" s="50">
        <f t="shared" si="22"/>
        <v>1164.498912</v>
      </c>
      <c r="K74" s="50">
        <f t="shared" si="22"/>
        <v>1164.498912</v>
      </c>
      <c r="L74" s="50">
        <f t="shared" si="22"/>
        <v>1164.498912</v>
      </c>
      <c r="M74" s="50">
        <f t="shared" si="22"/>
        <v>1164.498912</v>
      </c>
      <c r="N74" s="50">
        <f t="shared" si="22"/>
        <v>1164.498912</v>
      </c>
      <c r="O74" s="50">
        <f t="shared" si="22"/>
        <v>1164.498912</v>
      </c>
      <c r="P74" s="50">
        <f t="shared" si="22"/>
        <v>1164.498912</v>
      </c>
      <c r="Q74" s="99"/>
      <c r="R74" s="41"/>
      <c r="S74" s="61">
        <f t="shared" si="22"/>
        <v>18192.549768000008</v>
      </c>
      <c r="T74" s="41"/>
      <c r="U74" s="50">
        <f t="shared" si="22"/>
        <v>17920.568400000007</v>
      </c>
      <c r="V74" s="50">
        <f t="shared" si="22"/>
        <v>-271.98136800000088</v>
      </c>
      <c r="W74" s="39"/>
    </row>
    <row r="75" spans="3:23" s="37" customFormat="1" ht="12" x14ac:dyDescent="0.2">
      <c r="C75" s="49" t="s">
        <v>100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100"/>
      <c r="R75" s="41"/>
      <c r="S75" s="59"/>
      <c r="T75" s="41"/>
      <c r="U75" s="39"/>
      <c r="V75" s="39"/>
      <c r="W75" s="39"/>
    </row>
    <row r="76" spans="3:23" s="37" customFormat="1" ht="12" x14ac:dyDescent="0.2">
      <c r="C76" s="199">
        <v>6410</v>
      </c>
      <c r="D76" s="37" t="s">
        <v>19</v>
      </c>
      <c r="E76" s="39">
        <f>+'FY23'!E76*(1+MYP!$K$10)</f>
        <v>53.060400000000001</v>
      </c>
      <c r="F76" s="39">
        <f>+'FY23'!F76*(1+MYP!$K$10)</f>
        <v>53.060400000000001</v>
      </c>
      <c r="G76" s="39">
        <f>+'FY23'!G76*(1+MYP!$K$10)</f>
        <v>53.060400000000001</v>
      </c>
      <c r="H76" s="39">
        <f>+'FY23'!H76*(1+MYP!$K$10)</f>
        <v>53.060400000000001</v>
      </c>
      <c r="I76" s="39">
        <f>+'FY23'!I76*(1+MYP!$K$10)</f>
        <v>53.060400000000001</v>
      </c>
      <c r="J76" s="39">
        <f>+'FY23'!J76*(1+MYP!$K$10)</f>
        <v>53.060400000000001</v>
      </c>
      <c r="K76" s="39">
        <f>+'FY23'!K76*(1+MYP!$K$10)</f>
        <v>53.060400000000001</v>
      </c>
      <c r="L76" s="39">
        <f>+'FY23'!L76*(1+MYP!$K$10)</f>
        <v>53.060400000000001</v>
      </c>
      <c r="M76" s="39">
        <f>+'FY23'!M76*(1+MYP!$K$10)</f>
        <v>53.060400000000001</v>
      </c>
      <c r="N76" s="39">
        <f>+'FY23'!N76*(1+MYP!$K$10)</f>
        <v>53.060400000000001</v>
      </c>
      <c r="O76" s="39">
        <f>+'FY23'!O76*(1+MYP!$K$10)</f>
        <v>53.060400000000001</v>
      </c>
      <c r="P76" s="39">
        <f>+'FY23'!P76*(1+MYP!$K$10)</f>
        <v>53.060400000000001</v>
      </c>
      <c r="Q76" s="100"/>
      <c r="R76" s="41"/>
      <c r="S76" s="59">
        <f t="shared" ref="S76:S79" si="23">SUM(E76:Q76)</f>
        <v>636.72479999999996</v>
      </c>
      <c r="T76" s="41"/>
      <c r="U76" s="39">
        <f>'FY23'!S76</f>
        <v>624.2399999999999</v>
      </c>
      <c r="V76" s="39">
        <f t="shared" ref="V76:V79" si="24">U76-S76</f>
        <v>-12.484800000000064</v>
      </c>
      <c r="W76" s="39"/>
    </row>
    <row r="77" spans="3:23" s="37" customFormat="1" ht="12" x14ac:dyDescent="0.2">
      <c r="C77" s="199">
        <v>6420</v>
      </c>
      <c r="D77" s="37" t="s">
        <v>20</v>
      </c>
      <c r="E77" s="39">
        <f>+'FY23'!E77*(1+MYP!$K$10)</f>
        <v>106.1208</v>
      </c>
      <c r="F77" s="39">
        <f>+'FY23'!F77*(1+MYP!$K$10)</f>
        <v>106.1208</v>
      </c>
      <c r="G77" s="39">
        <f>+'FY23'!G77*(1+MYP!$K$10)</f>
        <v>212.24160000000001</v>
      </c>
      <c r="H77" s="39">
        <f>+'FY23'!H77*(1+MYP!$K$10)</f>
        <v>106.1208</v>
      </c>
      <c r="I77" s="39">
        <f>+'FY23'!I77*(1+MYP!$K$10)</f>
        <v>106.1208</v>
      </c>
      <c r="J77" s="39">
        <f>+'FY23'!J77*(1+MYP!$K$10)</f>
        <v>212.24160000000001</v>
      </c>
      <c r="K77" s="39">
        <f>+'FY23'!K77*(1+MYP!$K$10)</f>
        <v>106.1208</v>
      </c>
      <c r="L77" s="39">
        <f>+'FY23'!L77*(1+MYP!$K$10)</f>
        <v>106.1208</v>
      </c>
      <c r="M77" s="39">
        <f>+'FY23'!M77*(1+MYP!$K$10)</f>
        <v>212.24160000000001</v>
      </c>
      <c r="N77" s="39">
        <f>+'FY23'!N77*(1+MYP!$K$10)</f>
        <v>106.1208</v>
      </c>
      <c r="O77" s="39">
        <f>+'FY23'!O77*(1+MYP!$K$10)</f>
        <v>106.1208</v>
      </c>
      <c r="P77" s="39">
        <f>+'FY23'!P77*(1+MYP!$K$10)</f>
        <v>212.24160000000001</v>
      </c>
      <c r="Q77" s="100"/>
      <c r="R77" s="41"/>
      <c r="S77" s="59">
        <f t="shared" si="23"/>
        <v>1697.9328</v>
      </c>
      <c r="T77" s="41"/>
      <c r="U77" s="39">
        <f>'FY23'!S77</f>
        <v>1664.6399999999999</v>
      </c>
      <c r="V77" s="39">
        <f t="shared" si="24"/>
        <v>-33.29280000000017</v>
      </c>
      <c r="W77" s="39"/>
    </row>
    <row r="78" spans="3:23" s="37" customFormat="1" ht="12" x14ac:dyDescent="0.2">
      <c r="C78" s="199">
        <v>6430</v>
      </c>
      <c r="D78" s="37" t="s">
        <v>21</v>
      </c>
      <c r="E78" s="39">
        <f>+'FY23'!E78*(1+MYP!$K$10)</f>
        <v>0</v>
      </c>
      <c r="F78" s="39">
        <f>+'FY23'!F78*(1+MYP!$K$10)</f>
        <v>0</v>
      </c>
      <c r="G78" s="39">
        <f>+'FY23'!G78*(1+MYP!$K$10)</f>
        <v>0</v>
      </c>
      <c r="H78" s="39">
        <f>+'FY23'!H78*(1+MYP!$K$10)</f>
        <v>0</v>
      </c>
      <c r="I78" s="39">
        <f>+'FY23'!I78*(1+MYP!$K$10)</f>
        <v>2897.0978399999999</v>
      </c>
      <c r="J78" s="39">
        <f>+'FY23'!J78*(1+MYP!$K$10)</f>
        <v>0</v>
      </c>
      <c r="K78" s="39">
        <f>+'FY23'!K78*(1+MYP!$K$10)</f>
        <v>0</v>
      </c>
      <c r="L78" s="39">
        <f>+'FY23'!L78*(1+MYP!$K$10)</f>
        <v>0</v>
      </c>
      <c r="M78" s="39">
        <f>+'FY23'!M78*(1+MYP!$K$10)</f>
        <v>0</v>
      </c>
      <c r="N78" s="39">
        <f>+'FY23'!N78*(1+MYP!$K$10)</f>
        <v>132.65100000000001</v>
      </c>
      <c r="O78" s="39">
        <f>+'FY23'!O78*(1+MYP!$K$10)</f>
        <v>0</v>
      </c>
      <c r="P78" s="39">
        <f>+'FY23'!P78*(1+MYP!$K$10)</f>
        <v>0</v>
      </c>
      <c r="Q78" s="100"/>
      <c r="R78" s="41"/>
      <c r="S78" s="59">
        <f t="shared" si="23"/>
        <v>3029.7488399999997</v>
      </c>
      <c r="T78" s="41"/>
      <c r="U78" s="39">
        <f>'FY23'!S78</f>
        <v>2970.3420000000001</v>
      </c>
      <c r="V78" s="39">
        <f t="shared" si="24"/>
        <v>-59.406839999999647</v>
      </c>
      <c r="W78" s="39"/>
    </row>
    <row r="79" spans="3:23" s="37" customFormat="1" ht="12" x14ac:dyDescent="0.2">
      <c r="C79" s="199">
        <v>6441</v>
      </c>
      <c r="D79" s="37" t="s">
        <v>22</v>
      </c>
      <c r="E79" s="39">
        <f>+'FY23'!E79*(1+MYP!$K$10)</f>
        <v>2897.0978399999999</v>
      </c>
      <c r="F79" s="39">
        <f>+'FY23'!F79*(1+MYP!$K$10)</f>
        <v>2897.0978399999999</v>
      </c>
      <c r="G79" s="39">
        <f>+'FY23'!G79*(1+MYP!$K$10)</f>
        <v>2897.0978399999999</v>
      </c>
      <c r="H79" s="39">
        <f>+'FY23'!H79*(1+MYP!$K$10)</f>
        <v>2897.0978399999999</v>
      </c>
      <c r="I79" s="39">
        <f>+'FY23'!I79*(1+MYP!$K$10)</f>
        <v>2897.0978399999999</v>
      </c>
      <c r="J79" s="39">
        <f>+'FY23'!J79*(1+MYP!$K$10)</f>
        <v>2897.0978399999999</v>
      </c>
      <c r="K79" s="39">
        <f>+'FY23'!K79*(1+MYP!$K$10)</f>
        <v>2897.0978399999999</v>
      </c>
      <c r="L79" s="39">
        <f>+'FY23'!L79*(1+MYP!$K$10)</f>
        <v>2897.0978399999999</v>
      </c>
      <c r="M79" s="39">
        <f>+'FY23'!M79*(1+MYP!$K$10)</f>
        <v>2897.0978399999999</v>
      </c>
      <c r="N79" s="39">
        <f>+'FY23'!N79*(1+MYP!$K$10)</f>
        <v>2897.0978399999999</v>
      </c>
      <c r="O79" s="39">
        <f>+'FY23'!O79*(1+MYP!$K$10)</f>
        <v>3958.30584</v>
      </c>
      <c r="P79" s="39">
        <f>+'FY23'!P79*(1+MYP!$K$10)</f>
        <v>2897.0978399999999</v>
      </c>
      <c r="Q79" s="100"/>
      <c r="R79" s="41"/>
      <c r="S79" s="59">
        <f t="shared" si="23"/>
        <v>35826.382079999996</v>
      </c>
      <c r="T79" s="41"/>
      <c r="U79" s="39">
        <f>'FY23'!S79</f>
        <v>35123.904000000002</v>
      </c>
      <c r="V79" s="39">
        <f t="shared" si="24"/>
        <v>-702.4780799999935</v>
      </c>
      <c r="W79" s="39"/>
    </row>
    <row r="80" spans="3:23" s="37" customFormat="1" ht="12" x14ac:dyDescent="0.2">
      <c r="C80" s="38"/>
      <c r="E80" s="50">
        <f>SUBTOTAL(9,E76:E79)</f>
        <v>3056.2790399999999</v>
      </c>
      <c r="F80" s="50">
        <f t="shared" ref="F80:V80" si="25">SUBTOTAL(9,F76:F79)</f>
        <v>3056.2790399999999</v>
      </c>
      <c r="G80" s="50">
        <f t="shared" si="25"/>
        <v>3162.39984</v>
      </c>
      <c r="H80" s="50">
        <f t="shared" si="25"/>
        <v>3056.2790399999999</v>
      </c>
      <c r="I80" s="50">
        <f t="shared" si="25"/>
        <v>5953.3768799999998</v>
      </c>
      <c r="J80" s="50">
        <f t="shared" si="25"/>
        <v>3162.39984</v>
      </c>
      <c r="K80" s="50">
        <f t="shared" si="25"/>
        <v>3056.2790399999999</v>
      </c>
      <c r="L80" s="50">
        <f t="shared" si="25"/>
        <v>3056.2790399999999</v>
      </c>
      <c r="M80" s="50">
        <f t="shared" si="25"/>
        <v>3162.39984</v>
      </c>
      <c r="N80" s="50">
        <f t="shared" si="25"/>
        <v>3188.9300399999997</v>
      </c>
      <c r="O80" s="50">
        <f t="shared" si="25"/>
        <v>4117.48704</v>
      </c>
      <c r="P80" s="50">
        <f t="shared" si="25"/>
        <v>3162.39984</v>
      </c>
      <c r="Q80" s="99"/>
      <c r="R80" s="41"/>
      <c r="S80" s="61">
        <f t="shared" si="25"/>
        <v>41190.788519999995</v>
      </c>
      <c r="T80" s="41"/>
      <c r="U80" s="50">
        <f t="shared" si="25"/>
        <v>40383.126000000004</v>
      </c>
      <c r="V80" s="50">
        <f t="shared" si="25"/>
        <v>-807.66251999999338</v>
      </c>
      <c r="W80" s="39"/>
    </row>
    <row r="81" spans="3:23" s="37" customFormat="1" ht="12" x14ac:dyDescent="0.2">
      <c r="C81" s="49" t="s">
        <v>101</v>
      </c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100"/>
      <c r="R81" s="41"/>
      <c r="S81" s="59"/>
      <c r="T81" s="41"/>
      <c r="U81" s="39"/>
      <c r="V81" s="39"/>
      <c r="W81" s="39"/>
    </row>
    <row r="82" spans="3:23" s="37" customFormat="1" ht="12" x14ac:dyDescent="0.2">
      <c r="C82" s="199">
        <v>6519</v>
      </c>
      <c r="D82" s="37" t="s">
        <v>235</v>
      </c>
      <c r="E82" s="39">
        <f>+'FY23'!E82*(1+MYP!$K$10)</f>
        <v>0</v>
      </c>
      <c r="F82" s="39">
        <f>+'FY23'!F82*(1+MYP!$K$10)</f>
        <v>0</v>
      </c>
      <c r="G82" s="39">
        <f>+'FY23'!G82*(1+MYP!$K$10)</f>
        <v>0</v>
      </c>
      <c r="H82" s="39">
        <f>+'FY23'!H82*(1+MYP!$K$10)</f>
        <v>0</v>
      </c>
      <c r="I82" s="39">
        <f>+'FY23'!I82*(1+MYP!$K$10)</f>
        <v>0</v>
      </c>
      <c r="J82" s="39">
        <f>+'FY23'!J82*(1+MYP!$K$10)</f>
        <v>0</v>
      </c>
      <c r="K82" s="39">
        <f>+'FY23'!K82*(1+MYP!$K$10)</f>
        <v>0</v>
      </c>
      <c r="L82" s="39">
        <f>+'FY23'!L82*(1+MYP!$K$10)</f>
        <v>0</v>
      </c>
      <c r="M82" s="39">
        <f>+'FY23'!M82*(1+MYP!$K$10)</f>
        <v>0</v>
      </c>
      <c r="N82" s="39">
        <f>+'FY23'!N82*(1+MYP!$K$10)</f>
        <v>0</v>
      </c>
      <c r="O82" s="39">
        <f>+'FY23'!O82*(1+MYP!$K$10)</f>
        <v>0</v>
      </c>
      <c r="P82" s="39">
        <f>+'FY23'!P82*(1+MYP!$K$10)</f>
        <v>0</v>
      </c>
      <c r="Q82" s="100"/>
      <c r="R82" s="41"/>
      <c r="S82" s="59">
        <f t="shared" ref="S82:S93" si="26">SUM(E82:Q82)</f>
        <v>0</v>
      </c>
      <c r="T82" s="41"/>
      <c r="U82" s="39">
        <f>'FY23'!S82</f>
        <v>0</v>
      </c>
      <c r="V82" s="39">
        <f t="shared" ref="V82:V93" si="27">U82-S82</f>
        <v>0</v>
      </c>
      <c r="W82" s="39"/>
    </row>
    <row r="83" spans="3:23" s="37" customFormat="1" ht="12" x14ac:dyDescent="0.2">
      <c r="C83" s="199">
        <v>6521</v>
      </c>
      <c r="D83" s="37" t="s">
        <v>24</v>
      </c>
      <c r="E83" s="39">
        <f>+'FY23'!E83*(1+MYP!$K$10)</f>
        <v>0</v>
      </c>
      <c r="F83" s="39">
        <f>+'FY23'!F83*(1+MYP!$K$10)</f>
        <v>0</v>
      </c>
      <c r="G83" s="39">
        <f>+'FY23'!G83*(1+MYP!$K$10)</f>
        <v>0</v>
      </c>
      <c r="H83" s="39">
        <f>+'FY23'!H83*(1+MYP!$K$10)</f>
        <v>0</v>
      </c>
      <c r="I83" s="39">
        <f>+'FY23'!I83*(1+MYP!$K$10)</f>
        <v>0</v>
      </c>
      <c r="J83" s="39">
        <f>+'FY23'!J83*(1+MYP!$K$10)</f>
        <v>0</v>
      </c>
      <c r="K83" s="39">
        <f>+'FY23'!K83*(1+MYP!$K$10)</f>
        <v>0</v>
      </c>
      <c r="L83" s="39">
        <f>+'FY23'!L83*(1+MYP!$K$10)</f>
        <v>0</v>
      </c>
      <c r="M83" s="39">
        <f>+'FY23'!M83*(1+MYP!$K$10)</f>
        <v>0</v>
      </c>
      <c r="N83" s="39">
        <f>+'FY23'!N83*(1+MYP!$K$10)</f>
        <v>0</v>
      </c>
      <c r="O83" s="39">
        <f>+'FY23'!O83*(1+MYP!$K$10)</f>
        <v>0</v>
      </c>
      <c r="P83" s="39">
        <f>+'FY23'!P83*(1+MYP!$K$10)</f>
        <v>0</v>
      </c>
      <c r="Q83" s="100"/>
      <c r="R83" s="41"/>
      <c r="S83" s="59">
        <f t="shared" si="26"/>
        <v>0</v>
      </c>
      <c r="T83" s="41"/>
      <c r="U83" s="39">
        <f>'FY23'!S83</f>
        <v>0</v>
      </c>
      <c r="V83" s="39">
        <f t="shared" si="27"/>
        <v>0</v>
      </c>
      <c r="W83" s="39"/>
    </row>
    <row r="84" spans="3:23" s="37" customFormat="1" ht="12" x14ac:dyDescent="0.2">
      <c r="C84" s="199">
        <v>6522</v>
      </c>
      <c r="D84" s="37" t="s">
        <v>25</v>
      </c>
      <c r="E84" s="39">
        <f>+'FY23'!E84*(1+MYP!$K$10)</f>
        <v>0</v>
      </c>
      <c r="F84" s="39">
        <f>+'FY23'!F84*(1+MYP!$K$10)</f>
        <v>0</v>
      </c>
      <c r="G84" s="39">
        <f>+'FY23'!G84*(1+MYP!$K$10)</f>
        <v>0</v>
      </c>
      <c r="H84" s="39">
        <f>+'FY23'!H84*(1+MYP!$K$10)</f>
        <v>0</v>
      </c>
      <c r="I84" s="39">
        <f>+'FY23'!I84*(1+MYP!$K$10)</f>
        <v>0</v>
      </c>
      <c r="J84" s="39">
        <f>+'FY23'!J84*(1+MYP!$K$10)</f>
        <v>0</v>
      </c>
      <c r="K84" s="39">
        <f>+'FY23'!K84*(1+MYP!$K$10)</f>
        <v>0</v>
      </c>
      <c r="L84" s="39">
        <f>+'FY23'!L84*(1+MYP!$K$10)</f>
        <v>0</v>
      </c>
      <c r="M84" s="39">
        <f>+'FY23'!M84*(1+MYP!$K$10)</f>
        <v>0</v>
      </c>
      <c r="N84" s="39">
        <f>+'FY23'!N84*(1+MYP!$K$10)</f>
        <v>0</v>
      </c>
      <c r="O84" s="39">
        <f>+'FY23'!O84*(1+MYP!$K$10)</f>
        <v>0</v>
      </c>
      <c r="P84" s="39">
        <f>+'FY23'!P84*(1+MYP!$K$10)</f>
        <v>0</v>
      </c>
      <c r="Q84" s="100"/>
      <c r="R84" s="41"/>
      <c r="S84" s="59">
        <f t="shared" si="26"/>
        <v>0</v>
      </c>
      <c r="T84" s="41"/>
      <c r="U84" s="39">
        <f>'FY23'!S84</f>
        <v>0</v>
      </c>
      <c r="V84" s="39">
        <f t="shared" si="27"/>
        <v>0</v>
      </c>
      <c r="W84" s="39"/>
    </row>
    <row r="85" spans="3:23" s="37" customFormat="1" ht="12" x14ac:dyDescent="0.2">
      <c r="C85" s="199">
        <v>6523</v>
      </c>
      <c r="D85" s="37" t="s">
        <v>26</v>
      </c>
      <c r="E85" s="39">
        <f>+'FY23'!E85*(1+MYP!$K$10)</f>
        <v>0</v>
      </c>
      <c r="F85" s="39">
        <f>+'FY23'!F85*(1+MYP!$K$10)</f>
        <v>0</v>
      </c>
      <c r="G85" s="39">
        <f>+'FY23'!G85*(1+MYP!$K$10)</f>
        <v>0</v>
      </c>
      <c r="H85" s="39">
        <f>+'FY23'!H85*(1+MYP!$K$10)</f>
        <v>0</v>
      </c>
      <c r="I85" s="39">
        <f>+'FY23'!I85*(1+MYP!$K$10)</f>
        <v>0</v>
      </c>
      <c r="J85" s="39">
        <f>+'FY23'!J85*(1+MYP!$K$10)</f>
        <v>0</v>
      </c>
      <c r="K85" s="39">
        <f>+'FY23'!K85*(1+MYP!$K$10)</f>
        <v>0</v>
      </c>
      <c r="L85" s="39">
        <f>+'FY23'!L85*(1+MYP!$K$10)</f>
        <v>0</v>
      </c>
      <c r="M85" s="39">
        <f>+'FY23'!M85*(1+MYP!$K$10)</f>
        <v>0</v>
      </c>
      <c r="N85" s="39">
        <f>+'FY23'!N85*(1+MYP!$K$10)</f>
        <v>0</v>
      </c>
      <c r="O85" s="39">
        <f>+'FY23'!O85*(1+MYP!$K$10)</f>
        <v>0</v>
      </c>
      <c r="P85" s="39">
        <f>+'FY23'!P85*(1+MYP!$K$10)</f>
        <v>0</v>
      </c>
      <c r="Q85" s="100"/>
      <c r="R85" s="41"/>
      <c r="S85" s="59">
        <f t="shared" si="26"/>
        <v>0</v>
      </c>
      <c r="T85" s="41"/>
      <c r="U85" s="39">
        <f>'FY23'!S85</f>
        <v>0</v>
      </c>
      <c r="V85" s="39">
        <f t="shared" si="27"/>
        <v>0</v>
      </c>
      <c r="W85" s="39"/>
    </row>
    <row r="86" spans="3:23" s="37" customFormat="1" ht="12" x14ac:dyDescent="0.2">
      <c r="C86" s="199">
        <v>6531</v>
      </c>
      <c r="D86" s="37" t="s">
        <v>27</v>
      </c>
      <c r="E86" s="39">
        <f>+'FY23'!E86*(1+MYP!$K$10)</f>
        <v>0</v>
      </c>
      <c r="F86" s="39">
        <f>+'FY23'!F86*(1+MYP!$K$10)</f>
        <v>0</v>
      </c>
      <c r="G86" s="39">
        <f>+'FY23'!G86*(1+MYP!$K$10)</f>
        <v>0</v>
      </c>
      <c r="H86" s="39">
        <f>+'FY23'!H86*(1+MYP!$K$10)</f>
        <v>0</v>
      </c>
      <c r="I86" s="39">
        <f>+'FY23'!I86*(1+MYP!$K$10)</f>
        <v>0</v>
      </c>
      <c r="J86" s="39">
        <f>+'FY23'!J86*(1+MYP!$K$10)</f>
        <v>0</v>
      </c>
      <c r="K86" s="39">
        <f>+'FY23'!K86*(1+MYP!$K$10)</f>
        <v>0</v>
      </c>
      <c r="L86" s="39">
        <f>+'FY23'!L86*(1+MYP!$K$10)</f>
        <v>0</v>
      </c>
      <c r="M86" s="39">
        <f>+'FY23'!M86*(1+MYP!$K$10)</f>
        <v>0</v>
      </c>
      <c r="N86" s="39">
        <f>+'FY23'!N86*(1+MYP!$K$10)</f>
        <v>0</v>
      </c>
      <c r="O86" s="39">
        <f>+'FY23'!O86*(1+MYP!$K$10)</f>
        <v>0</v>
      </c>
      <c r="P86" s="39">
        <f>+'FY23'!P86*(1+MYP!$K$10)</f>
        <v>0</v>
      </c>
      <c r="Q86" s="100"/>
      <c r="R86" s="41"/>
      <c r="S86" s="59">
        <f t="shared" si="26"/>
        <v>0</v>
      </c>
      <c r="T86" s="41"/>
      <c r="U86" s="39">
        <f>'FY23'!S86</f>
        <v>0</v>
      </c>
      <c r="V86" s="39">
        <f t="shared" si="27"/>
        <v>0</v>
      </c>
      <c r="W86" s="39"/>
    </row>
    <row r="87" spans="3:23" s="37" customFormat="1" ht="12" x14ac:dyDescent="0.2">
      <c r="C87" s="199">
        <v>6534</v>
      </c>
      <c r="D87" s="37" t="s">
        <v>28</v>
      </c>
      <c r="E87" s="39">
        <f>+'FY23'!E87*(1+MYP!$K$10)</f>
        <v>0</v>
      </c>
      <c r="F87" s="39">
        <f>+'FY23'!F87*(1+MYP!$K$10)</f>
        <v>0</v>
      </c>
      <c r="G87" s="39">
        <f>+'FY23'!G87*(1+MYP!$K$10)</f>
        <v>0</v>
      </c>
      <c r="H87" s="39">
        <f>+'FY23'!H87*(1+MYP!$K$10)</f>
        <v>0</v>
      </c>
      <c r="I87" s="39">
        <f>+'FY23'!I87*(1+MYP!$K$10)</f>
        <v>0</v>
      </c>
      <c r="J87" s="39">
        <f>+'FY23'!J87*(1+MYP!$K$10)</f>
        <v>0</v>
      </c>
      <c r="K87" s="39">
        <f>+'FY23'!K87*(1+MYP!$K$10)</f>
        <v>0</v>
      </c>
      <c r="L87" s="39">
        <f>+'FY23'!L87*(1+MYP!$K$10)</f>
        <v>0</v>
      </c>
      <c r="M87" s="39">
        <f>+'FY23'!M87*(1+MYP!$K$10)</f>
        <v>0</v>
      </c>
      <c r="N87" s="39">
        <f>+'FY23'!N87*(1+MYP!$K$10)</f>
        <v>0</v>
      </c>
      <c r="O87" s="39">
        <f>+'FY23'!O87*(1+MYP!$K$10)</f>
        <v>0</v>
      </c>
      <c r="P87" s="39">
        <f>+'FY23'!P87*(1+MYP!$K$10)</f>
        <v>0</v>
      </c>
      <c r="Q87" s="100"/>
      <c r="R87" s="41"/>
      <c r="S87" s="59">
        <f t="shared" si="26"/>
        <v>0</v>
      </c>
      <c r="T87" s="41"/>
      <c r="U87" s="39">
        <f>'FY23'!S87</f>
        <v>0</v>
      </c>
      <c r="V87" s="39">
        <f t="shared" si="27"/>
        <v>0</v>
      </c>
      <c r="W87" s="39"/>
    </row>
    <row r="88" spans="3:23" s="37" customFormat="1" ht="12" x14ac:dyDescent="0.2">
      <c r="C88" s="199">
        <v>6535</v>
      </c>
      <c r="D88" s="37" t="s">
        <v>236</v>
      </c>
      <c r="E88" s="39">
        <f>+'FY23'!E88*(1+MYP!$K$10)</f>
        <v>320.48481600000002</v>
      </c>
      <c r="F88" s="39">
        <f>+'FY23'!F88*(1+MYP!$K$10)</f>
        <v>320.48481600000002</v>
      </c>
      <c r="G88" s="39">
        <f>+'FY23'!G88*(1+MYP!$K$10)</f>
        <v>320.48481600000002</v>
      </c>
      <c r="H88" s="39">
        <f>+'FY23'!H88*(1+MYP!$K$10)</f>
        <v>320.48481600000002</v>
      </c>
      <c r="I88" s="39">
        <f>+'FY23'!I88*(1+MYP!$K$10)</f>
        <v>320.48481600000002</v>
      </c>
      <c r="J88" s="39">
        <f>+'FY23'!J88*(1+MYP!$K$10)</f>
        <v>320.48481600000002</v>
      </c>
      <c r="K88" s="39">
        <f>+'FY23'!K88*(1+MYP!$K$10)</f>
        <v>320.48481600000002</v>
      </c>
      <c r="L88" s="39">
        <f>+'FY23'!L88*(1+MYP!$K$10)</f>
        <v>320.48481600000002</v>
      </c>
      <c r="M88" s="39">
        <f>+'FY23'!M88*(1+MYP!$K$10)</f>
        <v>320.48481600000002</v>
      </c>
      <c r="N88" s="39">
        <f>+'FY23'!N88*(1+MYP!$K$10)</f>
        <v>320.48481600000002</v>
      </c>
      <c r="O88" s="39">
        <f>+'FY23'!O88*(1+MYP!$K$10)</f>
        <v>320.48481600000002</v>
      </c>
      <c r="P88" s="39">
        <f>+'FY23'!P88*(1+MYP!$K$10)</f>
        <v>320.48481600000002</v>
      </c>
      <c r="Q88" s="100"/>
      <c r="R88" s="41"/>
      <c r="S88" s="59">
        <f t="shared" si="26"/>
        <v>3845.8177920000012</v>
      </c>
      <c r="T88" s="41"/>
      <c r="U88" s="39">
        <f>'FY23'!S88</f>
        <v>3770.4096000000004</v>
      </c>
      <c r="V88" s="39">
        <f t="shared" si="27"/>
        <v>-75.408192000000781</v>
      </c>
      <c r="W88" s="39"/>
    </row>
    <row r="89" spans="3:23" s="37" customFormat="1" ht="12" x14ac:dyDescent="0.2">
      <c r="C89" s="199">
        <v>6540</v>
      </c>
      <c r="D89" s="37" t="s">
        <v>30</v>
      </c>
      <c r="E89" s="39">
        <f>+'FY23'!E89*(1+MYP!$K$10)</f>
        <v>0</v>
      </c>
      <c r="F89" s="39">
        <f>+'FY23'!F89*(1+MYP!$K$10)</f>
        <v>0</v>
      </c>
      <c r="G89" s="39">
        <f>+'FY23'!G89*(1+MYP!$K$10)</f>
        <v>0</v>
      </c>
      <c r="H89" s="39">
        <f>+'FY23'!H89*(1+MYP!$K$10)</f>
        <v>0</v>
      </c>
      <c r="I89" s="39">
        <f>+'FY23'!I89*(1+MYP!$K$10)</f>
        <v>0</v>
      </c>
      <c r="J89" s="39">
        <f>+'FY23'!J89*(1+MYP!$K$10)</f>
        <v>0</v>
      </c>
      <c r="K89" s="39">
        <f>+'FY23'!K89*(1+MYP!$K$10)</f>
        <v>0</v>
      </c>
      <c r="L89" s="39">
        <f>+'FY23'!L89*(1+MYP!$K$10)</f>
        <v>0</v>
      </c>
      <c r="M89" s="39">
        <f>+'FY23'!M89*(1+MYP!$K$10)</f>
        <v>0</v>
      </c>
      <c r="N89" s="39">
        <f>+'FY23'!N89*(1+MYP!$K$10)</f>
        <v>0</v>
      </c>
      <c r="O89" s="39">
        <f>+'FY23'!O89*(1+MYP!$K$10)</f>
        <v>0</v>
      </c>
      <c r="P89" s="39">
        <f>+'FY23'!P89*(1+MYP!$K$10)</f>
        <v>0</v>
      </c>
      <c r="Q89" s="100"/>
      <c r="R89" s="41"/>
      <c r="S89" s="59">
        <f t="shared" si="26"/>
        <v>0</v>
      </c>
      <c r="T89" s="41"/>
      <c r="U89" s="39">
        <f>'FY23'!S89</f>
        <v>0</v>
      </c>
      <c r="V89" s="39">
        <f t="shared" si="27"/>
        <v>0</v>
      </c>
      <c r="W89" s="39"/>
    </row>
    <row r="90" spans="3:23" s="37" customFormat="1" ht="12" x14ac:dyDescent="0.2">
      <c r="C90" s="199">
        <v>6550</v>
      </c>
      <c r="D90" s="37" t="s">
        <v>31</v>
      </c>
      <c r="E90" s="39">
        <f>+'FY23'!E90*(1+MYP!$K$10)</f>
        <v>0</v>
      </c>
      <c r="F90" s="39">
        <f>+'FY23'!F90*(1+MYP!$K$10)</f>
        <v>0</v>
      </c>
      <c r="G90" s="39">
        <f>+'FY23'!G90*(1+MYP!$K$10)</f>
        <v>0</v>
      </c>
      <c r="H90" s="39">
        <f>+'FY23'!H90*(1+MYP!$K$10)</f>
        <v>0</v>
      </c>
      <c r="I90" s="39">
        <f>+'FY23'!I90*(1+MYP!$K$10)</f>
        <v>0</v>
      </c>
      <c r="J90" s="39">
        <f>+'FY23'!J90*(1+MYP!$K$10)</f>
        <v>0</v>
      </c>
      <c r="K90" s="39">
        <f>+'FY23'!K90*(1+MYP!$K$10)</f>
        <v>0</v>
      </c>
      <c r="L90" s="39">
        <f>+'FY23'!L90*(1+MYP!$K$10)</f>
        <v>0</v>
      </c>
      <c r="M90" s="39">
        <f>+'FY23'!M90*(1+MYP!$K$10)</f>
        <v>0</v>
      </c>
      <c r="N90" s="39">
        <f>+'FY23'!N90*(1+MYP!$K$10)</f>
        <v>0</v>
      </c>
      <c r="O90" s="39">
        <f>+'FY23'!O90*(1+MYP!$K$10)</f>
        <v>0</v>
      </c>
      <c r="P90" s="39">
        <f>+'FY23'!P90*(1+MYP!$K$10)</f>
        <v>0</v>
      </c>
      <c r="Q90" s="100"/>
      <c r="R90" s="41"/>
      <c r="S90" s="59">
        <f t="shared" si="26"/>
        <v>0</v>
      </c>
      <c r="T90" s="41"/>
      <c r="U90" s="39">
        <f>'FY23'!S90</f>
        <v>0</v>
      </c>
      <c r="V90" s="39">
        <f t="shared" si="27"/>
        <v>0</v>
      </c>
      <c r="W90" s="39"/>
    </row>
    <row r="91" spans="3:23" s="37" customFormat="1" ht="12" x14ac:dyDescent="0.2">
      <c r="C91" s="206">
        <v>6568</v>
      </c>
      <c r="D91" s="37" t="s">
        <v>187</v>
      </c>
      <c r="E91" s="39">
        <f>+'FY23'!E91*(1+MYP!$G$8)</f>
        <v>0</v>
      </c>
      <c r="F91" s="39">
        <f>+'FY23'!F91*(1+MYP!$G$8)</f>
        <v>0</v>
      </c>
      <c r="G91" s="39">
        <f>+'FY23'!G91*(1+MYP!$G$8)</f>
        <v>0</v>
      </c>
      <c r="H91" s="39">
        <f>+'FY23'!H91*(1+MYP!$G$8)</f>
        <v>0</v>
      </c>
      <c r="I91" s="39">
        <f>+'FY23'!I91*(1+MYP!$G$8)</f>
        <v>0</v>
      </c>
      <c r="J91" s="39">
        <f>+'FY23'!J91*(1+MYP!$G$8)</f>
        <v>0</v>
      </c>
      <c r="K91" s="39">
        <f>+'FY23'!K91*(1+MYP!$G$8)</f>
        <v>0</v>
      </c>
      <c r="L91" s="39">
        <f>+'FY23'!L91*(1+MYP!$G$8)</f>
        <v>0</v>
      </c>
      <c r="M91" s="39">
        <f>+'FY23'!M91*(1+MYP!$G$8)</f>
        <v>0</v>
      </c>
      <c r="N91" s="39">
        <f>+'FY23'!N91*(1+MYP!$G$8)</f>
        <v>0</v>
      </c>
      <c r="O91" s="39">
        <f>+'FY23'!O91*(1+MYP!$G$8)</f>
        <v>0</v>
      </c>
      <c r="P91" s="39">
        <f>+'FY23'!P91*(1+MYP!$G$8)</f>
        <v>0</v>
      </c>
      <c r="Q91" s="100"/>
      <c r="R91" s="41"/>
      <c r="S91" s="59">
        <f t="shared" ref="S91" si="28">SUM(E91:Q91)</f>
        <v>0</v>
      </c>
      <c r="T91" s="41"/>
      <c r="U91" s="39">
        <f>'FY23'!S91</f>
        <v>0</v>
      </c>
      <c r="V91" s="39">
        <f t="shared" ref="V91" si="29">U91-S91</f>
        <v>0</v>
      </c>
      <c r="W91" s="39"/>
    </row>
    <row r="92" spans="3:23" s="37" customFormat="1" ht="12" x14ac:dyDescent="0.2">
      <c r="C92" s="199">
        <v>6569</v>
      </c>
      <c r="D92" s="37" t="s">
        <v>32</v>
      </c>
      <c r="E92" s="39">
        <f>+'FY23'!E92*(1+MYP!$G$8)</f>
        <v>0</v>
      </c>
      <c r="F92" s="39">
        <f>+'FY23'!F92*(1+MYP!$G$8)</f>
        <v>0</v>
      </c>
      <c r="G92" s="39">
        <f>+'FY23'!G92*(1+MYP!$G$8)</f>
        <v>0</v>
      </c>
      <c r="H92" s="39">
        <f>+'FY23'!H92*(1+MYP!$G$8)</f>
        <v>55854.134374999987</v>
      </c>
      <c r="I92" s="39">
        <f>+'FY23'!I92*(1+MYP!$G$8)</f>
        <v>74332.765624999971</v>
      </c>
      <c r="J92" s="39">
        <f>+'FY23'!J92*(1+MYP!$G$8)</f>
        <v>-1520.8749999999998</v>
      </c>
      <c r="K92" s="39">
        <f>+'FY23'!K92*(1+MYP!$G$8)</f>
        <v>0</v>
      </c>
      <c r="L92" s="39">
        <f>+'FY23'!L92*(1+MYP!$G$8)</f>
        <v>0</v>
      </c>
      <c r="M92" s="39">
        <f>+'FY23'!M92*(1+MYP!$G$8)</f>
        <v>63952.793749999975</v>
      </c>
      <c r="N92" s="39">
        <f>+'FY23'!N92*(1+MYP!$G$8)</f>
        <v>99237.093749999985</v>
      </c>
      <c r="O92" s="39">
        <f>+'FY23'!O92*(1+MYP!$G$8)</f>
        <v>-1520.8749999999998</v>
      </c>
      <c r="P92" s="39">
        <f>+'FY23'!P92*(1+MYP!$G$8)</f>
        <v>0</v>
      </c>
      <c r="Q92" s="100"/>
      <c r="R92" s="41"/>
      <c r="S92" s="59">
        <f t="shared" si="26"/>
        <v>290335.03749999992</v>
      </c>
      <c r="T92" s="41"/>
      <c r="U92" s="39">
        <f>'FY23'!S92</f>
        <v>252465.24999999994</v>
      </c>
      <c r="V92" s="39">
        <f t="shared" si="27"/>
        <v>-37869.787499999977</v>
      </c>
      <c r="W92" s="39"/>
    </row>
    <row r="93" spans="3:23" s="37" customFormat="1" ht="12" x14ac:dyDescent="0.2">
      <c r="C93" s="199">
        <v>6580</v>
      </c>
      <c r="D93" s="37" t="s">
        <v>33</v>
      </c>
      <c r="E93" s="39">
        <f>+'FY23'!E93*(1+MYP!$K$10)</f>
        <v>0</v>
      </c>
      <c r="F93" s="39">
        <f>+'FY23'!F93*(1+MYP!$K$10)</f>
        <v>0</v>
      </c>
      <c r="G93" s="39">
        <f>+'FY23'!G93*(1+MYP!$K$10)</f>
        <v>0</v>
      </c>
      <c r="H93" s="39">
        <f>+'FY23'!H93*(1+MYP!$K$10)</f>
        <v>0</v>
      </c>
      <c r="I93" s="39">
        <f>+'FY23'!I93*(1+MYP!$K$10)</f>
        <v>0</v>
      </c>
      <c r="J93" s="39">
        <f>+'FY23'!J93*(1+MYP!$K$10)</f>
        <v>0</v>
      </c>
      <c r="K93" s="39">
        <f>+'FY23'!K93*(1+MYP!$K$10)</f>
        <v>0</v>
      </c>
      <c r="L93" s="39">
        <f>+'FY23'!L93*(1+MYP!$K$10)</f>
        <v>0</v>
      </c>
      <c r="M93" s="39">
        <f>+'FY23'!M93*(1+MYP!$K$10)</f>
        <v>0</v>
      </c>
      <c r="N93" s="39">
        <f>+'FY23'!N93*(1+MYP!$K$10)</f>
        <v>0</v>
      </c>
      <c r="O93" s="39">
        <f>+'FY23'!O93*(1+MYP!$K$10)</f>
        <v>0</v>
      </c>
      <c r="P93" s="39">
        <f>+'FY23'!P93*(1+MYP!$K$10)</f>
        <v>0</v>
      </c>
      <c r="Q93" s="100"/>
      <c r="R93" s="41"/>
      <c r="S93" s="59">
        <f t="shared" si="26"/>
        <v>0</v>
      </c>
      <c r="T93" s="41"/>
      <c r="U93" s="39">
        <f>'FY23'!S93</f>
        <v>0</v>
      </c>
      <c r="V93" s="39">
        <f t="shared" si="27"/>
        <v>0</v>
      </c>
      <c r="W93" s="39"/>
    </row>
    <row r="94" spans="3:23" s="37" customFormat="1" ht="12" x14ac:dyDescent="0.2">
      <c r="C94" s="38"/>
      <c r="E94" s="50">
        <f>SUBTOTAL(9,E82:E93)</f>
        <v>320.48481600000002</v>
      </c>
      <c r="F94" s="50">
        <f t="shared" ref="F94:V94" si="30">SUBTOTAL(9,F82:F93)</f>
        <v>320.48481600000002</v>
      </c>
      <c r="G94" s="50">
        <f t="shared" si="30"/>
        <v>320.48481600000002</v>
      </c>
      <c r="H94" s="50">
        <f t="shared" si="30"/>
        <v>56174.619190999983</v>
      </c>
      <c r="I94" s="50">
        <f t="shared" si="30"/>
        <v>74653.250440999967</v>
      </c>
      <c r="J94" s="50">
        <f t="shared" si="30"/>
        <v>-1200.3901839999999</v>
      </c>
      <c r="K94" s="50">
        <f t="shared" si="30"/>
        <v>320.48481600000002</v>
      </c>
      <c r="L94" s="50">
        <f t="shared" si="30"/>
        <v>320.48481600000002</v>
      </c>
      <c r="M94" s="50">
        <f t="shared" si="30"/>
        <v>64273.278565999972</v>
      </c>
      <c r="N94" s="50">
        <f t="shared" si="30"/>
        <v>99557.578565999982</v>
      </c>
      <c r="O94" s="50">
        <f t="shared" si="30"/>
        <v>-1200.3901839999999</v>
      </c>
      <c r="P94" s="50">
        <f t="shared" si="30"/>
        <v>320.48481600000002</v>
      </c>
      <c r="Q94" s="99"/>
      <c r="R94" s="41"/>
      <c r="S94" s="61">
        <f t="shared" si="30"/>
        <v>294180.85529199993</v>
      </c>
      <c r="T94" s="41"/>
      <c r="U94" s="50">
        <f t="shared" si="30"/>
        <v>256235.65959999996</v>
      </c>
      <c r="V94" s="50">
        <f t="shared" si="30"/>
        <v>-37945.195691999979</v>
      </c>
      <c r="W94" s="39"/>
    </row>
    <row r="95" spans="3:23" s="37" customFormat="1" ht="12" x14ac:dyDescent="0.2">
      <c r="C95" s="49" t="s">
        <v>102</v>
      </c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100"/>
      <c r="R95" s="41"/>
      <c r="S95" s="59"/>
      <c r="T95" s="41"/>
      <c r="U95" s="39"/>
      <c r="V95" s="39"/>
      <c r="W95" s="39"/>
    </row>
    <row r="96" spans="3:23" s="37" customFormat="1" ht="12" x14ac:dyDescent="0.2">
      <c r="C96" s="199">
        <v>6610</v>
      </c>
      <c r="D96" s="37" t="s">
        <v>34</v>
      </c>
      <c r="E96" s="39">
        <f>+'FY23'!E96*(1+MYP!$K$10)</f>
        <v>185.7114</v>
      </c>
      <c r="F96" s="39">
        <f>+'FY23'!F96*(1+MYP!$K$10)</f>
        <v>185.7114</v>
      </c>
      <c r="G96" s="39">
        <f>+'FY23'!G96*(1+MYP!$K$10)</f>
        <v>185.7114</v>
      </c>
      <c r="H96" s="39">
        <f>+'FY23'!H96*(1+MYP!$K$10)</f>
        <v>389.46333600000008</v>
      </c>
      <c r="I96" s="39">
        <f>+'FY23'!I96*(1+MYP!$K$10)</f>
        <v>185.7114</v>
      </c>
      <c r="J96" s="39">
        <f>+'FY23'!J96*(1+MYP!$K$10)</f>
        <v>185.7114</v>
      </c>
      <c r="K96" s="39">
        <f>+'FY23'!K96*(1+MYP!$K$10)</f>
        <v>185.7114</v>
      </c>
      <c r="L96" s="39">
        <f>+'FY23'!L96*(1+MYP!$K$10)</f>
        <v>185.7114</v>
      </c>
      <c r="M96" s="39">
        <f>+'FY23'!M96*(1+MYP!$K$10)</f>
        <v>185.7114</v>
      </c>
      <c r="N96" s="39">
        <f>+'FY23'!N96*(1+MYP!$K$10)</f>
        <v>185.7114</v>
      </c>
      <c r="O96" s="39">
        <f>+'FY23'!O96*(1+MYP!$K$10)</f>
        <v>185.7114</v>
      </c>
      <c r="P96" s="39">
        <f>+'FY23'!P96*(1+MYP!$K$10)</f>
        <v>185.7114</v>
      </c>
      <c r="Q96" s="100"/>
      <c r="R96" s="41"/>
      <c r="S96" s="59">
        <f t="shared" ref="S96:S102" si="31">SUM(E96:Q96)</f>
        <v>2432.288736</v>
      </c>
      <c r="T96" s="41"/>
      <c r="U96" s="39">
        <f>'FY23'!S96</f>
        <v>2384.5967999999998</v>
      </c>
      <c r="V96" s="39">
        <f t="shared" ref="V96:V102" si="32">U96-S96</f>
        <v>-47.691936000000169</v>
      </c>
      <c r="W96" s="39"/>
    </row>
    <row r="97" spans="3:23" s="37" customFormat="1" ht="12" x14ac:dyDescent="0.2">
      <c r="C97" s="199">
        <v>6612</v>
      </c>
      <c r="D97" s="37" t="s">
        <v>35</v>
      </c>
      <c r="E97" s="39">
        <f>+'FY23'!E97*(1+MYP!$K$10)</f>
        <v>0</v>
      </c>
      <c r="F97" s="39">
        <f>+'FY23'!F97*(1+MYP!$K$10)</f>
        <v>0</v>
      </c>
      <c r="G97" s="39">
        <f>+'FY23'!G97*(1+MYP!$K$10)</f>
        <v>0</v>
      </c>
      <c r="H97" s="39">
        <f>+'FY23'!H97*(1+MYP!$K$10)</f>
        <v>0</v>
      </c>
      <c r="I97" s="39">
        <f>+'FY23'!I97*(1+MYP!$K$10)</f>
        <v>0</v>
      </c>
      <c r="J97" s="39">
        <f>+'FY23'!J97*(1+MYP!$K$10)</f>
        <v>0</v>
      </c>
      <c r="K97" s="39">
        <f>+'FY23'!K97*(1+MYP!$K$10)</f>
        <v>0</v>
      </c>
      <c r="L97" s="39">
        <f>+'FY23'!L97*(1+MYP!$K$10)</f>
        <v>0</v>
      </c>
      <c r="M97" s="39">
        <f>+'FY23'!M97*(1+MYP!$K$10)</f>
        <v>0</v>
      </c>
      <c r="N97" s="39">
        <f>+'FY23'!N97*(1+MYP!$K$10)</f>
        <v>0</v>
      </c>
      <c r="O97" s="39">
        <f>+'FY23'!O97*(1+MYP!$K$10)</f>
        <v>0</v>
      </c>
      <c r="P97" s="39">
        <f>+'FY23'!P97*(1+MYP!$K$10)</f>
        <v>0</v>
      </c>
      <c r="Q97" s="100"/>
      <c r="R97" s="41"/>
      <c r="S97" s="59">
        <f t="shared" si="31"/>
        <v>0</v>
      </c>
      <c r="T97" s="41"/>
      <c r="U97" s="39">
        <f>'FY23'!S97</f>
        <v>0</v>
      </c>
      <c r="V97" s="39">
        <f t="shared" si="32"/>
        <v>0</v>
      </c>
      <c r="W97" s="39"/>
    </row>
    <row r="98" spans="3:23" s="37" customFormat="1" ht="12" x14ac:dyDescent="0.2">
      <c r="C98" s="199">
        <v>6622</v>
      </c>
      <c r="D98" s="37" t="s">
        <v>36</v>
      </c>
      <c r="E98" s="39">
        <f>+'FY23'!E98*(1+MYP!$K$10)</f>
        <v>106.1208</v>
      </c>
      <c r="F98" s="39">
        <f>+'FY23'!F98*(1+MYP!$K$10)</f>
        <v>106.1208</v>
      </c>
      <c r="G98" s="39">
        <f>+'FY23'!G98*(1+MYP!$K$10)</f>
        <v>106.1208</v>
      </c>
      <c r="H98" s="39">
        <f>+'FY23'!H98*(1+MYP!$K$10)</f>
        <v>106.1208</v>
      </c>
      <c r="I98" s="39">
        <f>+'FY23'!I98*(1+MYP!$K$10)</f>
        <v>106.1208</v>
      </c>
      <c r="J98" s="39">
        <f>+'FY23'!J98*(1+MYP!$K$10)</f>
        <v>106.1208</v>
      </c>
      <c r="K98" s="39">
        <f>+'FY23'!K98*(1+MYP!$K$10)</f>
        <v>106.1208</v>
      </c>
      <c r="L98" s="39">
        <f>+'FY23'!L98*(1+MYP!$K$10)</f>
        <v>106.1208</v>
      </c>
      <c r="M98" s="39">
        <f>+'FY23'!M98*(1+MYP!$K$10)</f>
        <v>106.1208</v>
      </c>
      <c r="N98" s="39">
        <f>+'FY23'!N98*(1+MYP!$K$10)</f>
        <v>106.1208</v>
      </c>
      <c r="O98" s="39">
        <f>+'FY23'!O98*(1+MYP!$K$10)</f>
        <v>106.1208</v>
      </c>
      <c r="P98" s="39">
        <f>+'FY23'!P98*(1+MYP!$K$10)</f>
        <v>106.1208</v>
      </c>
      <c r="Q98" s="100"/>
      <c r="R98" s="41"/>
      <c r="S98" s="59">
        <f t="shared" si="31"/>
        <v>1273.4495999999999</v>
      </c>
      <c r="T98" s="41"/>
      <c r="U98" s="39">
        <f>'FY23'!S98</f>
        <v>1248.4799999999998</v>
      </c>
      <c r="V98" s="39">
        <f t="shared" si="32"/>
        <v>-24.969600000000128</v>
      </c>
      <c r="W98" s="39"/>
    </row>
    <row r="99" spans="3:23" s="37" customFormat="1" ht="12" x14ac:dyDescent="0.2">
      <c r="C99" s="199">
        <v>6641</v>
      </c>
      <c r="D99" s="37" t="s">
        <v>37</v>
      </c>
      <c r="E99" s="39">
        <f>+'FY23'!E99*(1+MYP!$G$8)</f>
        <v>0</v>
      </c>
      <c r="F99" s="39">
        <f>+'FY23'!F99*(1+MYP!$G$8)</f>
        <v>0</v>
      </c>
      <c r="G99" s="39">
        <f>+'FY23'!G99*(1+MYP!$G$8)</f>
        <v>0</v>
      </c>
      <c r="H99" s="39">
        <f>+'FY23'!H99*(1+MYP!$G$8)</f>
        <v>10760.190624999997</v>
      </c>
      <c r="I99" s="39">
        <f>+'FY23'!I99*(1+MYP!$G$8)</f>
        <v>5285.0406249999987</v>
      </c>
      <c r="J99" s="39">
        <f>+'FY23'!J99*(1+MYP!$G$8)</f>
        <v>0</v>
      </c>
      <c r="K99" s="39">
        <f>+'FY23'!K99*(1+MYP!$G$8)</f>
        <v>0</v>
      </c>
      <c r="L99" s="39">
        <f>+'FY23'!L99*(1+MYP!$G$8)</f>
        <v>0</v>
      </c>
      <c r="M99" s="39">
        <f>+'FY23'!M99*(1+MYP!$G$8)</f>
        <v>0</v>
      </c>
      <c r="N99" s="39">
        <f>+'FY23'!N99*(1+MYP!$G$8)</f>
        <v>6482.7296874999993</v>
      </c>
      <c r="O99" s="39">
        <f>+'FY23'!O99*(1+MYP!$G$8)</f>
        <v>3509.4190624999997</v>
      </c>
      <c r="P99" s="39">
        <f>+'FY23'!P99*(1+MYP!$G$8)</f>
        <v>0</v>
      </c>
      <c r="Q99" s="100"/>
      <c r="R99" s="41"/>
      <c r="S99" s="59">
        <f t="shared" si="31"/>
        <v>26037.379999999997</v>
      </c>
      <c r="T99" s="41"/>
      <c r="U99" s="39">
        <f>'FY23'!S99</f>
        <v>22641.199999999997</v>
      </c>
      <c r="V99" s="39">
        <f t="shared" si="32"/>
        <v>-3396.1800000000003</v>
      </c>
      <c r="W99" s="39"/>
    </row>
    <row r="100" spans="3:23" s="37" customFormat="1" ht="12" x14ac:dyDescent="0.2">
      <c r="C100" s="199">
        <v>6642</v>
      </c>
      <c r="D100" s="37" t="s">
        <v>38</v>
      </c>
      <c r="E100" s="39">
        <f>+'FY23'!E100*(1+MYP!$G$8)</f>
        <v>0</v>
      </c>
      <c r="F100" s="39">
        <f>+'FY23'!F100*(1+MYP!$G$8)</f>
        <v>0</v>
      </c>
      <c r="G100" s="39">
        <f>+'FY23'!G100*(1+MYP!$G$8)</f>
        <v>0</v>
      </c>
      <c r="H100" s="39">
        <f>+'FY23'!H100*(1+MYP!$G$8)</f>
        <v>5399.1062499999989</v>
      </c>
      <c r="I100" s="39">
        <f>+'FY23'!I100*(1+MYP!$G$8)</f>
        <v>7984.5937499999973</v>
      </c>
      <c r="J100" s="39">
        <f>+'FY23'!J100*(1+MYP!$G$8)</f>
        <v>0</v>
      </c>
      <c r="K100" s="39">
        <f>+'FY23'!K100*(1+MYP!$G$8)</f>
        <v>0</v>
      </c>
      <c r="L100" s="39">
        <f>+'FY23'!L100*(1+MYP!$G$8)</f>
        <v>0</v>
      </c>
      <c r="M100" s="39">
        <f>+'FY23'!M100*(1+MYP!$G$8)</f>
        <v>0</v>
      </c>
      <c r="N100" s="39">
        <f>+'FY23'!N100*(1+MYP!$G$8)</f>
        <v>10779.201562499997</v>
      </c>
      <c r="O100" s="39">
        <f>+'FY23'!O100*(1+MYP!$G$8)</f>
        <v>7288.7934374999986</v>
      </c>
      <c r="P100" s="39">
        <f>+'FY23'!P100*(1+MYP!$G$8)</f>
        <v>0</v>
      </c>
      <c r="Q100" s="100"/>
      <c r="R100" s="41"/>
      <c r="S100" s="59">
        <f t="shared" si="31"/>
        <v>31451.694999999992</v>
      </c>
      <c r="T100" s="41"/>
      <c r="U100" s="39">
        <f>'FY23'!S100</f>
        <v>27349.299999999992</v>
      </c>
      <c r="V100" s="39">
        <f t="shared" si="32"/>
        <v>-4102.3950000000004</v>
      </c>
      <c r="W100" s="39"/>
    </row>
    <row r="101" spans="3:23" s="37" customFormat="1" ht="12" x14ac:dyDescent="0.2">
      <c r="C101" s="199">
        <v>6651</v>
      </c>
      <c r="D101" s="37" t="s">
        <v>39</v>
      </c>
      <c r="E101" s="39">
        <f>+'FY23'!E101*(1+MYP!$K$10)</f>
        <v>0</v>
      </c>
      <c r="F101" s="39">
        <f>+'FY23'!F101*(1+MYP!$K$10)</f>
        <v>0</v>
      </c>
      <c r="G101" s="39">
        <f>+'FY23'!G101*(1+MYP!$K$10)</f>
        <v>0</v>
      </c>
      <c r="H101" s="39">
        <f>+'FY23'!H101*(1+MYP!$K$10)</f>
        <v>0</v>
      </c>
      <c r="I101" s="39">
        <f>+'FY23'!I101*(1+MYP!$K$10)</f>
        <v>0</v>
      </c>
      <c r="J101" s="39">
        <f>+'FY23'!J101*(1+MYP!$K$10)</f>
        <v>0</v>
      </c>
      <c r="K101" s="39">
        <f>+'FY23'!K101*(1+MYP!$K$10)</f>
        <v>0</v>
      </c>
      <c r="L101" s="39">
        <f>+'FY23'!L101*(1+MYP!$K$10)</f>
        <v>0</v>
      </c>
      <c r="M101" s="39">
        <f>+'FY23'!M101*(1+MYP!$K$10)</f>
        <v>0</v>
      </c>
      <c r="N101" s="39">
        <f>+'FY23'!N101*(1+MYP!$K$10)</f>
        <v>0</v>
      </c>
      <c r="O101" s="39">
        <f>+'FY23'!O101*(1+MYP!$K$10)</f>
        <v>0</v>
      </c>
      <c r="P101" s="39">
        <f>+'FY23'!P101*(1+MYP!$K$10)</f>
        <v>0</v>
      </c>
      <c r="Q101" s="100"/>
      <c r="R101" s="41"/>
      <c r="S101" s="59">
        <f t="shared" si="31"/>
        <v>0</v>
      </c>
      <c r="T101" s="41"/>
      <c r="U101" s="39">
        <f>'FY23'!S101</f>
        <v>0</v>
      </c>
      <c r="V101" s="39">
        <f t="shared" si="32"/>
        <v>0</v>
      </c>
      <c r="W101" s="39"/>
    </row>
    <row r="102" spans="3:23" s="37" customFormat="1" ht="12" x14ac:dyDescent="0.2">
      <c r="C102" s="199">
        <v>6652</v>
      </c>
      <c r="D102" s="37" t="s">
        <v>40</v>
      </c>
      <c r="E102" s="39">
        <f>+'FY23'!E102*(1+MYP!$K$10)</f>
        <v>0</v>
      </c>
      <c r="F102" s="39">
        <f>+'FY23'!F102*(1+MYP!$K$10)</f>
        <v>0</v>
      </c>
      <c r="G102" s="39">
        <f>+'FY23'!G102*(1+MYP!$K$10)</f>
        <v>0</v>
      </c>
      <c r="H102" s="39">
        <f>+'FY23'!H102*(1+MYP!$K$10)</f>
        <v>0</v>
      </c>
      <c r="I102" s="39">
        <f>+'FY23'!I102*(1+MYP!$K$10)</f>
        <v>0</v>
      </c>
      <c r="J102" s="39">
        <f>+'FY23'!J102*(1+MYP!$K$10)</f>
        <v>0</v>
      </c>
      <c r="K102" s="39">
        <f>+'FY23'!K102*(1+MYP!$K$10)</f>
        <v>0</v>
      </c>
      <c r="L102" s="39">
        <f>+'FY23'!L102*(1+MYP!$K$10)</f>
        <v>0</v>
      </c>
      <c r="M102" s="39">
        <f>+'FY23'!M102*(1+MYP!$K$10)</f>
        <v>0</v>
      </c>
      <c r="N102" s="39">
        <f>+'FY23'!N102*(1+MYP!$K$10)</f>
        <v>0</v>
      </c>
      <c r="O102" s="39">
        <f>+'FY23'!O102*(1+MYP!$K$10)</f>
        <v>0</v>
      </c>
      <c r="P102" s="39">
        <f>+'FY23'!P102*(1+MYP!$K$10)</f>
        <v>0</v>
      </c>
      <c r="Q102" s="100"/>
      <c r="R102" s="41"/>
      <c r="S102" s="59">
        <f t="shared" si="31"/>
        <v>0</v>
      </c>
      <c r="T102" s="41"/>
      <c r="U102" s="39">
        <f>'FY23'!S102</f>
        <v>0</v>
      </c>
      <c r="V102" s="39">
        <f t="shared" si="32"/>
        <v>0</v>
      </c>
      <c r="W102" s="39"/>
    </row>
    <row r="103" spans="3:23" s="37" customFormat="1" ht="12" x14ac:dyDescent="0.2">
      <c r="C103" s="38"/>
      <c r="E103" s="50">
        <f>SUBTOTAL(9,E96:E102)</f>
        <v>291.8322</v>
      </c>
      <c r="F103" s="50">
        <f t="shared" ref="F103:V103" si="33">SUBTOTAL(9,F96:F102)</f>
        <v>291.8322</v>
      </c>
      <c r="G103" s="50">
        <f t="shared" si="33"/>
        <v>291.8322</v>
      </c>
      <c r="H103" s="50">
        <f t="shared" si="33"/>
        <v>16654.881010999998</v>
      </c>
      <c r="I103" s="50">
        <f t="shared" si="33"/>
        <v>13561.466574999995</v>
      </c>
      <c r="J103" s="50">
        <f t="shared" si="33"/>
        <v>291.8322</v>
      </c>
      <c r="K103" s="50">
        <f t="shared" si="33"/>
        <v>291.8322</v>
      </c>
      <c r="L103" s="50">
        <f t="shared" si="33"/>
        <v>291.8322</v>
      </c>
      <c r="M103" s="50">
        <f t="shared" si="33"/>
        <v>291.8322</v>
      </c>
      <c r="N103" s="50">
        <f t="shared" si="33"/>
        <v>17553.763449999995</v>
      </c>
      <c r="O103" s="50">
        <f t="shared" si="33"/>
        <v>11090.044699999999</v>
      </c>
      <c r="P103" s="50">
        <f t="shared" si="33"/>
        <v>291.8322</v>
      </c>
      <c r="Q103" s="99"/>
      <c r="R103" s="41"/>
      <c r="S103" s="61">
        <f t="shared" si="33"/>
        <v>61194.813335999992</v>
      </c>
      <c r="T103" s="41"/>
      <c r="U103" s="50">
        <f t="shared" si="33"/>
        <v>53623.576799999988</v>
      </c>
      <c r="V103" s="50">
        <f t="shared" si="33"/>
        <v>-7571.2365360000013</v>
      </c>
      <c r="W103" s="39"/>
    </row>
    <row r="104" spans="3:23" s="37" customFormat="1" ht="12" x14ac:dyDescent="0.2">
      <c r="C104" s="49" t="s">
        <v>103</v>
      </c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100"/>
      <c r="R104" s="41"/>
      <c r="S104" s="59"/>
      <c r="T104" s="41"/>
      <c r="U104" s="39"/>
      <c r="V104" s="39"/>
      <c r="W104" s="39"/>
    </row>
    <row r="105" spans="3:23" s="37" customFormat="1" ht="12" x14ac:dyDescent="0.2">
      <c r="C105" s="199">
        <v>6734</v>
      </c>
      <c r="D105" s="37" t="s">
        <v>41</v>
      </c>
      <c r="E105" s="39">
        <f>+'FY23'!E105*(1+MYP!$K$10)</f>
        <v>0</v>
      </c>
      <c r="F105" s="39">
        <f>+'FY23'!F105*(1+MYP!$K$10)</f>
        <v>0</v>
      </c>
      <c r="G105" s="39">
        <f>+'FY23'!G105*(1+MYP!$K$10)</f>
        <v>0</v>
      </c>
      <c r="H105" s="39">
        <f>+'FY23'!H105*(1+MYP!$K$10)</f>
        <v>0</v>
      </c>
      <c r="I105" s="39">
        <f>+'FY23'!I105*(1+MYP!$K$10)</f>
        <v>0</v>
      </c>
      <c r="J105" s="39">
        <f>+'FY23'!J105*(1+MYP!$K$10)</f>
        <v>0</v>
      </c>
      <c r="K105" s="39">
        <f>+'FY23'!K105*(1+MYP!$K$10)</f>
        <v>0</v>
      </c>
      <c r="L105" s="39">
        <f>+'FY23'!L105*(1+MYP!$K$10)</f>
        <v>0</v>
      </c>
      <c r="M105" s="39">
        <f>+'FY23'!M105*(1+MYP!$K$10)</f>
        <v>0</v>
      </c>
      <c r="N105" s="39">
        <f>+'FY23'!N105*(1+MYP!$K$10)</f>
        <v>0</v>
      </c>
      <c r="O105" s="39">
        <f>+'FY23'!O105*(1+MYP!$K$10)</f>
        <v>0</v>
      </c>
      <c r="P105" s="39">
        <f>+'FY23'!P105*(1+MYP!$K$10)</f>
        <v>0</v>
      </c>
      <c r="Q105" s="100"/>
      <c r="R105" s="41"/>
      <c r="S105" s="59">
        <f t="shared" ref="S105" si="34">SUM(E105:Q105)</f>
        <v>0</v>
      </c>
      <c r="T105" s="41"/>
      <c r="U105" s="39">
        <f>'FY23'!S105</f>
        <v>0</v>
      </c>
      <c r="V105" s="39">
        <f t="shared" ref="V105" si="35">U105-S105</f>
        <v>0</v>
      </c>
      <c r="W105" s="39"/>
    </row>
    <row r="106" spans="3:23" s="37" customFormat="1" ht="12" x14ac:dyDescent="0.2">
      <c r="C106" s="38"/>
      <c r="E106" s="50">
        <f>SUBTOTAL(9,E105)</f>
        <v>0</v>
      </c>
      <c r="F106" s="50">
        <f t="shared" ref="F106:V106" si="36">SUBTOTAL(9,F105)</f>
        <v>0</v>
      </c>
      <c r="G106" s="50">
        <f t="shared" si="36"/>
        <v>0</v>
      </c>
      <c r="H106" s="50">
        <f t="shared" si="36"/>
        <v>0</v>
      </c>
      <c r="I106" s="50">
        <f t="shared" si="36"/>
        <v>0</v>
      </c>
      <c r="J106" s="50">
        <f t="shared" si="36"/>
        <v>0</v>
      </c>
      <c r="K106" s="50">
        <f t="shared" si="36"/>
        <v>0</v>
      </c>
      <c r="L106" s="50">
        <f t="shared" si="36"/>
        <v>0</v>
      </c>
      <c r="M106" s="50">
        <f t="shared" si="36"/>
        <v>0</v>
      </c>
      <c r="N106" s="50">
        <f t="shared" si="36"/>
        <v>0</v>
      </c>
      <c r="O106" s="50">
        <f t="shared" si="36"/>
        <v>0</v>
      </c>
      <c r="P106" s="50">
        <f t="shared" si="36"/>
        <v>0</v>
      </c>
      <c r="Q106" s="99"/>
      <c r="R106" s="41"/>
      <c r="S106" s="61">
        <f t="shared" si="36"/>
        <v>0</v>
      </c>
      <c r="T106" s="41"/>
      <c r="U106" s="50">
        <f t="shared" si="36"/>
        <v>0</v>
      </c>
      <c r="V106" s="50">
        <f t="shared" si="36"/>
        <v>0</v>
      </c>
      <c r="W106" s="39"/>
    </row>
    <row r="107" spans="3:23" s="37" customFormat="1" ht="12" x14ac:dyDescent="0.2">
      <c r="C107" s="49" t="s">
        <v>104</v>
      </c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100"/>
      <c r="R107" s="41"/>
      <c r="S107" s="59"/>
      <c r="T107" s="41"/>
      <c r="U107" s="39"/>
      <c r="V107" s="39"/>
      <c r="W107" s="39"/>
    </row>
    <row r="108" spans="3:23" s="37" customFormat="1" ht="12" x14ac:dyDescent="0.2">
      <c r="C108" s="199">
        <v>6810</v>
      </c>
      <c r="D108" s="37" t="s">
        <v>42</v>
      </c>
      <c r="E108" s="39">
        <f>+'FY23'!E108*(1+MYP!$K$10)</f>
        <v>10.612080000000001</v>
      </c>
      <c r="F108" s="39">
        <f>+'FY23'!F108*(1+MYP!$K$10)</f>
        <v>74.284559999999999</v>
      </c>
      <c r="G108" s="39">
        <f>+'FY23'!G108*(1+MYP!$K$10)</f>
        <v>382.03487999999999</v>
      </c>
      <c r="H108" s="39">
        <f>+'FY23'!H108*(1+MYP!$K$10)</f>
        <v>10.612080000000001</v>
      </c>
      <c r="I108" s="39">
        <f>+'FY23'!I108*(1+MYP!$K$10)</f>
        <v>10.612080000000001</v>
      </c>
      <c r="J108" s="39">
        <f>+'FY23'!J108*(1+MYP!$K$10)</f>
        <v>74.284559999999999</v>
      </c>
      <c r="K108" s="39">
        <f>+'FY23'!K108*(1+MYP!$K$10)</f>
        <v>10.612080000000001</v>
      </c>
      <c r="L108" s="39">
        <f>+'FY23'!L108*(1+MYP!$K$10)</f>
        <v>106.1208</v>
      </c>
      <c r="M108" s="39">
        <f>+'FY23'!M108*(1+MYP!$K$10)</f>
        <v>10.612080000000001</v>
      </c>
      <c r="N108" s="39">
        <f>+'FY23'!N108*(1+MYP!$K$10)</f>
        <v>10.612080000000001</v>
      </c>
      <c r="O108" s="39">
        <f>+'FY23'!O108*(1+MYP!$K$10)</f>
        <v>10.612080000000001</v>
      </c>
      <c r="P108" s="39">
        <f>+'FY23'!P108*(1+MYP!$K$10)</f>
        <v>10.612080000000001</v>
      </c>
      <c r="Q108" s="100"/>
      <c r="R108" s="41"/>
      <c r="S108" s="59">
        <f t="shared" ref="S108" si="37">SUM(E108:Q108)</f>
        <v>721.62143999999989</v>
      </c>
      <c r="T108" s="41"/>
      <c r="U108" s="39">
        <f>'FY23'!S108</f>
        <v>707.47199999999987</v>
      </c>
      <c r="V108" s="39">
        <f t="shared" ref="V108" si="38">U108-S108</f>
        <v>-14.149440000000027</v>
      </c>
      <c r="W108" s="39"/>
    </row>
    <row r="109" spans="3:23" s="37" customFormat="1" ht="12" x14ac:dyDescent="0.2">
      <c r="C109" s="38"/>
      <c r="E109" s="50">
        <f>SUBTOTAL(9,E108)</f>
        <v>10.612080000000001</v>
      </c>
      <c r="F109" s="50">
        <f t="shared" ref="F109:P109" si="39">SUBTOTAL(9,F108)</f>
        <v>74.284559999999999</v>
      </c>
      <c r="G109" s="50">
        <f t="shared" si="39"/>
        <v>382.03487999999999</v>
      </c>
      <c r="H109" s="50">
        <f t="shared" si="39"/>
        <v>10.612080000000001</v>
      </c>
      <c r="I109" s="50">
        <f t="shared" si="39"/>
        <v>10.612080000000001</v>
      </c>
      <c r="J109" s="50">
        <f t="shared" si="39"/>
        <v>74.284559999999999</v>
      </c>
      <c r="K109" s="50">
        <f t="shared" si="39"/>
        <v>10.612080000000001</v>
      </c>
      <c r="L109" s="50">
        <f t="shared" si="39"/>
        <v>106.1208</v>
      </c>
      <c r="M109" s="50">
        <f t="shared" si="39"/>
        <v>10.612080000000001</v>
      </c>
      <c r="N109" s="50">
        <f t="shared" si="39"/>
        <v>10.612080000000001</v>
      </c>
      <c r="O109" s="50">
        <f t="shared" si="39"/>
        <v>10.612080000000001</v>
      </c>
      <c r="P109" s="50">
        <f t="shared" si="39"/>
        <v>10.612080000000001</v>
      </c>
      <c r="Q109" s="99"/>
      <c r="R109" s="41"/>
      <c r="S109" s="61">
        <f t="shared" ref="S109" si="40">SUBTOTAL(9,S108)</f>
        <v>721.62143999999989</v>
      </c>
      <c r="T109" s="41"/>
      <c r="U109" s="50">
        <f t="shared" ref="U109:V109" si="41">SUBTOTAL(9,U108)</f>
        <v>707.47199999999987</v>
      </c>
      <c r="V109" s="50">
        <f t="shared" si="41"/>
        <v>-14.149440000000027</v>
      </c>
      <c r="W109" s="39"/>
    </row>
    <row r="110" spans="3:23" s="45" customFormat="1" ht="12" x14ac:dyDescent="0.2">
      <c r="C110" s="49" t="s">
        <v>43</v>
      </c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101"/>
      <c r="R110" s="48"/>
      <c r="S110" s="62"/>
      <c r="T110" s="48"/>
      <c r="U110" s="48"/>
      <c r="V110" s="48"/>
      <c r="W110" s="40"/>
    </row>
    <row r="111" spans="3:23" s="37" customFormat="1" ht="12" x14ac:dyDescent="0.2">
      <c r="C111" s="199">
        <v>7306</v>
      </c>
      <c r="D111" s="37" t="s">
        <v>43</v>
      </c>
      <c r="E111" s="39">
        <f>+'FY23'!E111*(1+MYP!$K$10)</f>
        <v>0</v>
      </c>
      <c r="F111" s="39">
        <f>+'FY23'!F111*(1+MYP!$K$10)</f>
        <v>0</v>
      </c>
      <c r="G111" s="39">
        <f>+'FY23'!G111*(1+MYP!$K$10)</f>
        <v>0</v>
      </c>
      <c r="H111" s="39">
        <f>+'FY23'!H111*(1+MYP!$K$10)</f>
        <v>0</v>
      </c>
      <c r="I111" s="39">
        <f>+'FY23'!I111*(1+MYP!$K$10)</f>
        <v>0</v>
      </c>
      <c r="J111" s="39">
        <f>+'FY23'!J111*(1+MYP!$K$10)</f>
        <v>0</v>
      </c>
      <c r="K111" s="39">
        <f>+'FY23'!K111*(1+MYP!$K$10)</f>
        <v>0</v>
      </c>
      <c r="L111" s="39">
        <f>+'FY23'!L111*(1+MYP!$K$10)</f>
        <v>0</v>
      </c>
      <c r="M111" s="39">
        <f>+'FY23'!M111*(1+MYP!$K$10)</f>
        <v>0</v>
      </c>
      <c r="N111" s="39">
        <f>+'FY23'!N111*(1+MYP!$K$10)</f>
        <v>0</v>
      </c>
      <c r="O111" s="39">
        <f>+'FY23'!O111*(1+MYP!$K$10)</f>
        <v>0</v>
      </c>
      <c r="P111" s="39">
        <f>+'FY23'!P111*(1+MYP!$K$10)</f>
        <v>0</v>
      </c>
      <c r="Q111" s="100"/>
      <c r="R111" s="41"/>
      <c r="S111" s="62">
        <f t="shared" ref="S111:S112" si="42">SUM(E111:Q111)</f>
        <v>0</v>
      </c>
      <c r="T111" s="41"/>
      <c r="U111" s="41">
        <f>'FY23'!S111</f>
        <v>0</v>
      </c>
      <c r="V111" s="41">
        <f t="shared" ref="V111" si="43">U111-S111</f>
        <v>0</v>
      </c>
      <c r="W111" s="39"/>
    </row>
    <row r="112" spans="3:23" s="37" customFormat="1" ht="12" x14ac:dyDescent="0.2">
      <c r="C112" s="38">
        <v>7901</v>
      </c>
      <c r="D112" s="37" t="s">
        <v>178</v>
      </c>
      <c r="E112" s="39">
        <f>+'FY23'!E112*(1+MYP!$K$10)</f>
        <v>0</v>
      </c>
      <c r="F112" s="39">
        <f>+'FY23'!F112*(1+MYP!$K$10)</f>
        <v>0</v>
      </c>
      <c r="G112" s="39">
        <f>+'FY23'!G112*(1+MYP!$K$10)</f>
        <v>0</v>
      </c>
      <c r="H112" s="39">
        <f>+'FY23'!H112*(1+MYP!$K$10)</f>
        <v>0</v>
      </c>
      <c r="I112" s="39">
        <f>+'FY23'!I112*(1+MYP!$K$10)</f>
        <v>0</v>
      </c>
      <c r="J112" s="39">
        <f>+'FY23'!J112*(1+MYP!$K$10)</f>
        <v>0</v>
      </c>
      <c r="K112" s="39">
        <f>+'FY23'!K112*(1+MYP!$K$10)</f>
        <v>0</v>
      </c>
      <c r="L112" s="39">
        <f>+'FY23'!L112*(1+MYP!$K$10)</f>
        <v>0</v>
      </c>
      <c r="M112" s="39">
        <f>+'FY23'!M112*(1+MYP!$K$10)</f>
        <v>0</v>
      </c>
      <c r="N112" s="39">
        <f>+'FY23'!N112*(1+MYP!$K$10)</f>
        <v>0</v>
      </c>
      <c r="O112" s="39">
        <f>+'FY23'!O112*(1+MYP!$K$10)</f>
        <v>0</v>
      </c>
      <c r="P112" s="39">
        <f>+'FY23'!P112*(1+MYP!$K$10)</f>
        <v>0</v>
      </c>
      <c r="Q112" s="100"/>
      <c r="R112" s="41"/>
      <c r="S112" s="62">
        <f t="shared" si="42"/>
        <v>0</v>
      </c>
      <c r="T112" s="41"/>
      <c r="U112" s="41">
        <f>'FY23'!S112</f>
        <v>0</v>
      </c>
      <c r="V112" s="41">
        <f t="shared" ref="V112" si="44">U112-S112</f>
        <v>0</v>
      </c>
      <c r="W112" s="39"/>
    </row>
    <row r="113" spans="1:23" s="37" customFormat="1" ht="12" x14ac:dyDescent="0.2">
      <c r="C113" s="38"/>
      <c r="E113" s="50">
        <f>SUBTOTAL(9,E111:E112)</f>
        <v>0</v>
      </c>
      <c r="F113" s="50">
        <f t="shared" ref="F113:P113" si="45">SUBTOTAL(9,F111:F112)</f>
        <v>0</v>
      </c>
      <c r="G113" s="50">
        <f t="shared" si="45"/>
        <v>0</v>
      </c>
      <c r="H113" s="50">
        <f t="shared" si="45"/>
        <v>0</v>
      </c>
      <c r="I113" s="50">
        <f t="shared" si="45"/>
        <v>0</v>
      </c>
      <c r="J113" s="50">
        <f t="shared" si="45"/>
        <v>0</v>
      </c>
      <c r="K113" s="50">
        <f t="shared" si="45"/>
        <v>0</v>
      </c>
      <c r="L113" s="50">
        <f t="shared" si="45"/>
        <v>0</v>
      </c>
      <c r="M113" s="50">
        <f t="shared" si="45"/>
        <v>0</v>
      </c>
      <c r="N113" s="50">
        <f t="shared" si="45"/>
        <v>0</v>
      </c>
      <c r="O113" s="50">
        <f t="shared" si="45"/>
        <v>0</v>
      </c>
      <c r="P113" s="50">
        <f t="shared" si="45"/>
        <v>0</v>
      </c>
      <c r="Q113" s="99"/>
      <c r="R113" s="41"/>
      <c r="S113" s="61">
        <f>SUBTOTAL(9,S111:S112)</f>
        <v>0</v>
      </c>
      <c r="T113" s="41"/>
      <c r="U113" s="50">
        <f>SUBTOTAL(9,U111:U112)</f>
        <v>0</v>
      </c>
      <c r="V113" s="50">
        <f>SUBTOTAL(9,V111:V112)</f>
        <v>0</v>
      </c>
      <c r="W113" s="39"/>
    </row>
    <row r="114" spans="1:23" s="37" customFormat="1" ht="9" customHeight="1" x14ac:dyDescent="0.2">
      <c r="C114" s="38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100"/>
      <c r="R114" s="41"/>
      <c r="S114" s="59"/>
      <c r="T114" s="41"/>
      <c r="U114" s="39"/>
      <c r="V114" s="39"/>
      <c r="W114" s="39"/>
    </row>
    <row r="115" spans="1:23" s="45" customFormat="1" ht="12" x14ac:dyDescent="0.2">
      <c r="A115" s="45" t="s">
        <v>107</v>
      </c>
      <c r="C115" s="46"/>
      <c r="E115" s="43">
        <f t="shared" ref="E115:P115" si="46">SUBTOTAL(9,E30:E114)</f>
        <v>25386.598845794506</v>
      </c>
      <c r="F115" s="43">
        <f t="shared" si="46"/>
        <v>22943.495372234509</v>
      </c>
      <c r="G115" s="43">
        <f t="shared" si="46"/>
        <v>23357.366492234509</v>
      </c>
      <c r="H115" s="43">
        <f t="shared" si="46"/>
        <v>94289.559441234509</v>
      </c>
      <c r="I115" s="43">
        <f t="shared" si="46"/>
        <v>111667.53386179448</v>
      </c>
      <c r="J115" s="43">
        <f t="shared" si="46"/>
        <v>19816.954301794507</v>
      </c>
      <c r="K115" s="43">
        <f t="shared" si="46"/>
        <v>21975.482658794503</v>
      </c>
      <c r="L115" s="43">
        <f t="shared" si="46"/>
        <v>22975.33161223451</v>
      </c>
      <c r="M115" s="43">
        <f t="shared" si="46"/>
        <v>87035.631038674488</v>
      </c>
      <c r="N115" s="43">
        <f t="shared" si="46"/>
        <v>137799.71202179449</v>
      </c>
      <c r="O115" s="43">
        <f t="shared" si="46"/>
        <v>31506.581521794506</v>
      </c>
      <c r="P115" s="43">
        <f t="shared" si="46"/>
        <v>22081.603458794503</v>
      </c>
      <c r="Q115" s="47"/>
      <c r="R115" s="48"/>
      <c r="S115" s="60">
        <f>SUBTOTAL(9,S30:S114)</f>
        <v>620835.85062717414</v>
      </c>
      <c r="T115" s="48"/>
      <c r="U115" s="43">
        <f>SUBTOTAL(9,U30:U114)</f>
        <v>570199.05208546482</v>
      </c>
      <c r="V115" s="43">
        <f>SUBTOTAL(9,V30:V114)</f>
        <v>-50636.798541709264</v>
      </c>
      <c r="W115" s="40"/>
    </row>
    <row r="116" spans="1:23" s="37" customFormat="1" ht="12" x14ac:dyDescent="0.2">
      <c r="C116" s="38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44"/>
      <c r="R116" s="41"/>
      <c r="S116" s="59"/>
      <c r="T116" s="41"/>
      <c r="U116" s="39"/>
      <c r="V116" s="39"/>
      <c r="W116" s="39"/>
    </row>
    <row r="117" spans="1:23" s="45" customFormat="1" ht="12.75" thickBot="1" x14ac:dyDescent="0.25">
      <c r="A117" s="45" t="s">
        <v>108</v>
      </c>
      <c r="C117" s="46"/>
      <c r="E117" s="181">
        <f t="shared" ref="E117:P117" si="47">E27-E115</f>
        <v>28380.961154205477</v>
      </c>
      <c r="F117" s="181">
        <f t="shared" si="47"/>
        <v>30824.064627765474</v>
      </c>
      <c r="G117" s="181">
        <f t="shared" si="47"/>
        <v>30410.193507765474</v>
      </c>
      <c r="H117" s="181">
        <f t="shared" si="47"/>
        <v>-40521.999441234526</v>
      </c>
      <c r="I117" s="181">
        <f t="shared" si="47"/>
        <v>-57899.973861794497</v>
      </c>
      <c r="J117" s="181">
        <f t="shared" si="47"/>
        <v>33950.605698205472</v>
      </c>
      <c r="K117" s="181">
        <f t="shared" si="47"/>
        <v>31792.07734120548</v>
      </c>
      <c r="L117" s="181">
        <f t="shared" si="47"/>
        <v>30792.228387765474</v>
      </c>
      <c r="M117" s="181">
        <f t="shared" si="47"/>
        <v>-33268.071038674505</v>
      </c>
      <c r="N117" s="181">
        <f t="shared" si="47"/>
        <v>-84032.152021794507</v>
      </c>
      <c r="O117" s="181">
        <f t="shared" si="47"/>
        <v>22260.978478205478</v>
      </c>
      <c r="P117" s="181">
        <f t="shared" si="47"/>
        <v>31685.95654120548</v>
      </c>
      <c r="Q117" s="190"/>
      <c r="R117" s="191"/>
      <c r="S117" s="192">
        <f>S27-S115</f>
        <v>24374.86937282572</v>
      </c>
      <c r="T117" s="191"/>
      <c r="U117" s="181">
        <f>U27-U115</f>
        <v>16356.147914535133</v>
      </c>
      <c r="V117" s="181">
        <f>V27+V115</f>
        <v>8018.7214582907254</v>
      </c>
      <c r="W117" s="40"/>
    </row>
    <row r="118" spans="1:23" s="37" customFormat="1" ht="12.75" thickTop="1" x14ac:dyDescent="0.2">
      <c r="C118" s="38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44"/>
      <c r="R118" s="41"/>
      <c r="S118" s="59"/>
      <c r="T118" s="41"/>
      <c r="U118" s="39"/>
      <c r="V118" s="39"/>
      <c r="W118" s="39"/>
    </row>
    <row r="119" spans="1:23" s="37" customFormat="1" ht="12" x14ac:dyDescent="0.2">
      <c r="A119" s="53" t="s">
        <v>109</v>
      </c>
      <c r="B119" s="54"/>
      <c r="C119" s="54"/>
      <c r="D119" s="54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44"/>
      <c r="R119" s="41"/>
      <c r="S119" s="59"/>
      <c r="T119" s="41"/>
      <c r="U119" s="39"/>
      <c r="V119" s="39"/>
      <c r="W119" s="39"/>
    </row>
    <row r="120" spans="1:23" s="37" customFormat="1" ht="12" x14ac:dyDescent="0.2">
      <c r="A120" s="53"/>
      <c r="B120" s="53"/>
      <c r="C120" s="54" t="s">
        <v>110</v>
      </c>
      <c r="D120" s="54"/>
      <c r="E120" s="39">
        <f>E117</f>
        <v>28380.961154205477</v>
      </c>
      <c r="F120" s="39">
        <f t="shared" ref="F120:P120" si="48">F117</f>
        <v>30824.064627765474</v>
      </c>
      <c r="G120" s="39">
        <f t="shared" si="48"/>
        <v>30410.193507765474</v>
      </c>
      <c r="H120" s="39">
        <f t="shared" si="48"/>
        <v>-40521.999441234526</v>
      </c>
      <c r="I120" s="39">
        <f t="shared" si="48"/>
        <v>-57899.973861794497</v>
      </c>
      <c r="J120" s="39">
        <f t="shared" si="48"/>
        <v>33950.605698205472</v>
      </c>
      <c r="K120" s="39">
        <f t="shared" si="48"/>
        <v>31792.07734120548</v>
      </c>
      <c r="L120" s="39">
        <f t="shared" si="48"/>
        <v>30792.228387765474</v>
      </c>
      <c r="M120" s="39">
        <f t="shared" si="48"/>
        <v>-33268.071038674505</v>
      </c>
      <c r="N120" s="39">
        <f t="shared" si="48"/>
        <v>-84032.152021794507</v>
      </c>
      <c r="O120" s="39">
        <f t="shared" si="48"/>
        <v>22260.978478205478</v>
      </c>
      <c r="P120" s="39">
        <f t="shared" si="48"/>
        <v>31685.95654120548</v>
      </c>
      <c r="Q120" s="44"/>
      <c r="R120" s="41"/>
      <c r="S120" s="59">
        <f t="shared" ref="S120:S136" si="49">SUM(E120:Q120)</f>
        <v>24374.869372825779</v>
      </c>
      <c r="T120" s="41"/>
      <c r="U120" s="39"/>
      <c r="V120" s="39"/>
      <c r="W120" s="39"/>
    </row>
    <row r="121" spans="1:23" s="37" customFormat="1" ht="12" x14ac:dyDescent="0.2">
      <c r="A121" s="54"/>
      <c r="B121" s="54" t="s">
        <v>111</v>
      </c>
      <c r="C121" s="54" t="s">
        <v>112</v>
      </c>
      <c r="D121" s="54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44"/>
      <c r="R121" s="41"/>
      <c r="S121" s="59"/>
      <c r="T121" s="41"/>
      <c r="U121" s="39"/>
      <c r="V121" s="39"/>
      <c r="W121" s="39"/>
    </row>
    <row r="122" spans="1:23" s="37" customFormat="1" ht="12" x14ac:dyDescent="0.2">
      <c r="A122" s="54"/>
      <c r="B122" s="54" t="s">
        <v>111</v>
      </c>
      <c r="C122" s="54"/>
      <c r="D122" s="55" t="s">
        <v>113</v>
      </c>
      <c r="E122" s="39">
        <f>E112</f>
        <v>0</v>
      </c>
      <c r="F122" s="39">
        <f t="shared" ref="F122:P122" si="50">F112</f>
        <v>0</v>
      </c>
      <c r="G122" s="39">
        <f t="shared" si="50"/>
        <v>0</v>
      </c>
      <c r="H122" s="39">
        <f t="shared" si="50"/>
        <v>0</v>
      </c>
      <c r="I122" s="39">
        <f t="shared" si="50"/>
        <v>0</v>
      </c>
      <c r="J122" s="39">
        <f t="shared" si="50"/>
        <v>0</v>
      </c>
      <c r="K122" s="39">
        <f t="shared" si="50"/>
        <v>0</v>
      </c>
      <c r="L122" s="39">
        <f t="shared" si="50"/>
        <v>0</v>
      </c>
      <c r="M122" s="39">
        <f t="shared" si="50"/>
        <v>0</v>
      </c>
      <c r="N122" s="39">
        <f t="shared" si="50"/>
        <v>0</v>
      </c>
      <c r="O122" s="39">
        <f t="shared" si="50"/>
        <v>0</v>
      </c>
      <c r="P122" s="39">
        <f t="shared" si="50"/>
        <v>0</v>
      </c>
      <c r="Q122" s="44"/>
      <c r="R122" s="41"/>
      <c r="S122" s="59">
        <f t="shared" si="49"/>
        <v>0</v>
      </c>
      <c r="T122" s="41"/>
      <c r="U122" s="39"/>
      <c r="V122" s="39"/>
      <c r="W122" s="39"/>
    </row>
    <row r="123" spans="1:23" s="37" customFormat="1" ht="12" x14ac:dyDescent="0.2">
      <c r="A123" s="54"/>
      <c r="B123" s="54" t="s">
        <v>111</v>
      </c>
      <c r="C123" s="54"/>
      <c r="D123" s="55" t="s">
        <v>114</v>
      </c>
      <c r="E123" s="39">
        <f>-'FY23'!Q123</f>
        <v>0</v>
      </c>
      <c r="F123" s="39">
        <v>0</v>
      </c>
      <c r="G123" s="39">
        <v>0</v>
      </c>
      <c r="H123" s="39">
        <v>0</v>
      </c>
      <c r="I123" s="39">
        <v>0</v>
      </c>
      <c r="J123" s="39">
        <v>0</v>
      </c>
      <c r="K123" s="39">
        <v>0</v>
      </c>
      <c r="L123" s="39">
        <v>0</v>
      </c>
      <c r="M123" s="39">
        <v>0</v>
      </c>
      <c r="N123" s="39">
        <v>0</v>
      </c>
      <c r="O123" s="39">
        <v>0</v>
      </c>
      <c r="P123" s="39">
        <v>0</v>
      </c>
      <c r="Q123" s="44"/>
      <c r="R123" s="41"/>
      <c r="S123" s="59">
        <f t="shared" si="49"/>
        <v>0</v>
      </c>
      <c r="T123" s="41"/>
      <c r="U123" s="39"/>
      <c r="V123" s="39"/>
      <c r="W123" s="39"/>
    </row>
    <row r="124" spans="1:23" s="37" customFormat="1" ht="12" x14ac:dyDescent="0.2">
      <c r="A124" s="54"/>
      <c r="B124" s="54" t="s">
        <v>111</v>
      </c>
      <c r="C124" s="54"/>
      <c r="D124" s="55" t="s">
        <v>115</v>
      </c>
      <c r="E124" s="39">
        <v>0</v>
      </c>
      <c r="F124" s="39">
        <v>0</v>
      </c>
      <c r="G124" s="39">
        <v>0</v>
      </c>
      <c r="H124" s="39">
        <v>0</v>
      </c>
      <c r="I124" s="39">
        <v>0</v>
      </c>
      <c r="J124" s="39">
        <v>0</v>
      </c>
      <c r="K124" s="39">
        <v>0</v>
      </c>
      <c r="L124" s="39">
        <v>0</v>
      </c>
      <c r="M124" s="39">
        <v>0</v>
      </c>
      <c r="N124" s="39">
        <v>0</v>
      </c>
      <c r="O124" s="39">
        <v>0</v>
      </c>
      <c r="P124" s="39">
        <v>0</v>
      </c>
      <c r="Q124" s="44"/>
      <c r="R124" s="41"/>
      <c r="S124" s="59">
        <f t="shared" si="49"/>
        <v>0</v>
      </c>
      <c r="T124" s="41"/>
      <c r="U124" s="39"/>
      <c r="V124" s="39"/>
      <c r="W124" s="39"/>
    </row>
    <row r="125" spans="1:23" s="37" customFormat="1" ht="12" x14ac:dyDescent="0.2">
      <c r="A125" s="54"/>
      <c r="B125" s="54" t="s">
        <v>111</v>
      </c>
      <c r="C125" s="54"/>
      <c r="D125" s="55" t="s">
        <v>116</v>
      </c>
      <c r="E125" s="39">
        <v>0</v>
      </c>
      <c r="F125" s="39">
        <v>0</v>
      </c>
      <c r="G125" s="39">
        <v>0</v>
      </c>
      <c r="H125" s="39">
        <v>0</v>
      </c>
      <c r="I125" s="39">
        <v>0</v>
      </c>
      <c r="J125" s="39">
        <v>0</v>
      </c>
      <c r="K125" s="39">
        <v>0</v>
      </c>
      <c r="L125" s="39">
        <v>0</v>
      </c>
      <c r="M125" s="39">
        <v>0</v>
      </c>
      <c r="N125" s="39">
        <v>0</v>
      </c>
      <c r="O125" s="39">
        <v>0</v>
      </c>
      <c r="P125" s="39">
        <v>0</v>
      </c>
      <c r="Q125" s="44"/>
      <c r="R125" s="41"/>
      <c r="S125" s="59">
        <f t="shared" si="49"/>
        <v>0</v>
      </c>
      <c r="T125" s="41"/>
      <c r="U125" s="39"/>
      <c r="V125" s="39"/>
      <c r="W125" s="39"/>
    </row>
    <row r="126" spans="1:23" s="37" customFormat="1" ht="12" x14ac:dyDescent="0.2">
      <c r="A126" s="54"/>
      <c r="B126" s="54" t="s">
        <v>111</v>
      </c>
      <c r="C126" s="54"/>
      <c r="D126" s="55" t="s">
        <v>117</v>
      </c>
      <c r="E126" s="39">
        <v>0</v>
      </c>
      <c r="F126" s="39">
        <v>0</v>
      </c>
      <c r="G126" s="39">
        <v>0</v>
      </c>
      <c r="H126" s="39">
        <v>0</v>
      </c>
      <c r="I126" s="39">
        <v>0</v>
      </c>
      <c r="J126" s="39">
        <v>0</v>
      </c>
      <c r="K126" s="39">
        <v>0</v>
      </c>
      <c r="L126" s="39">
        <v>0</v>
      </c>
      <c r="M126" s="39">
        <v>0</v>
      </c>
      <c r="N126" s="39">
        <v>0</v>
      </c>
      <c r="O126" s="39">
        <v>0</v>
      </c>
      <c r="P126" s="39">
        <v>0</v>
      </c>
      <c r="Q126" s="44"/>
      <c r="R126" s="41"/>
      <c r="S126" s="59">
        <f t="shared" si="49"/>
        <v>0</v>
      </c>
      <c r="T126" s="41"/>
      <c r="U126" s="39"/>
      <c r="V126" s="39"/>
      <c r="W126" s="39"/>
    </row>
    <row r="127" spans="1:23" s="37" customFormat="1" ht="12" x14ac:dyDescent="0.2">
      <c r="A127" s="54"/>
      <c r="B127" s="54" t="s">
        <v>111</v>
      </c>
      <c r="C127" s="54"/>
      <c r="D127" s="55" t="s">
        <v>118</v>
      </c>
      <c r="E127" s="39">
        <v>0</v>
      </c>
      <c r="F127" s="39">
        <v>0</v>
      </c>
      <c r="G127" s="39">
        <v>0</v>
      </c>
      <c r="H127" s="39">
        <v>0</v>
      </c>
      <c r="I127" s="39">
        <v>0</v>
      </c>
      <c r="J127" s="39">
        <v>0</v>
      </c>
      <c r="K127" s="39">
        <v>0</v>
      </c>
      <c r="L127" s="39">
        <v>0</v>
      </c>
      <c r="M127" s="39">
        <v>0</v>
      </c>
      <c r="N127" s="39">
        <v>0</v>
      </c>
      <c r="O127" s="39">
        <v>0</v>
      </c>
      <c r="P127" s="39">
        <v>0</v>
      </c>
      <c r="Q127" s="44"/>
      <c r="R127" s="41"/>
      <c r="S127" s="59">
        <f t="shared" si="49"/>
        <v>0</v>
      </c>
      <c r="T127" s="41"/>
      <c r="U127" s="39"/>
      <c r="V127" s="39"/>
      <c r="W127" s="39"/>
    </row>
    <row r="128" spans="1:23" s="37" customFormat="1" ht="12" x14ac:dyDescent="0.2">
      <c r="A128" s="54"/>
      <c r="B128" s="54" t="s">
        <v>111</v>
      </c>
      <c r="C128" s="54"/>
      <c r="D128" s="55" t="s">
        <v>119</v>
      </c>
      <c r="E128" s="39">
        <f>-'FY23'!Q128</f>
        <v>0</v>
      </c>
      <c r="F128" s="39">
        <v>0</v>
      </c>
      <c r="G128" s="39">
        <v>0</v>
      </c>
      <c r="H128" s="39">
        <v>0</v>
      </c>
      <c r="I128" s="39">
        <v>0</v>
      </c>
      <c r="J128" s="39">
        <v>0</v>
      </c>
      <c r="K128" s="39">
        <v>0</v>
      </c>
      <c r="L128" s="39">
        <v>0</v>
      </c>
      <c r="M128" s="39">
        <v>0</v>
      </c>
      <c r="N128" s="39">
        <v>0</v>
      </c>
      <c r="O128" s="39">
        <v>0</v>
      </c>
      <c r="P128" s="39">
        <v>0</v>
      </c>
      <c r="Q128" s="44"/>
      <c r="R128" s="41"/>
      <c r="S128" s="59">
        <f t="shared" si="49"/>
        <v>0</v>
      </c>
      <c r="T128" s="41"/>
      <c r="U128" s="39"/>
      <c r="V128" s="39"/>
      <c r="W128" s="39"/>
    </row>
    <row r="129" spans="1:23" s="37" customFormat="1" ht="12" x14ac:dyDescent="0.2">
      <c r="A129" s="54"/>
      <c r="B129" s="54" t="s">
        <v>111</v>
      </c>
      <c r="C129" s="54"/>
      <c r="D129" s="55" t="s">
        <v>120</v>
      </c>
      <c r="E129" s="39">
        <v>0</v>
      </c>
      <c r="F129" s="39">
        <v>0</v>
      </c>
      <c r="G129" s="39">
        <v>0</v>
      </c>
      <c r="H129" s="39">
        <v>0</v>
      </c>
      <c r="I129" s="39">
        <v>0</v>
      </c>
      <c r="J129" s="39">
        <v>0</v>
      </c>
      <c r="K129" s="39">
        <v>0</v>
      </c>
      <c r="L129" s="39">
        <v>0</v>
      </c>
      <c r="M129" s="39">
        <v>0</v>
      </c>
      <c r="N129" s="39">
        <v>0</v>
      </c>
      <c r="O129" s="39">
        <v>0</v>
      </c>
      <c r="P129" s="39">
        <v>0</v>
      </c>
      <c r="Q129" s="44"/>
      <c r="R129" s="41"/>
      <c r="S129" s="59">
        <f t="shared" si="49"/>
        <v>0</v>
      </c>
      <c r="T129" s="41"/>
      <c r="U129" s="39"/>
      <c r="V129" s="39"/>
      <c r="W129" s="39"/>
    </row>
    <row r="130" spans="1:23" s="37" customFormat="1" ht="12" x14ac:dyDescent="0.2">
      <c r="A130" s="54"/>
      <c r="B130" s="54" t="s">
        <v>111</v>
      </c>
      <c r="C130" s="54"/>
      <c r="D130" s="55" t="s">
        <v>121</v>
      </c>
      <c r="E130" s="39">
        <v>0</v>
      </c>
      <c r="F130" s="39">
        <v>0</v>
      </c>
      <c r="G130" s="39">
        <v>0</v>
      </c>
      <c r="H130" s="39">
        <v>0</v>
      </c>
      <c r="I130" s="39">
        <v>0</v>
      </c>
      <c r="J130" s="39">
        <v>0</v>
      </c>
      <c r="K130" s="39">
        <v>0</v>
      </c>
      <c r="L130" s="39">
        <v>0</v>
      </c>
      <c r="M130" s="39">
        <v>0</v>
      </c>
      <c r="N130" s="39">
        <v>0</v>
      </c>
      <c r="O130" s="39">
        <v>0</v>
      </c>
      <c r="P130" s="39">
        <v>0</v>
      </c>
      <c r="Q130" s="44"/>
      <c r="R130" s="41"/>
      <c r="S130" s="59">
        <f t="shared" si="49"/>
        <v>0</v>
      </c>
      <c r="T130" s="41"/>
      <c r="U130" s="39"/>
      <c r="V130" s="39"/>
      <c r="W130" s="39"/>
    </row>
    <row r="131" spans="1:23" s="37" customFormat="1" ht="12" x14ac:dyDescent="0.2">
      <c r="A131" s="54"/>
      <c r="B131" s="54" t="s">
        <v>111</v>
      </c>
      <c r="C131" s="54" t="s">
        <v>122</v>
      </c>
      <c r="D131" s="55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44"/>
      <c r="R131" s="41"/>
      <c r="S131" s="59"/>
      <c r="T131" s="41"/>
      <c r="U131" s="39"/>
      <c r="V131" s="39"/>
      <c r="W131" s="39"/>
    </row>
    <row r="132" spans="1:23" s="37" customFormat="1" ht="12" x14ac:dyDescent="0.2">
      <c r="A132" s="54"/>
      <c r="B132" s="54" t="s">
        <v>111</v>
      </c>
      <c r="C132" s="54"/>
      <c r="D132" s="55" t="s">
        <v>123</v>
      </c>
      <c r="E132" s="39">
        <v>0</v>
      </c>
      <c r="F132" s="39">
        <v>0</v>
      </c>
      <c r="G132" s="39">
        <v>0</v>
      </c>
      <c r="H132" s="39">
        <v>0</v>
      </c>
      <c r="I132" s="39">
        <v>0</v>
      </c>
      <c r="J132" s="39">
        <v>0</v>
      </c>
      <c r="K132" s="39">
        <v>0</v>
      </c>
      <c r="L132" s="39">
        <v>0</v>
      </c>
      <c r="M132" s="39">
        <v>0</v>
      </c>
      <c r="N132" s="39">
        <v>0</v>
      </c>
      <c r="O132" s="39">
        <v>0</v>
      </c>
      <c r="P132" s="39">
        <v>0</v>
      </c>
      <c r="Q132" s="44"/>
      <c r="R132" s="41"/>
      <c r="S132" s="59">
        <f t="shared" si="49"/>
        <v>0</v>
      </c>
      <c r="T132" s="41"/>
      <c r="U132" s="39"/>
      <c r="V132" s="39"/>
      <c r="W132" s="39"/>
    </row>
    <row r="133" spans="1:23" s="37" customFormat="1" ht="12" x14ac:dyDescent="0.2">
      <c r="A133" s="54"/>
      <c r="B133" s="54"/>
      <c r="C133" s="54"/>
      <c r="D133" s="54" t="s">
        <v>124</v>
      </c>
      <c r="E133" s="39">
        <v>0</v>
      </c>
      <c r="F133" s="39">
        <v>0</v>
      </c>
      <c r="G133" s="39">
        <v>0</v>
      </c>
      <c r="H133" s="39">
        <v>0</v>
      </c>
      <c r="I133" s="39">
        <v>0</v>
      </c>
      <c r="J133" s="39">
        <v>0</v>
      </c>
      <c r="K133" s="39">
        <v>0</v>
      </c>
      <c r="L133" s="39">
        <v>0</v>
      </c>
      <c r="M133" s="39">
        <v>0</v>
      </c>
      <c r="N133" s="39">
        <v>0</v>
      </c>
      <c r="O133" s="39">
        <v>0</v>
      </c>
      <c r="P133" s="39">
        <v>0</v>
      </c>
      <c r="Q133" s="44"/>
      <c r="R133" s="41"/>
      <c r="S133" s="59">
        <f t="shared" si="49"/>
        <v>0</v>
      </c>
      <c r="T133" s="41"/>
      <c r="U133" s="39"/>
      <c r="V133" s="39"/>
      <c r="W133" s="39"/>
    </row>
    <row r="134" spans="1:23" s="37" customFormat="1" ht="12" x14ac:dyDescent="0.2">
      <c r="A134" s="54"/>
      <c r="B134" s="54"/>
      <c r="C134" s="54" t="s">
        <v>125</v>
      </c>
      <c r="D134" s="54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44"/>
      <c r="R134" s="41"/>
      <c r="S134" s="59"/>
      <c r="T134" s="41"/>
      <c r="U134" s="39"/>
      <c r="V134" s="39"/>
      <c r="W134" s="39"/>
    </row>
    <row r="135" spans="1:23" s="37" customFormat="1" ht="12" x14ac:dyDescent="0.2">
      <c r="A135" s="54"/>
      <c r="B135" s="54"/>
      <c r="C135" s="54"/>
      <c r="D135" s="54" t="s">
        <v>129</v>
      </c>
      <c r="E135" s="39">
        <v>0</v>
      </c>
      <c r="F135" s="39">
        <v>0</v>
      </c>
      <c r="G135" s="39">
        <v>0</v>
      </c>
      <c r="H135" s="39">
        <v>0</v>
      </c>
      <c r="I135" s="39">
        <v>0</v>
      </c>
      <c r="J135" s="39">
        <v>0</v>
      </c>
      <c r="K135" s="39">
        <v>0</v>
      </c>
      <c r="L135" s="39">
        <v>0</v>
      </c>
      <c r="M135" s="39">
        <v>0</v>
      </c>
      <c r="N135" s="39">
        <v>0</v>
      </c>
      <c r="O135" s="39">
        <v>0</v>
      </c>
      <c r="P135" s="39">
        <v>0</v>
      </c>
      <c r="Q135" s="44"/>
      <c r="R135" s="41"/>
      <c r="S135" s="59">
        <f t="shared" si="49"/>
        <v>0</v>
      </c>
      <c r="T135" s="41"/>
      <c r="U135" s="39"/>
      <c r="V135" s="39"/>
      <c r="W135" s="39"/>
    </row>
    <row r="136" spans="1:23" s="37" customFormat="1" ht="12" x14ac:dyDescent="0.2">
      <c r="A136" s="54"/>
      <c r="B136" s="54"/>
      <c r="C136" s="54"/>
      <c r="D136" s="54" t="s">
        <v>130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  <c r="P136" s="42">
        <v>0</v>
      </c>
      <c r="Q136" s="47"/>
      <c r="R136" s="41"/>
      <c r="S136" s="59">
        <f t="shared" si="49"/>
        <v>0</v>
      </c>
      <c r="T136" s="41"/>
      <c r="U136" s="39"/>
      <c r="V136" s="39"/>
      <c r="W136" s="39"/>
    </row>
    <row r="137" spans="1:23" s="37" customFormat="1" ht="12" x14ac:dyDescent="0.2">
      <c r="A137" s="54"/>
      <c r="B137" s="54"/>
      <c r="C137" s="54"/>
      <c r="D137" s="54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41"/>
      <c r="S137" s="40"/>
      <c r="T137" s="41"/>
      <c r="U137" s="39"/>
      <c r="V137" s="39"/>
      <c r="W137" s="39"/>
    </row>
    <row r="138" spans="1:23" s="37" customFormat="1" ht="12" x14ac:dyDescent="0.2">
      <c r="A138" s="54"/>
      <c r="B138" s="54" t="s">
        <v>126</v>
      </c>
      <c r="C138" s="54"/>
      <c r="D138" s="54"/>
      <c r="E138" s="39">
        <f>SUM(E120:E136)</f>
        <v>28380.961154205477</v>
      </c>
      <c r="F138" s="39">
        <f>SUM(F120:F136)</f>
        <v>30824.064627765474</v>
      </c>
      <c r="G138" s="39">
        <f t="shared" ref="G138:P138" si="51">SUM(G120:G136)</f>
        <v>30410.193507765474</v>
      </c>
      <c r="H138" s="39">
        <f t="shared" si="51"/>
        <v>-40521.999441234526</v>
      </c>
      <c r="I138" s="39">
        <f t="shared" si="51"/>
        <v>-57899.973861794497</v>
      </c>
      <c r="J138" s="39">
        <f t="shared" si="51"/>
        <v>33950.605698205472</v>
      </c>
      <c r="K138" s="39">
        <f t="shared" si="51"/>
        <v>31792.07734120548</v>
      </c>
      <c r="L138" s="39">
        <f t="shared" si="51"/>
        <v>30792.228387765474</v>
      </c>
      <c r="M138" s="39">
        <f t="shared" si="51"/>
        <v>-33268.071038674505</v>
      </c>
      <c r="N138" s="39">
        <f t="shared" si="51"/>
        <v>-84032.152021794507</v>
      </c>
      <c r="O138" s="39">
        <f t="shared" si="51"/>
        <v>22260.978478205478</v>
      </c>
      <c r="P138" s="39">
        <f t="shared" si="51"/>
        <v>31685.95654120548</v>
      </c>
      <c r="Q138" s="39"/>
      <c r="R138" s="41"/>
      <c r="S138" s="40"/>
      <c r="T138" s="41"/>
      <c r="U138" s="39"/>
      <c r="V138" s="39"/>
      <c r="W138" s="39"/>
    </row>
    <row r="139" spans="1:23" s="37" customFormat="1" ht="12" x14ac:dyDescent="0.2">
      <c r="A139" s="54"/>
      <c r="B139" s="54" t="s">
        <v>127</v>
      </c>
      <c r="C139" s="54"/>
      <c r="D139" s="54"/>
      <c r="E139" s="42">
        <f>'FY23'!P141</f>
        <v>16273.166741294917</v>
      </c>
      <c r="F139" s="42">
        <f>E141</f>
        <v>44654.127895500395</v>
      </c>
      <c r="G139" s="42">
        <f t="shared" ref="G139:P139" si="52">F141</f>
        <v>75478.192523265869</v>
      </c>
      <c r="H139" s="42">
        <f t="shared" si="52"/>
        <v>105888.38603103135</v>
      </c>
      <c r="I139" s="42">
        <f t="shared" si="52"/>
        <v>65366.386589796821</v>
      </c>
      <c r="J139" s="42">
        <f t="shared" si="52"/>
        <v>7466.412728002324</v>
      </c>
      <c r="K139" s="42">
        <f t="shared" si="52"/>
        <v>41417.018426207796</v>
      </c>
      <c r="L139" s="42">
        <f t="shared" si="52"/>
        <v>73209.095767413281</v>
      </c>
      <c r="M139" s="42">
        <f t="shared" si="52"/>
        <v>104001.32415517875</v>
      </c>
      <c r="N139" s="42">
        <f t="shared" si="52"/>
        <v>70733.253116504246</v>
      </c>
      <c r="O139" s="42">
        <f t="shared" si="52"/>
        <v>-13298.898905290262</v>
      </c>
      <c r="P139" s="42">
        <f t="shared" si="52"/>
        <v>8962.079572915216</v>
      </c>
      <c r="Q139" s="39"/>
      <c r="R139" s="41"/>
      <c r="S139" s="40"/>
      <c r="T139" s="41"/>
      <c r="U139" s="39"/>
      <c r="V139" s="39"/>
      <c r="W139" s="39"/>
    </row>
    <row r="140" spans="1:23" s="37" customFormat="1" ht="12" x14ac:dyDescent="0.2">
      <c r="A140" s="54"/>
      <c r="B140" s="54"/>
      <c r="C140" s="54"/>
      <c r="D140" s="54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41"/>
      <c r="S140" s="40"/>
      <c r="T140" s="41"/>
      <c r="U140" s="39"/>
      <c r="V140" s="39"/>
      <c r="W140" s="39"/>
    </row>
    <row r="141" spans="1:23" s="37" customFormat="1" ht="12.75" thickBot="1" x14ac:dyDescent="0.25">
      <c r="A141" s="53"/>
      <c r="B141" s="53" t="s">
        <v>128</v>
      </c>
      <c r="C141" s="53"/>
      <c r="D141" s="53"/>
      <c r="E141" s="194">
        <f>SUM(E138:E140)</f>
        <v>44654.127895500395</v>
      </c>
      <c r="F141" s="194">
        <f>SUM(F138:F140)</f>
        <v>75478.192523265869</v>
      </c>
      <c r="G141" s="194">
        <f t="shared" ref="G141:P141" si="53">SUM(G138:G140)</f>
        <v>105888.38603103135</v>
      </c>
      <c r="H141" s="194">
        <f t="shared" si="53"/>
        <v>65366.386589796821</v>
      </c>
      <c r="I141" s="194">
        <f t="shared" si="53"/>
        <v>7466.412728002324</v>
      </c>
      <c r="J141" s="194">
        <f t="shared" si="53"/>
        <v>41417.018426207796</v>
      </c>
      <c r="K141" s="194">
        <f t="shared" si="53"/>
        <v>73209.095767413281</v>
      </c>
      <c r="L141" s="194">
        <f t="shared" si="53"/>
        <v>104001.32415517875</v>
      </c>
      <c r="M141" s="194">
        <f t="shared" si="53"/>
        <v>70733.253116504246</v>
      </c>
      <c r="N141" s="194">
        <f t="shared" si="53"/>
        <v>-13298.898905290262</v>
      </c>
      <c r="O141" s="194">
        <f t="shared" si="53"/>
        <v>8962.079572915216</v>
      </c>
      <c r="P141" s="194">
        <f t="shared" si="53"/>
        <v>40648.036114120696</v>
      </c>
      <c r="Q141" s="39"/>
      <c r="R141" s="41"/>
      <c r="S141" s="40"/>
      <c r="T141" s="41"/>
      <c r="U141" s="39"/>
      <c r="V141" s="39"/>
      <c r="W141" s="39"/>
    </row>
    <row r="142" spans="1:23" s="37" customFormat="1" ht="12.75" thickTop="1" x14ac:dyDescent="0.2">
      <c r="C142" s="38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41"/>
      <c r="S142" s="40"/>
      <c r="T142" s="41"/>
      <c r="U142" s="39"/>
      <c r="V142" s="39"/>
      <c r="W142" s="39"/>
    </row>
    <row r="143" spans="1:23" s="37" customFormat="1" ht="12" x14ac:dyDescent="0.2">
      <c r="C143" s="38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41"/>
      <c r="S143" s="40"/>
      <c r="T143" s="41"/>
      <c r="U143" s="39"/>
      <c r="V143" s="39"/>
      <c r="W143" s="39"/>
    </row>
    <row r="144" spans="1:23" s="37" customFormat="1" ht="12" x14ac:dyDescent="0.2">
      <c r="C144" s="38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41"/>
      <c r="S144" s="40"/>
      <c r="T144" s="41"/>
      <c r="U144" s="39"/>
      <c r="V144" s="39"/>
      <c r="W144" s="39"/>
    </row>
    <row r="145" spans="3:23" s="37" customFormat="1" ht="12" x14ac:dyDescent="0.2">
      <c r="C145" s="38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41"/>
      <c r="S145" s="40"/>
      <c r="T145" s="41"/>
      <c r="U145" s="39"/>
      <c r="V145" s="39"/>
      <c r="W145" s="39"/>
    </row>
    <row r="146" spans="3:23" s="37" customFormat="1" ht="12" x14ac:dyDescent="0.2">
      <c r="C146" s="38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41"/>
      <c r="S146" s="40"/>
      <c r="T146" s="41"/>
      <c r="U146" s="39"/>
      <c r="V146" s="39"/>
      <c r="W146" s="39"/>
    </row>
    <row r="147" spans="3:23" s="37" customFormat="1" ht="12" x14ac:dyDescent="0.2">
      <c r="C147" s="38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41"/>
      <c r="S147" s="40"/>
      <c r="T147" s="41"/>
      <c r="U147" s="39"/>
      <c r="V147" s="39"/>
      <c r="W147" s="39"/>
    </row>
    <row r="148" spans="3:23" s="37" customFormat="1" ht="12" x14ac:dyDescent="0.2">
      <c r="C148" s="38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41"/>
      <c r="S148" s="40"/>
      <c r="T148" s="41"/>
      <c r="U148" s="39"/>
      <c r="V148" s="39"/>
      <c r="W148" s="39"/>
    </row>
    <row r="149" spans="3:23" s="37" customFormat="1" ht="12" x14ac:dyDescent="0.2">
      <c r="C149" s="38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41"/>
      <c r="S149" s="40"/>
      <c r="T149" s="41"/>
      <c r="U149" s="39"/>
      <c r="V149" s="39"/>
      <c r="W149" s="39"/>
    </row>
    <row r="150" spans="3:23" s="37" customFormat="1" ht="12" x14ac:dyDescent="0.2">
      <c r="C150" s="38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41"/>
      <c r="S150" s="40"/>
      <c r="T150" s="41"/>
      <c r="U150" s="39"/>
      <c r="V150" s="39"/>
      <c r="W150" s="39"/>
    </row>
    <row r="151" spans="3:23" s="37" customFormat="1" ht="12" x14ac:dyDescent="0.2">
      <c r="C151" s="38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41"/>
      <c r="S151" s="40"/>
      <c r="T151" s="41"/>
      <c r="U151" s="39"/>
      <c r="V151" s="39"/>
      <c r="W151" s="39"/>
    </row>
    <row r="152" spans="3:23" s="37" customFormat="1" ht="12" x14ac:dyDescent="0.2">
      <c r="C152" s="38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41"/>
      <c r="S152" s="40"/>
      <c r="T152" s="41"/>
      <c r="U152" s="39"/>
      <c r="V152" s="39"/>
      <c r="W152" s="39"/>
    </row>
    <row r="153" spans="3:23" s="37" customFormat="1" ht="12" x14ac:dyDescent="0.2">
      <c r="C153" s="38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41"/>
      <c r="S153" s="40"/>
      <c r="T153" s="41"/>
      <c r="U153" s="39"/>
      <c r="V153" s="39"/>
      <c r="W153" s="39"/>
    </row>
    <row r="154" spans="3:23" s="37" customFormat="1" ht="12" x14ac:dyDescent="0.2">
      <c r="C154" s="38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41"/>
      <c r="S154" s="40"/>
      <c r="T154" s="41"/>
      <c r="U154" s="39"/>
      <c r="V154" s="39"/>
      <c r="W154" s="39"/>
    </row>
    <row r="155" spans="3:23" s="37" customFormat="1" ht="12" x14ac:dyDescent="0.2">
      <c r="C155" s="38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41"/>
      <c r="S155" s="40"/>
      <c r="T155" s="41"/>
      <c r="U155" s="39"/>
      <c r="V155" s="39"/>
      <c r="W155" s="39"/>
    </row>
    <row r="156" spans="3:23" s="37" customFormat="1" ht="12" x14ac:dyDescent="0.2">
      <c r="C156" s="38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41"/>
      <c r="S156" s="40"/>
      <c r="T156" s="41"/>
      <c r="U156" s="39"/>
      <c r="V156" s="39"/>
      <c r="W156" s="39"/>
    </row>
    <row r="157" spans="3:23" s="37" customFormat="1" ht="12" x14ac:dyDescent="0.2">
      <c r="C157" s="38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41"/>
      <c r="S157" s="40"/>
      <c r="T157" s="41"/>
      <c r="U157" s="39"/>
      <c r="V157" s="39"/>
      <c r="W157" s="39"/>
    </row>
    <row r="158" spans="3:23" s="37" customFormat="1" ht="12" x14ac:dyDescent="0.2">
      <c r="C158" s="38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41"/>
      <c r="S158" s="40"/>
      <c r="T158" s="41"/>
      <c r="U158" s="39"/>
      <c r="V158" s="39"/>
      <c r="W158" s="39"/>
    </row>
    <row r="159" spans="3:23" s="37" customFormat="1" ht="12" x14ac:dyDescent="0.2">
      <c r="C159" s="38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41"/>
      <c r="S159" s="40"/>
      <c r="T159" s="41"/>
      <c r="U159" s="39"/>
      <c r="V159" s="39"/>
      <c r="W159" s="39"/>
    </row>
    <row r="160" spans="3:23" s="37" customFormat="1" ht="12" x14ac:dyDescent="0.2">
      <c r="C160" s="38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41"/>
      <c r="S160" s="40"/>
      <c r="T160" s="41"/>
      <c r="U160" s="39"/>
      <c r="V160" s="39"/>
      <c r="W160" s="39"/>
    </row>
    <row r="161" spans="3:23" s="37" customFormat="1" ht="12" x14ac:dyDescent="0.2">
      <c r="C161" s="38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41"/>
      <c r="S161" s="40"/>
      <c r="T161" s="41"/>
      <c r="U161" s="39"/>
      <c r="V161" s="39"/>
      <c r="W161" s="39"/>
    </row>
    <row r="162" spans="3:23" s="37" customFormat="1" ht="12" x14ac:dyDescent="0.2">
      <c r="C162" s="38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41"/>
      <c r="S162" s="40"/>
      <c r="T162" s="41"/>
      <c r="U162" s="39"/>
      <c r="V162" s="39"/>
      <c r="W162" s="39"/>
    </row>
    <row r="163" spans="3:23" s="37" customFormat="1" ht="12" x14ac:dyDescent="0.2">
      <c r="C163" s="38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41"/>
      <c r="S163" s="40"/>
      <c r="T163" s="41"/>
      <c r="U163" s="39"/>
      <c r="V163" s="39"/>
      <c r="W163" s="39"/>
    </row>
    <row r="164" spans="3:23" s="37" customFormat="1" ht="12" x14ac:dyDescent="0.2">
      <c r="C164" s="38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41"/>
      <c r="S164" s="40"/>
      <c r="T164" s="41"/>
      <c r="U164" s="39"/>
      <c r="V164" s="39"/>
      <c r="W164" s="39"/>
    </row>
    <row r="165" spans="3:23" s="37" customFormat="1" ht="12" x14ac:dyDescent="0.2">
      <c r="C165" s="38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41"/>
      <c r="S165" s="40"/>
      <c r="T165" s="41"/>
      <c r="U165" s="39"/>
      <c r="V165" s="39"/>
      <c r="W165" s="39"/>
    </row>
    <row r="166" spans="3:23" s="37" customFormat="1" ht="12" x14ac:dyDescent="0.2">
      <c r="C166" s="38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41"/>
      <c r="S166" s="40"/>
      <c r="T166" s="41"/>
      <c r="U166" s="39"/>
      <c r="V166" s="39"/>
      <c r="W166" s="39"/>
    </row>
    <row r="167" spans="3:23" s="37" customFormat="1" ht="12" x14ac:dyDescent="0.2">
      <c r="C167" s="38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41"/>
      <c r="S167" s="40"/>
      <c r="T167" s="41"/>
      <c r="U167" s="39"/>
      <c r="V167" s="39"/>
      <c r="W167" s="39"/>
    </row>
    <row r="168" spans="3:23" s="37" customFormat="1" ht="12" x14ac:dyDescent="0.2">
      <c r="C168" s="38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41"/>
      <c r="S168" s="40"/>
      <c r="T168" s="41"/>
      <c r="U168" s="39"/>
      <c r="V168" s="39"/>
      <c r="W168" s="39"/>
    </row>
    <row r="169" spans="3:23" s="37" customFormat="1" ht="12" x14ac:dyDescent="0.2">
      <c r="C169" s="38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41"/>
      <c r="S169" s="40"/>
      <c r="T169" s="41"/>
      <c r="U169" s="39"/>
      <c r="V169" s="39"/>
      <c r="W169" s="39"/>
    </row>
    <row r="170" spans="3:23" s="37" customFormat="1" ht="12" x14ac:dyDescent="0.2">
      <c r="C170" s="38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41"/>
      <c r="S170" s="40"/>
      <c r="T170" s="41"/>
      <c r="U170" s="39"/>
      <c r="V170" s="39"/>
      <c r="W170" s="39"/>
    </row>
    <row r="171" spans="3:23" s="37" customFormat="1" ht="12" x14ac:dyDescent="0.2">
      <c r="C171" s="38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41"/>
      <c r="S171" s="40"/>
      <c r="T171" s="41"/>
      <c r="U171" s="39"/>
      <c r="V171" s="39"/>
      <c r="W171" s="39"/>
    </row>
    <row r="172" spans="3:23" s="37" customFormat="1" ht="12" x14ac:dyDescent="0.2">
      <c r="C172" s="38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41"/>
      <c r="S172" s="40"/>
      <c r="T172" s="41"/>
      <c r="U172" s="39"/>
      <c r="V172" s="39"/>
      <c r="W172" s="39"/>
    </row>
    <row r="173" spans="3:23" s="37" customFormat="1" ht="12" x14ac:dyDescent="0.2">
      <c r="C173" s="38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41"/>
      <c r="S173" s="40"/>
      <c r="T173" s="41"/>
      <c r="U173" s="39"/>
      <c r="V173" s="39"/>
      <c r="W173" s="39"/>
    </row>
    <row r="174" spans="3:23" s="37" customFormat="1" ht="12" x14ac:dyDescent="0.2">
      <c r="C174" s="38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41"/>
      <c r="S174" s="40"/>
      <c r="T174" s="41"/>
      <c r="U174" s="39"/>
      <c r="V174" s="39"/>
      <c r="W174" s="39"/>
    </row>
    <row r="175" spans="3:23" s="37" customFormat="1" ht="12" x14ac:dyDescent="0.2">
      <c r="C175" s="38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41"/>
      <c r="S175" s="40"/>
      <c r="T175" s="41"/>
      <c r="U175" s="39"/>
      <c r="V175" s="39"/>
      <c r="W175" s="39"/>
    </row>
    <row r="176" spans="3:23" s="37" customFormat="1" ht="12" x14ac:dyDescent="0.2">
      <c r="C176" s="38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41"/>
      <c r="S176" s="40"/>
      <c r="T176" s="41"/>
      <c r="U176" s="39"/>
      <c r="V176" s="39"/>
      <c r="W176" s="39"/>
    </row>
    <row r="177" spans="3:23" s="37" customFormat="1" ht="12" x14ac:dyDescent="0.2">
      <c r="C177" s="38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41"/>
      <c r="S177" s="40"/>
      <c r="T177" s="41"/>
      <c r="U177" s="39"/>
      <c r="V177" s="39"/>
      <c r="W177" s="39"/>
    </row>
    <row r="178" spans="3:23" s="37" customFormat="1" ht="12" x14ac:dyDescent="0.2">
      <c r="C178" s="38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41"/>
      <c r="S178" s="40"/>
      <c r="T178" s="41"/>
      <c r="U178" s="39"/>
      <c r="V178" s="39"/>
      <c r="W178" s="39"/>
    </row>
    <row r="179" spans="3:23" s="37" customFormat="1" ht="12" x14ac:dyDescent="0.2">
      <c r="C179" s="38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41"/>
      <c r="S179" s="40"/>
      <c r="T179" s="41"/>
      <c r="U179" s="39"/>
      <c r="V179" s="39"/>
      <c r="W179" s="39"/>
    </row>
    <row r="180" spans="3:23" s="37" customFormat="1" ht="12" x14ac:dyDescent="0.2">
      <c r="C180" s="38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41"/>
      <c r="S180" s="40"/>
      <c r="T180" s="41"/>
      <c r="U180" s="39"/>
      <c r="V180" s="39"/>
      <c r="W180" s="39"/>
    </row>
    <row r="181" spans="3:23" s="37" customFormat="1" ht="12" x14ac:dyDescent="0.2">
      <c r="C181" s="38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41"/>
      <c r="S181" s="40"/>
      <c r="T181" s="41"/>
      <c r="U181" s="39"/>
      <c r="V181" s="39"/>
      <c r="W181" s="39"/>
    </row>
    <row r="182" spans="3:23" s="37" customFormat="1" ht="12" x14ac:dyDescent="0.2">
      <c r="C182" s="38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41"/>
      <c r="S182" s="40"/>
      <c r="T182" s="41"/>
      <c r="U182" s="39"/>
      <c r="V182" s="39"/>
      <c r="W182" s="39"/>
    </row>
    <row r="183" spans="3:23" s="37" customFormat="1" ht="12" x14ac:dyDescent="0.2">
      <c r="C183" s="38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41"/>
      <c r="S183" s="40"/>
      <c r="T183" s="41"/>
      <c r="U183" s="39"/>
      <c r="V183" s="39"/>
      <c r="W183" s="39"/>
    </row>
    <row r="184" spans="3:23" s="37" customFormat="1" ht="12" x14ac:dyDescent="0.2">
      <c r="C184" s="38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41"/>
      <c r="S184" s="40"/>
      <c r="T184" s="41"/>
      <c r="U184" s="39"/>
      <c r="V184" s="39"/>
      <c r="W184" s="39"/>
    </row>
    <row r="185" spans="3:23" s="37" customFormat="1" ht="12" x14ac:dyDescent="0.2">
      <c r="C185" s="38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41"/>
      <c r="S185" s="40"/>
      <c r="T185" s="41"/>
      <c r="U185" s="39"/>
      <c r="V185" s="39"/>
      <c r="W185" s="39"/>
    </row>
    <row r="186" spans="3:23" s="37" customFormat="1" ht="12" x14ac:dyDescent="0.2">
      <c r="C186" s="38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41"/>
      <c r="S186" s="40"/>
      <c r="T186" s="41"/>
      <c r="U186" s="39"/>
      <c r="V186" s="39"/>
      <c r="W186" s="39"/>
    </row>
    <row r="187" spans="3:23" s="37" customFormat="1" ht="12" x14ac:dyDescent="0.2">
      <c r="C187" s="38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41"/>
      <c r="S187" s="40"/>
      <c r="T187" s="41"/>
      <c r="U187" s="39"/>
      <c r="V187" s="39"/>
      <c r="W187" s="39"/>
    </row>
    <row r="188" spans="3:23" s="37" customFormat="1" ht="12" x14ac:dyDescent="0.2">
      <c r="C188" s="38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41"/>
      <c r="S188" s="40"/>
      <c r="T188" s="41"/>
      <c r="U188" s="39"/>
      <c r="V188" s="39"/>
      <c r="W188" s="39"/>
    </row>
    <row r="189" spans="3:23" s="37" customFormat="1" ht="12" x14ac:dyDescent="0.2">
      <c r="C189" s="38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41"/>
      <c r="S189" s="40"/>
      <c r="T189" s="41"/>
      <c r="U189" s="39"/>
      <c r="V189" s="39"/>
      <c r="W189" s="39"/>
    </row>
    <row r="190" spans="3:23" s="37" customFormat="1" ht="12" x14ac:dyDescent="0.2">
      <c r="C190" s="38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41"/>
      <c r="S190" s="40"/>
      <c r="T190" s="41"/>
      <c r="U190" s="39"/>
      <c r="V190" s="39"/>
      <c r="W190" s="39"/>
    </row>
    <row r="191" spans="3:23" s="37" customFormat="1" ht="12" x14ac:dyDescent="0.2">
      <c r="C191" s="38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41"/>
      <c r="S191" s="40"/>
      <c r="T191" s="41"/>
      <c r="U191" s="39"/>
      <c r="V191" s="39"/>
      <c r="W191" s="39"/>
    </row>
    <row r="192" spans="3:23" s="37" customFormat="1" ht="12" x14ac:dyDescent="0.2">
      <c r="C192" s="38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41"/>
      <c r="S192" s="40"/>
      <c r="T192" s="41"/>
      <c r="U192" s="39"/>
      <c r="V192" s="39"/>
      <c r="W192" s="39"/>
    </row>
    <row r="193" spans="3:23" s="37" customFormat="1" ht="12" x14ac:dyDescent="0.2">
      <c r="C193" s="38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41"/>
      <c r="S193" s="40"/>
      <c r="T193" s="41"/>
      <c r="U193" s="39"/>
      <c r="V193" s="39"/>
      <c r="W193" s="39"/>
    </row>
    <row r="194" spans="3:23" s="37" customFormat="1" ht="12" x14ac:dyDescent="0.2">
      <c r="C194" s="38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41"/>
      <c r="S194" s="40"/>
      <c r="T194" s="41"/>
      <c r="U194" s="39"/>
      <c r="V194" s="39"/>
      <c r="W194" s="39"/>
    </row>
    <row r="195" spans="3:23" s="37" customFormat="1" ht="12" x14ac:dyDescent="0.2">
      <c r="C195" s="38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41"/>
      <c r="S195" s="40"/>
      <c r="T195" s="41"/>
      <c r="U195" s="39"/>
      <c r="V195" s="39"/>
      <c r="W195" s="39"/>
    </row>
    <row r="196" spans="3:23" s="37" customFormat="1" ht="12" x14ac:dyDescent="0.2">
      <c r="C196" s="38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41"/>
      <c r="S196" s="40"/>
      <c r="T196" s="41"/>
      <c r="U196" s="39"/>
      <c r="V196" s="39"/>
      <c r="W196" s="39"/>
    </row>
    <row r="197" spans="3:23" s="37" customFormat="1" ht="12" x14ac:dyDescent="0.2">
      <c r="C197" s="38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41"/>
      <c r="S197" s="40"/>
      <c r="T197" s="41"/>
      <c r="U197" s="39"/>
      <c r="V197" s="39"/>
      <c r="W197" s="39"/>
    </row>
    <row r="198" spans="3:23" s="37" customFormat="1" ht="12" x14ac:dyDescent="0.2">
      <c r="C198" s="38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41"/>
      <c r="S198" s="40"/>
      <c r="T198" s="41"/>
      <c r="U198" s="39"/>
      <c r="V198" s="39"/>
      <c r="W198" s="39"/>
    </row>
    <row r="199" spans="3:23" s="37" customFormat="1" ht="12" x14ac:dyDescent="0.2">
      <c r="C199" s="38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41"/>
      <c r="S199" s="40"/>
      <c r="T199" s="41"/>
      <c r="U199" s="39"/>
      <c r="V199" s="39"/>
      <c r="W199" s="39"/>
    </row>
    <row r="200" spans="3:23" s="37" customFormat="1" ht="12" x14ac:dyDescent="0.2">
      <c r="C200" s="38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41"/>
      <c r="S200" s="40"/>
      <c r="T200" s="41"/>
      <c r="U200" s="39"/>
      <c r="V200" s="39"/>
      <c r="W200" s="39"/>
    </row>
    <row r="201" spans="3:23" s="37" customFormat="1" ht="12" x14ac:dyDescent="0.2">
      <c r="C201" s="38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41"/>
      <c r="S201" s="40"/>
      <c r="T201" s="41"/>
      <c r="U201" s="39"/>
      <c r="V201" s="39"/>
      <c r="W201" s="39"/>
    </row>
    <row r="202" spans="3:23" s="37" customFormat="1" ht="12" x14ac:dyDescent="0.2">
      <c r="C202" s="38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41"/>
      <c r="S202" s="40"/>
      <c r="T202" s="41"/>
      <c r="U202" s="39"/>
      <c r="V202" s="39"/>
      <c r="W202" s="39"/>
    </row>
    <row r="203" spans="3:23" s="37" customFormat="1" ht="12" x14ac:dyDescent="0.2">
      <c r="C203" s="38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41"/>
      <c r="S203" s="40"/>
      <c r="T203" s="41"/>
      <c r="U203" s="39"/>
      <c r="V203" s="39"/>
      <c r="W203" s="39"/>
    </row>
    <row r="204" spans="3:23" s="37" customFormat="1" ht="12" x14ac:dyDescent="0.2">
      <c r="C204" s="38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41"/>
      <c r="S204" s="40"/>
      <c r="T204" s="41"/>
      <c r="U204" s="39"/>
      <c r="V204" s="39"/>
      <c r="W204" s="39"/>
    </row>
    <row r="205" spans="3:23" s="37" customFormat="1" ht="12" x14ac:dyDescent="0.2">
      <c r="C205" s="38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41"/>
      <c r="S205" s="40"/>
      <c r="T205" s="41"/>
      <c r="U205" s="39"/>
      <c r="V205" s="39"/>
      <c r="W205" s="39"/>
    </row>
    <row r="206" spans="3:23" s="37" customFormat="1" ht="12" x14ac:dyDescent="0.2">
      <c r="C206" s="38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41"/>
      <c r="S206" s="40"/>
      <c r="T206" s="41"/>
      <c r="U206" s="39"/>
      <c r="V206" s="39"/>
      <c r="W206" s="39"/>
    </row>
    <row r="207" spans="3:23" s="37" customFormat="1" ht="12" x14ac:dyDescent="0.2">
      <c r="C207" s="38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41"/>
      <c r="S207" s="40"/>
      <c r="T207" s="41"/>
      <c r="U207" s="39"/>
      <c r="V207" s="39"/>
      <c r="W207" s="39"/>
    </row>
    <row r="208" spans="3:23" s="37" customFormat="1" ht="12" x14ac:dyDescent="0.2">
      <c r="C208" s="38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41"/>
      <c r="S208" s="40"/>
      <c r="T208" s="41"/>
      <c r="U208" s="39"/>
      <c r="V208" s="39"/>
      <c r="W208" s="39"/>
    </row>
    <row r="209" spans="3:23" s="37" customFormat="1" ht="12" x14ac:dyDescent="0.2">
      <c r="C209" s="38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41"/>
      <c r="S209" s="40"/>
      <c r="T209" s="41"/>
      <c r="U209" s="39"/>
      <c r="V209" s="39"/>
      <c r="W209" s="39"/>
    </row>
    <row r="210" spans="3:23" s="37" customFormat="1" ht="12" x14ac:dyDescent="0.2">
      <c r="C210" s="38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41"/>
      <c r="S210" s="40"/>
      <c r="T210" s="41"/>
      <c r="U210" s="39"/>
      <c r="V210" s="39"/>
      <c r="W210" s="39"/>
    </row>
    <row r="211" spans="3:23" s="37" customFormat="1" ht="12" x14ac:dyDescent="0.2">
      <c r="C211" s="38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41"/>
      <c r="S211" s="40"/>
      <c r="T211" s="41"/>
      <c r="U211" s="39"/>
      <c r="V211" s="39"/>
      <c r="W211" s="39"/>
    </row>
    <row r="212" spans="3:23" s="37" customFormat="1" ht="12" x14ac:dyDescent="0.2">
      <c r="C212" s="38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41"/>
      <c r="S212" s="40"/>
      <c r="T212" s="41"/>
      <c r="U212" s="39"/>
      <c r="V212" s="39"/>
      <c r="W212" s="39"/>
    </row>
    <row r="213" spans="3:23" s="37" customFormat="1" ht="12" x14ac:dyDescent="0.2">
      <c r="C213" s="38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41"/>
      <c r="S213" s="40"/>
      <c r="T213" s="41"/>
      <c r="U213" s="39"/>
      <c r="V213" s="39"/>
      <c r="W213" s="39"/>
    </row>
    <row r="214" spans="3:23" s="37" customFormat="1" ht="12" x14ac:dyDescent="0.2">
      <c r="C214" s="38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41"/>
      <c r="S214" s="40"/>
      <c r="T214" s="41"/>
      <c r="U214" s="39"/>
      <c r="V214" s="39"/>
      <c r="W214" s="39"/>
    </row>
    <row r="215" spans="3:23" s="37" customFormat="1" ht="12" x14ac:dyDescent="0.2">
      <c r="C215" s="38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41"/>
      <c r="S215" s="40"/>
      <c r="T215" s="41"/>
      <c r="U215" s="39"/>
      <c r="V215" s="39"/>
      <c r="W215" s="39"/>
    </row>
    <row r="216" spans="3:23" s="37" customFormat="1" ht="12" x14ac:dyDescent="0.2">
      <c r="C216" s="38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41"/>
      <c r="S216" s="40"/>
      <c r="T216" s="41"/>
      <c r="U216" s="39"/>
      <c r="V216" s="39"/>
      <c r="W216" s="39"/>
    </row>
    <row r="217" spans="3:23" s="37" customFormat="1" ht="12" x14ac:dyDescent="0.2">
      <c r="C217" s="38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41"/>
      <c r="S217" s="40"/>
      <c r="T217" s="41"/>
      <c r="U217" s="39"/>
      <c r="V217" s="39"/>
      <c r="W217" s="39"/>
    </row>
    <row r="218" spans="3:23" s="37" customFormat="1" ht="12" x14ac:dyDescent="0.2">
      <c r="C218" s="38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41"/>
      <c r="S218" s="40"/>
      <c r="T218" s="41"/>
      <c r="U218" s="39"/>
      <c r="V218" s="39"/>
      <c r="W218" s="39"/>
    </row>
    <row r="219" spans="3:23" s="37" customFormat="1" ht="12" x14ac:dyDescent="0.2">
      <c r="C219" s="38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41"/>
      <c r="S219" s="40"/>
      <c r="T219" s="41"/>
      <c r="U219" s="39"/>
      <c r="V219" s="39"/>
      <c r="W219" s="39"/>
    </row>
    <row r="220" spans="3:23" s="37" customFormat="1" ht="12" x14ac:dyDescent="0.2">
      <c r="C220" s="38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41"/>
      <c r="S220" s="40"/>
      <c r="T220" s="41"/>
      <c r="U220" s="39"/>
      <c r="V220" s="39"/>
      <c r="W220" s="39"/>
    </row>
    <row r="221" spans="3:23" s="37" customFormat="1" ht="12" x14ac:dyDescent="0.2">
      <c r="C221" s="38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41"/>
      <c r="S221" s="40"/>
      <c r="T221" s="41"/>
      <c r="U221" s="39"/>
      <c r="V221" s="39"/>
      <c r="W221" s="39"/>
    </row>
    <row r="222" spans="3:23" s="37" customFormat="1" ht="12" x14ac:dyDescent="0.2">
      <c r="C222" s="38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41"/>
      <c r="S222" s="40"/>
      <c r="T222" s="41"/>
      <c r="U222" s="39"/>
      <c r="V222" s="39"/>
      <c r="W222" s="39"/>
    </row>
    <row r="223" spans="3:23" s="37" customFormat="1" ht="12" x14ac:dyDescent="0.2">
      <c r="C223" s="38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41"/>
      <c r="S223" s="40"/>
      <c r="T223" s="41"/>
      <c r="U223" s="39"/>
      <c r="V223" s="39"/>
      <c r="W223" s="39"/>
    </row>
    <row r="224" spans="3:23" s="37" customFormat="1" ht="12" x14ac:dyDescent="0.2">
      <c r="C224" s="38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41"/>
      <c r="S224" s="40"/>
      <c r="T224" s="41"/>
      <c r="U224" s="39"/>
      <c r="V224" s="39"/>
      <c r="W224" s="39"/>
    </row>
    <row r="225" spans="3:23" s="37" customFormat="1" ht="12" x14ac:dyDescent="0.2">
      <c r="C225" s="38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41"/>
      <c r="S225" s="40"/>
      <c r="T225" s="41"/>
      <c r="U225" s="39"/>
      <c r="V225" s="39"/>
      <c r="W225" s="39"/>
    </row>
    <row r="226" spans="3:23" s="37" customFormat="1" ht="12" x14ac:dyDescent="0.2">
      <c r="C226" s="38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41"/>
      <c r="S226" s="40"/>
      <c r="T226" s="41"/>
      <c r="U226" s="39"/>
      <c r="V226" s="39"/>
      <c r="W226" s="39"/>
    </row>
    <row r="227" spans="3:23" s="37" customFormat="1" ht="12" x14ac:dyDescent="0.2">
      <c r="C227" s="38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41"/>
      <c r="S227" s="40"/>
      <c r="T227" s="41"/>
      <c r="U227" s="39"/>
      <c r="V227" s="39"/>
      <c r="W227" s="39"/>
    </row>
    <row r="228" spans="3:23" s="37" customFormat="1" ht="12" x14ac:dyDescent="0.2">
      <c r="C228" s="38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41"/>
      <c r="S228" s="40"/>
      <c r="T228" s="41"/>
      <c r="U228" s="39"/>
      <c r="V228" s="39"/>
      <c r="W228" s="39"/>
    </row>
    <row r="229" spans="3:23" s="37" customFormat="1" ht="12" x14ac:dyDescent="0.2">
      <c r="C229" s="38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41"/>
      <c r="S229" s="40"/>
      <c r="T229" s="41"/>
      <c r="U229" s="39"/>
      <c r="V229" s="39"/>
      <c r="W229" s="39"/>
    </row>
    <row r="230" spans="3:23" s="37" customFormat="1" ht="12" x14ac:dyDescent="0.2">
      <c r="C230" s="38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41"/>
      <c r="S230" s="40"/>
      <c r="T230" s="41"/>
      <c r="U230" s="39"/>
      <c r="V230" s="39"/>
      <c r="W230" s="39"/>
    </row>
    <row r="231" spans="3:23" s="37" customFormat="1" ht="12" x14ac:dyDescent="0.2">
      <c r="C231" s="38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41"/>
      <c r="S231" s="40"/>
      <c r="T231" s="41"/>
      <c r="U231" s="39"/>
      <c r="V231" s="39"/>
      <c r="W231" s="39"/>
    </row>
    <row r="232" spans="3:23" s="37" customFormat="1" ht="12" x14ac:dyDescent="0.2">
      <c r="C232" s="38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41"/>
      <c r="S232" s="40"/>
      <c r="T232" s="41"/>
      <c r="U232" s="39"/>
      <c r="V232" s="39"/>
      <c r="W232" s="39"/>
    </row>
    <row r="233" spans="3:23" s="37" customFormat="1" ht="12" x14ac:dyDescent="0.2">
      <c r="C233" s="38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41"/>
      <c r="S233" s="40"/>
      <c r="T233" s="41"/>
      <c r="U233" s="39"/>
      <c r="V233" s="39"/>
      <c r="W233" s="39"/>
    </row>
    <row r="234" spans="3:23" s="37" customFormat="1" ht="12" x14ac:dyDescent="0.2">
      <c r="C234" s="38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41"/>
      <c r="S234" s="40"/>
      <c r="T234" s="41"/>
      <c r="U234" s="39"/>
      <c r="V234" s="39"/>
      <c r="W234" s="39"/>
    </row>
    <row r="235" spans="3:23" s="37" customFormat="1" ht="12" x14ac:dyDescent="0.2">
      <c r="C235" s="38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41"/>
      <c r="S235" s="40"/>
      <c r="T235" s="41"/>
      <c r="U235" s="39"/>
      <c r="V235" s="39"/>
      <c r="W235" s="39"/>
    </row>
    <row r="236" spans="3:23" s="37" customFormat="1" ht="12" x14ac:dyDescent="0.2">
      <c r="C236" s="38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41"/>
      <c r="S236" s="40"/>
      <c r="T236" s="41"/>
      <c r="U236" s="39"/>
      <c r="V236" s="39"/>
      <c r="W236" s="39"/>
    </row>
    <row r="237" spans="3:23" s="37" customFormat="1" ht="12" x14ac:dyDescent="0.2">
      <c r="C237" s="38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41"/>
      <c r="S237" s="40"/>
      <c r="T237" s="41"/>
      <c r="U237" s="39"/>
      <c r="V237" s="39"/>
      <c r="W237" s="39"/>
    </row>
    <row r="238" spans="3:23" s="37" customFormat="1" ht="12" x14ac:dyDescent="0.2">
      <c r="C238" s="38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41"/>
      <c r="S238" s="40"/>
      <c r="T238" s="41"/>
      <c r="U238" s="39"/>
      <c r="V238" s="39"/>
      <c r="W238" s="39"/>
    </row>
    <row r="239" spans="3:23" s="37" customFormat="1" ht="12" x14ac:dyDescent="0.2">
      <c r="C239" s="38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41"/>
      <c r="S239" s="40"/>
      <c r="T239" s="41"/>
      <c r="U239" s="39"/>
      <c r="V239" s="39"/>
      <c r="W239" s="39"/>
    </row>
    <row r="240" spans="3:23" s="37" customFormat="1" ht="12" x14ac:dyDescent="0.2">
      <c r="C240" s="38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41"/>
      <c r="S240" s="40"/>
      <c r="T240" s="41"/>
      <c r="U240" s="39"/>
      <c r="V240" s="39"/>
      <c r="W240" s="39"/>
    </row>
    <row r="241" spans="3:23" s="37" customFormat="1" ht="12" x14ac:dyDescent="0.2">
      <c r="C241" s="38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41"/>
      <c r="S241" s="40"/>
      <c r="T241" s="41"/>
      <c r="U241" s="39"/>
      <c r="V241" s="39"/>
      <c r="W241" s="39"/>
    </row>
    <row r="242" spans="3:23" s="37" customFormat="1" ht="12" x14ac:dyDescent="0.2">
      <c r="C242" s="38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41"/>
      <c r="S242" s="40"/>
      <c r="T242" s="41"/>
      <c r="U242" s="39"/>
      <c r="V242" s="39"/>
      <c r="W242" s="39"/>
    </row>
    <row r="243" spans="3:23" s="37" customFormat="1" ht="12" x14ac:dyDescent="0.2">
      <c r="C243" s="38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41"/>
      <c r="S243" s="40"/>
      <c r="T243" s="41"/>
      <c r="U243" s="39"/>
      <c r="V243" s="39"/>
      <c r="W243" s="39"/>
    </row>
    <row r="244" spans="3:23" s="37" customFormat="1" ht="12" x14ac:dyDescent="0.2">
      <c r="C244" s="38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41"/>
      <c r="S244" s="40"/>
      <c r="T244" s="41"/>
      <c r="U244" s="39"/>
      <c r="V244" s="39"/>
      <c r="W244" s="39"/>
    </row>
    <row r="245" spans="3:23" s="37" customFormat="1" ht="12" x14ac:dyDescent="0.2">
      <c r="C245" s="38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41"/>
      <c r="S245" s="40"/>
      <c r="T245" s="41"/>
      <c r="U245" s="39"/>
      <c r="V245" s="39"/>
      <c r="W245" s="39"/>
    </row>
    <row r="246" spans="3:23" s="37" customFormat="1" ht="12" x14ac:dyDescent="0.2">
      <c r="C246" s="38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41"/>
      <c r="S246" s="40"/>
      <c r="T246" s="41"/>
      <c r="U246" s="39"/>
      <c r="V246" s="39"/>
      <c r="W246" s="39"/>
    </row>
    <row r="247" spans="3:23" s="37" customFormat="1" ht="12" x14ac:dyDescent="0.2">
      <c r="C247" s="38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41"/>
      <c r="S247" s="40"/>
      <c r="T247" s="41"/>
      <c r="U247" s="39"/>
      <c r="V247" s="39"/>
      <c r="W247" s="39"/>
    </row>
    <row r="248" spans="3:23" s="37" customFormat="1" ht="12" x14ac:dyDescent="0.2">
      <c r="C248" s="38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41"/>
      <c r="S248" s="40"/>
      <c r="T248" s="41"/>
      <c r="U248" s="39"/>
      <c r="V248" s="39"/>
      <c r="W248" s="39"/>
    </row>
    <row r="249" spans="3:23" s="37" customFormat="1" ht="12" x14ac:dyDescent="0.2">
      <c r="C249" s="38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41"/>
      <c r="S249" s="40"/>
      <c r="T249" s="41"/>
      <c r="U249" s="39"/>
      <c r="V249" s="39"/>
      <c r="W249" s="39"/>
    </row>
    <row r="250" spans="3:23" s="37" customFormat="1" ht="12" x14ac:dyDescent="0.2">
      <c r="C250" s="38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41"/>
      <c r="S250" s="40"/>
      <c r="T250" s="41"/>
      <c r="U250" s="39"/>
      <c r="V250" s="39"/>
      <c r="W250" s="39"/>
    </row>
    <row r="251" spans="3:23" s="37" customFormat="1" ht="12" x14ac:dyDescent="0.2">
      <c r="C251" s="38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41"/>
      <c r="S251" s="40"/>
      <c r="T251" s="41"/>
      <c r="U251" s="39"/>
      <c r="V251" s="39"/>
      <c r="W251" s="39"/>
    </row>
    <row r="252" spans="3:23" s="37" customFormat="1" ht="12" x14ac:dyDescent="0.2">
      <c r="C252" s="38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41"/>
      <c r="S252" s="40"/>
      <c r="T252" s="41"/>
      <c r="U252" s="39"/>
      <c r="V252" s="39"/>
      <c r="W252" s="39"/>
    </row>
    <row r="253" spans="3:23" s="37" customFormat="1" ht="12" x14ac:dyDescent="0.2">
      <c r="C253" s="38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41"/>
      <c r="S253" s="40"/>
      <c r="T253" s="41"/>
      <c r="U253" s="39"/>
      <c r="V253" s="39"/>
      <c r="W253" s="39"/>
    </row>
    <row r="254" spans="3:23" s="37" customFormat="1" ht="12" x14ac:dyDescent="0.2">
      <c r="C254" s="38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41"/>
      <c r="S254" s="40"/>
      <c r="T254" s="41"/>
      <c r="U254" s="39"/>
      <c r="V254" s="39"/>
      <c r="W254" s="39"/>
    </row>
    <row r="255" spans="3:23" s="37" customFormat="1" ht="12" x14ac:dyDescent="0.2">
      <c r="C255" s="38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41"/>
      <c r="S255" s="40"/>
      <c r="T255" s="41"/>
      <c r="U255" s="39"/>
      <c r="V255" s="39"/>
      <c r="W255" s="39"/>
    </row>
    <row r="256" spans="3:23" s="37" customFormat="1" ht="12" x14ac:dyDescent="0.2">
      <c r="C256" s="38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41"/>
      <c r="S256" s="40"/>
      <c r="T256" s="41"/>
      <c r="U256" s="39"/>
      <c r="V256" s="39"/>
      <c r="W256" s="39"/>
    </row>
    <row r="257" spans="3:23" s="37" customFormat="1" ht="12" x14ac:dyDescent="0.2">
      <c r="C257" s="38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41"/>
      <c r="S257" s="40"/>
      <c r="T257" s="41"/>
      <c r="U257" s="39"/>
      <c r="V257" s="39"/>
      <c r="W257" s="39"/>
    </row>
    <row r="258" spans="3:23" s="37" customFormat="1" ht="12" x14ac:dyDescent="0.2">
      <c r="C258" s="38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41"/>
      <c r="S258" s="40"/>
      <c r="T258" s="41"/>
      <c r="U258" s="39"/>
      <c r="V258" s="39"/>
      <c r="W258" s="39"/>
    </row>
    <row r="259" spans="3:23" s="37" customFormat="1" ht="12" x14ac:dyDescent="0.2">
      <c r="C259" s="38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41"/>
      <c r="S259" s="40"/>
      <c r="T259" s="41"/>
      <c r="U259" s="39"/>
      <c r="V259" s="39"/>
      <c r="W259" s="39"/>
    </row>
    <row r="260" spans="3:23" s="37" customFormat="1" ht="12" x14ac:dyDescent="0.2">
      <c r="C260" s="38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41"/>
      <c r="S260" s="40"/>
      <c r="T260" s="41"/>
      <c r="U260" s="39"/>
      <c r="V260" s="39"/>
      <c r="W260" s="39"/>
    </row>
    <row r="261" spans="3:23" s="37" customFormat="1" ht="12" x14ac:dyDescent="0.2">
      <c r="C261" s="38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41"/>
      <c r="S261" s="40"/>
      <c r="T261" s="41"/>
      <c r="U261" s="39"/>
      <c r="V261" s="39"/>
      <c r="W261" s="39"/>
    </row>
    <row r="262" spans="3:23" s="37" customFormat="1" ht="12" x14ac:dyDescent="0.2">
      <c r="C262" s="38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41"/>
      <c r="S262" s="40"/>
      <c r="T262" s="41"/>
      <c r="U262" s="39"/>
      <c r="V262" s="39"/>
      <c r="W262" s="39"/>
    </row>
    <row r="263" spans="3:23" s="37" customFormat="1" ht="12" x14ac:dyDescent="0.2">
      <c r="C263" s="38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41"/>
      <c r="S263" s="40"/>
      <c r="T263" s="41"/>
      <c r="U263" s="39"/>
      <c r="V263" s="39"/>
      <c r="W263" s="39"/>
    </row>
    <row r="264" spans="3:23" s="37" customFormat="1" ht="12" x14ac:dyDescent="0.2">
      <c r="C264" s="38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41"/>
      <c r="S264" s="40"/>
      <c r="T264" s="41"/>
      <c r="U264" s="39"/>
      <c r="V264" s="39"/>
      <c r="W264" s="39"/>
    </row>
    <row r="265" spans="3:23" s="37" customFormat="1" ht="12" x14ac:dyDescent="0.2">
      <c r="C265" s="38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41"/>
      <c r="S265" s="40"/>
      <c r="T265" s="41"/>
      <c r="U265" s="39"/>
      <c r="V265" s="39"/>
      <c r="W265" s="39"/>
    </row>
    <row r="266" spans="3:23" s="37" customFormat="1" ht="12" x14ac:dyDescent="0.2">
      <c r="C266" s="38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41"/>
      <c r="S266" s="40"/>
      <c r="T266" s="41"/>
      <c r="U266" s="39"/>
      <c r="V266" s="39"/>
      <c r="W266" s="39"/>
    </row>
    <row r="267" spans="3:23" s="37" customFormat="1" ht="12" x14ac:dyDescent="0.2">
      <c r="C267" s="38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41"/>
      <c r="S267" s="40"/>
      <c r="T267" s="41"/>
      <c r="U267" s="39"/>
      <c r="V267" s="39"/>
      <c r="W267" s="39"/>
    </row>
    <row r="268" spans="3:23" s="37" customFormat="1" ht="12" x14ac:dyDescent="0.2">
      <c r="C268" s="38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41"/>
      <c r="S268" s="40"/>
      <c r="T268" s="41"/>
      <c r="U268" s="39"/>
      <c r="V268" s="39"/>
      <c r="W268" s="39"/>
    </row>
    <row r="269" spans="3:23" s="37" customFormat="1" ht="12" x14ac:dyDescent="0.2">
      <c r="C269" s="38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41"/>
      <c r="S269" s="40"/>
      <c r="T269" s="41"/>
      <c r="U269" s="39"/>
      <c r="V269" s="39"/>
      <c r="W269" s="39"/>
    </row>
    <row r="270" spans="3:23" s="37" customFormat="1" ht="12" x14ac:dyDescent="0.2">
      <c r="C270" s="38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41"/>
      <c r="S270" s="40"/>
      <c r="T270" s="41"/>
      <c r="U270" s="39"/>
      <c r="V270" s="39"/>
      <c r="W270" s="39"/>
    </row>
    <row r="271" spans="3:23" s="37" customFormat="1" ht="12" x14ac:dyDescent="0.2">
      <c r="C271" s="38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41"/>
      <c r="S271" s="40"/>
      <c r="T271" s="41"/>
      <c r="U271" s="39"/>
      <c r="V271" s="39"/>
      <c r="W271" s="39"/>
    </row>
    <row r="272" spans="3:23" s="37" customFormat="1" ht="12" x14ac:dyDescent="0.2">
      <c r="C272" s="38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41"/>
      <c r="S272" s="40"/>
      <c r="T272" s="41"/>
      <c r="U272" s="39"/>
      <c r="V272" s="39"/>
      <c r="W272" s="39"/>
    </row>
    <row r="273" spans="3:23" s="37" customFormat="1" ht="12" x14ac:dyDescent="0.2">
      <c r="C273" s="38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41"/>
      <c r="S273" s="40"/>
      <c r="T273" s="41"/>
      <c r="U273" s="39"/>
      <c r="V273" s="39"/>
      <c r="W273" s="39"/>
    </row>
    <row r="274" spans="3:23" s="37" customFormat="1" ht="12" x14ac:dyDescent="0.2">
      <c r="C274" s="38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41"/>
      <c r="S274" s="40"/>
      <c r="T274" s="41"/>
      <c r="U274" s="39"/>
      <c r="V274" s="39"/>
      <c r="W274" s="39"/>
    </row>
    <row r="275" spans="3:23" s="37" customFormat="1" ht="12" x14ac:dyDescent="0.2">
      <c r="C275" s="38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41"/>
      <c r="S275" s="40"/>
      <c r="T275" s="41"/>
      <c r="U275" s="39"/>
      <c r="V275" s="39"/>
      <c r="W275" s="39"/>
    </row>
    <row r="276" spans="3:23" s="37" customFormat="1" ht="12" x14ac:dyDescent="0.2">
      <c r="C276" s="38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41"/>
      <c r="S276" s="40"/>
      <c r="T276" s="41"/>
      <c r="U276" s="39"/>
      <c r="V276" s="39"/>
      <c r="W276" s="39"/>
    </row>
    <row r="277" spans="3:23" x14ac:dyDescent="0.25"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R277" s="27"/>
      <c r="S277" s="23"/>
      <c r="T277" s="27"/>
      <c r="U277" s="22"/>
      <c r="V277" s="22"/>
      <c r="W277" s="22"/>
    </row>
  </sheetData>
  <sheetProtection algorithmName="SHA-512" hashValue="Zyc70Nvowp7WNxI6xnx3j0x1xLW5Rg2wsuREZW75XXzrnGgrLOifQfJKpZc9Fgw9iwuzcCTa3UYXnmadWd3tVA==" saltValue="D5gutzZ9l7IUc9X2v+CSlw==" spinCount="100000" sheet="1" objects="1" scenarios="1" selectLockedCells="1"/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1"/>
  </sheetPr>
  <dimension ref="A1:W277"/>
  <sheetViews>
    <sheetView workbookViewId="0">
      <selection sqref="A1:XFD1048576"/>
    </sheetView>
  </sheetViews>
  <sheetFormatPr defaultColWidth="8.85546875" defaultRowHeight="15" x14ac:dyDescent="0.25"/>
  <cols>
    <col min="1" max="2" width="3.140625" style="14" customWidth="1"/>
    <col min="3" max="3" width="7.85546875" style="20" customWidth="1"/>
    <col min="4" max="4" width="31.85546875" style="14" customWidth="1"/>
    <col min="5" max="16" width="9.140625" style="14" bestFit="1" customWidth="1"/>
    <col min="17" max="17" width="8.85546875" style="22"/>
    <col min="18" max="18" width="2.140625" style="28" customWidth="1"/>
    <col min="19" max="19" width="8.85546875" style="21"/>
    <col min="20" max="20" width="2.140625" style="28" customWidth="1"/>
    <col min="21" max="16384" width="8.85546875" style="14"/>
  </cols>
  <sheetData>
    <row r="1" spans="1:23" s="1" customFormat="1" ht="21" x14ac:dyDescent="0.35">
      <c r="A1" s="11" t="str">
        <f>'Rev &amp; Enroll'!$F$5</f>
        <v>Nevada State High School (Northwest)</v>
      </c>
      <c r="B1" s="11"/>
      <c r="C1" s="17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4"/>
      <c r="R1" s="24"/>
      <c r="S1" s="3"/>
      <c r="T1" s="29"/>
      <c r="U1" s="2"/>
      <c r="V1" s="2"/>
    </row>
    <row r="2" spans="1:23" s="1" customFormat="1" x14ac:dyDescent="0.25">
      <c r="A2" s="12" t="str">
        <f>CONCATENATE("Monthly Cash Flow/Budget"," ",MYP!M4)</f>
        <v>Monthly Cash Flow/Budget FY25</v>
      </c>
      <c r="B2" s="12"/>
      <c r="C2" s="17"/>
      <c r="D2" s="13"/>
      <c r="E2" s="2"/>
      <c r="F2" s="2"/>
      <c r="G2" s="2"/>
      <c r="H2" s="2"/>
      <c r="I2" s="2"/>
      <c r="J2" s="2"/>
      <c r="M2" s="2"/>
      <c r="N2" s="2"/>
      <c r="O2" s="2"/>
      <c r="Q2" s="8"/>
      <c r="R2" s="25"/>
      <c r="S2" s="2"/>
      <c r="T2" s="29"/>
      <c r="U2" s="4"/>
      <c r="V2" s="4"/>
    </row>
    <row r="3" spans="1:23" s="6" customFormat="1" ht="13.5" customHeight="1" x14ac:dyDescent="0.2">
      <c r="A3" s="5" t="str">
        <f>'FY21'!A3</f>
        <v>Board Approved: Proposed: 4/16/2020</v>
      </c>
      <c r="B3" s="5"/>
      <c r="C3" s="1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8"/>
      <c r="R3" s="25"/>
      <c r="S3" s="7"/>
      <c r="T3" s="31"/>
      <c r="U3" s="7"/>
      <c r="V3" s="7"/>
    </row>
    <row r="4" spans="1:23" s="9" customFormat="1" ht="29.45" customHeight="1" x14ac:dyDescent="0.25">
      <c r="C4" s="19"/>
      <c r="D4" s="10"/>
      <c r="E4" s="33">
        <f>'FY21'!E4+(365*4)</f>
        <v>45473</v>
      </c>
      <c r="F4" s="33">
        <f t="shared" ref="F4:P4" si="0">E4+31</f>
        <v>45504</v>
      </c>
      <c r="G4" s="33">
        <f t="shared" si="0"/>
        <v>45535</v>
      </c>
      <c r="H4" s="33">
        <f t="shared" si="0"/>
        <v>45566</v>
      </c>
      <c r="I4" s="33">
        <f t="shared" si="0"/>
        <v>45597</v>
      </c>
      <c r="J4" s="33">
        <f t="shared" si="0"/>
        <v>45628</v>
      </c>
      <c r="K4" s="33">
        <f t="shared" si="0"/>
        <v>45659</v>
      </c>
      <c r="L4" s="33">
        <f t="shared" si="0"/>
        <v>45690</v>
      </c>
      <c r="M4" s="33">
        <f t="shared" si="0"/>
        <v>45721</v>
      </c>
      <c r="N4" s="33">
        <f t="shared" si="0"/>
        <v>45752</v>
      </c>
      <c r="O4" s="33">
        <f t="shared" si="0"/>
        <v>45783</v>
      </c>
      <c r="P4" s="56">
        <f t="shared" si="0"/>
        <v>45814</v>
      </c>
      <c r="Q4" s="35" t="s">
        <v>54</v>
      </c>
      <c r="R4" s="26"/>
      <c r="S4" s="58" t="s">
        <v>55</v>
      </c>
      <c r="T4" s="32"/>
      <c r="U4" s="33" t="s">
        <v>57</v>
      </c>
      <c r="V4" s="33" t="s">
        <v>56</v>
      </c>
    </row>
    <row r="5" spans="1:23" s="9" customFormat="1" ht="12" x14ac:dyDescent="0.2">
      <c r="C5" s="19"/>
      <c r="D5" s="208" t="s">
        <v>185</v>
      </c>
      <c r="E5" s="327">
        <f>IF(('Rev &amp; Enroll'!$F37*'Rev &amp; Enroll'!$F24)&gt;500000,0.08333,0)</f>
        <v>0</v>
      </c>
      <c r="F5" s="327">
        <f>IF(('Rev &amp; Enroll'!$F37*'Rev &amp; Enroll'!$F24)&gt;500000,0.08333,0.25)</f>
        <v>0.25</v>
      </c>
      <c r="G5" s="327">
        <f>IF(('Rev &amp; Enroll'!$F37*'Rev &amp; Enroll'!$F24)&gt;500000,0.08333,0)</f>
        <v>0</v>
      </c>
      <c r="H5" s="327">
        <f>IF(('Rev &amp; Enroll'!$F37*'Rev &amp; Enroll'!$F24)&gt;500000,0.08333,0)</f>
        <v>0</v>
      </c>
      <c r="I5" s="327">
        <f>IF(('Rev &amp; Enroll'!$F37*'Rev &amp; Enroll'!$F24)&gt;500000,0.08333,0.25)</f>
        <v>0.25</v>
      </c>
      <c r="J5" s="327">
        <f>IF(('Rev &amp; Enroll'!$F37*'Rev &amp; Enroll'!$F24)&gt;500000,0.08333,0)</f>
        <v>0</v>
      </c>
      <c r="K5" s="327">
        <f>IF(('Rev &amp; Enroll'!$F37*'Rev &amp; Enroll'!$F24)&gt;500000,0.08333,0)</f>
        <v>0</v>
      </c>
      <c r="L5" s="327">
        <f>IF(('Rev &amp; Enroll'!$F37*'Rev &amp; Enroll'!$F24)&gt;500000,0.08333,0.25)</f>
        <v>0.25</v>
      </c>
      <c r="M5" s="327">
        <f>IF(('Rev &amp; Enroll'!$F37*'Rev &amp; Enroll'!$F24)&gt;500000,0.08333,0)</f>
        <v>0</v>
      </c>
      <c r="N5" s="327">
        <f>IF(('Rev &amp; Enroll'!$F37*'Rev &amp; Enroll'!$F24)&gt;500000,0.08333,0)</f>
        <v>0</v>
      </c>
      <c r="O5" s="327">
        <f>IF(('Rev &amp; Enroll'!$F37*'Rev &amp; Enroll'!$F24)&gt;500000,0.08333,0.25)</f>
        <v>0.25</v>
      </c>
      <c r="P5" s="327">
        <f>IF(('Rev &amp; Enroll'!$F37*'Rev &amp; Enroll'!$F24)&gt;500000,0.08333,0)</f>
        <v>0</v>
      </c>
      <c r="Q5" s="222">
        <f>1-SUM(E5:P5)</f>
        <v>0</v>
      </c>
      <c r="R5" s="41"/>
      <c r="S5" s="59"/>
      <c r="T5" s="41"/>
      <c r="U5" s="39"/>
      <c r="V5" s="39"/>
      <c r="W5" s="32"/>
    </row>
    <row r="6" spans="1:23" s="37" customFormat="1" ht="11.45" customHeight="1" x14ac:dyDescent="0.2">
      <c r="A6" s="45" t="s">
        <v>58</v>
      </c>
      <c r="C6" s="38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6"/>
      <c r="R6" s="41"/>
      <c r="S6" s="59"/>
      <c r="T6" s="41"/>
      <c r="U6" s="39"/>
      <c r="V6" s="39"/>
      <c r="W6" s="39"/>
    </row>
    <row r="7" spans="1:23" s="37" customFormat="1" ht="12" x14ac:dyDescent="0.2">
      <c r="A7" s="45"/>
      <c r="C7" s="49" t="s">
        <v>172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6"/>
      <c r="R7" s="41"/>
      <c r="S7" s="59"/>
      <c r="T7" s="41"/>
      <c r="U7" s="39"/>
      <c r="V7" s="39"/>
      <c r="W7" s="39"/>
    </row>
    <row r="8" spans="1:23" s="37" customFormat="1" ht="12" x14ac:dyDescent="0.2">
      <c r="A8" s="45"/>
      <c r="C8" s="199">
        <v>1110</v>
      </c>
      <c r="D8" s="37" t="s">
        <v>0</v>
      </c>
      <c r="E8" s="180">
        <f>+'FY24'!E8*(1+MYP!$M$8)</f>
        <v>15614.099423999996</v>
      </c>
      <c r="F8" s="180">
        <f>+'FY24'!F8*(1+MYP!$M$8)</f>
        <v>15614.099423999996</v>
      </c>
      <c r="G8" s="180">
        <f>+'FY24'!G8*(1+MYP!$M$8)</f>
        <v>15614.099423999996</v>
      </c>
      <c r="H8" s="180">
        <f>+'FY24'!H8*(1+MYP!$M$8)</f>
        <v>15614.099423999996</v>
      </c>
      <c r="I8" s="180">
        <f>+'FY24'!I8*(1+MYP!$M$8)</f>
        <v>15614.099423999996</v>
      </c>
      <c r="J8" s="180">
        <f>+'FY24'!J8*(1+MYP!$M$8)</f>
        <v>15614.099423999996</v>
      </c>
      <c r="K8" s="180">
        <f>+'FY24'!K8*(1+MYP!$M$8)</f>
        <v>15614.099423999996</v>
      </c>
      <c r="L8" s="180">
        <f>+'FY24'!L8*(1+MYP!$M$8)</f>
        <v>15614.099423999996</v>
      </c>
      <c r="M8" s="180">
        <f>+'FY24'!M8*(1+MYP!$M$8)</f>
        <v>15614.099423999996</v>
      </c>
      <c r="N8" s="180">
        <f>+'FY24'!N8*(1+MYP!$M$8)</f>
        <v>15614.099423999996</v>
      </c>
      <c r="O8" s="180">
        <f>+'FY24'!O8*(1+MYP!$M$8)</f>
        <v>15614.099423999996</v>
      </c>
      <c r="P8" s="180">
        <f>+'FY24'!P8*(1+MYP!$M$8)</f>
        <v>15614.099423999996</v>
      </c>
      <c r="Q8" s="185"/>
      <c r="R8" s="186"/>
      <c r="S8" s="187">
        <f>SUM(E8:Q8)</f>
        <v>187369.19308799994</v>
      </c>
      <c r="T8" s="186"/>
      <c r="U8" s="180">
        <f>'FY24'!S8</f>
        <v>170335.63008</v>
      </c>
      <c r="V8" s="180">
        <f t="shared" ref="V8:V20" si="1">S8-U8</f>
        <v>17033.563007999939</v>
      </c>
      <c r="W8" s="39"/>
    </row>
    <row r="9" spans="1:23" s="37" customFormat="1" ht="12" x14ac:dyDescent="0.2">
      <c r="A9" s="45"/>
      <c r="C9" s="199">
        <v>1120</v>
      </c>
      <c r="D9" s="37" t="s">
        <v>1</v>
      </c>
      <c r="E9" s="362">
        <f>+'FY24'!E9*(1+MYP!$M$8)</f>
        <v>17151.851639999997</v>
      </c>
      <c r="F9" s="362">
        <f>+'FY24'!F9*(1+MYP!$M$8)</f>
        <v>17151.851639999997</v>
      </c>
      <c r="G9" s="362">
        <f>+'FY24'!G9*(1+MYP!$M$8)</f>
        <v>17151.851639999997</v>
      </c>
      <c r="H9" s="362">
        <f>+'FY24'!H9*(1+MYP!$M$8)</f>
        <v>17151.851639999997</v>
      </c>
      <c r="I9" s="362">
        <f>+'FY24'!I9*(1+MYP!$M$8)</f>
        <v>17151.851639999997</v>
      </c>
      <c r="J9" s="362">
        <f>+'FY24'!J9*(1+MYP!$M$8)</f>
        <v>17151.851639999997</v>
      </c>
      <c r="K9" s="362">
        <f>+'FY24'!K9*(1+MYP!$M$8)</f>
        <v>17151.851639999997</v>
      </c>
      <c r="L9" s="362">
        <f>+'FY24'!L9*(1+MYP!$M$8)</f>
        <v>17151.851639999997</v>
      </c>
      <c r="M9" s="362">
        <f>+'FY24'!M9*(1+MYP!$M$8)</f>
        <v>17151.851639999997</v>
      </c>
      <c r="N9" s="362">
        <f>+'FY24'!N9*(1+MYP!$M$8)</f>
        <v>17151.851639999997</v>
      </c>
      <c r="O9" s="362">
        <f>+'FY24'!O9*(1+MYP!$M$8)</f>
        <v>17151.851639999997</v>
      </c>
      <c r="P9" s="362">
        <f>+'FY24'!P9*(1+MYP!$M$8)</f>
        <v>17151.851639999997</v>
      </c>
      <c r="Q9" s="36"/>
      <c r="R9" s="41"/>
      <c r="S9" s="59">
        <f t="shared" ref="S9:S20" si="2">SUM(E9:Q9)</f>
        <v>205822.21968000001</v>
      </c>
      <c r="T9" s="41"/>
      <c r="U9" s="39">
        <f>'FY24'!S9</f>
        <v>187111.10879999996</v>
      </c>
      <c r="V9" s="39">
        <f t="shared" si="1"/>
        <v>18711.110880000051</v>
      </c>
      <c r="W9" s="39"/>
    </row>
    <row r="10" spans="1:23" s="37" customFormat="1" ht="12" x14ac:dyDescent="0.2">
      <c r="A10" s="45"/>
      <c r="C10" s="199">
        <v>1191</v>
      </c>
      <c r="D10" s="37" t="s">
        <v>2</v>
      </c>
      <c r="E10" s="362">
        <f>+'FY24'!E10*(1+MYP!$M$8)</f>
        <v>59.144315999999982</v>
      </c>
      <c r="F10" s="362">
        <f>+'FY24'!F10*(1+MYP!$M$8)</f>
        <v>59.144315999999982</v>
      </c>
      <c r="G10" s="362">
        <f>+'FY24'!G10*(1+MYP!$M$8)</f>
        <v>59.144315999999982</v>
      </c>
      <c r="H10" s="362">
        <f>+'FY24'!H10*(1+MYP!$M$8)</f>
        <v>59.144315999999982</v>
      </c>
      <c r="I10" s="362">
        <f>+'FY24'!I10*(1+MYP!$M$8)</f>
        <v>59.144315999999982</v>
      </c>
      <c r="J10" s="362">
        <f>+'FY24'!J10*(1+MYP!$M$8)</f>
        <v>59.144315999999982</v>
      </c>
      <c r="K10" s="362">
        <f>+'FY24'!K10*(1+MYP!$M$8)</f>
        <v>59.144315999999982</v>
      </c>
      <c r="L10" s="362">
        <f>+'FY24'!L10*(1+MYP!$M$8)</f>
        <v>59.144315999999982</v>
      </c>
      <c r="M10" s="362">
        <f>+'FY24'!M10*(1+MYP!$M$8)</f>
        <v>59.144315999999982</v>
      </c>
      <c r="N10" s="362">
        <f>+'FY24'!N10*(1+MYP!$M$8)</f>
        <v>59.144315999999982</v>
      </c>
      <c r="O10" s="362">
        <f>+'FY24'!O10*(1+MYP!$M$8)</f>
        <v>59.144315999999982</v>
      </c>
      <c r="P10" s="362">
        <f>+'FY24'!P10*(1+MYP!$M$8)</f>
        <v>59.144315999999982</v>
      </c>
      <c r="Q10" s="36"/>
      <c r="R10" s="41"/>
      <c r="S10" s="59">
        <f t="shared" si="2"/>
        <v>709.73179199999993</v>
      </c>
      <c r="T10" s="41"/>
      <c r="U10" s="39">
        <f>'FY24'!S10</f>
        <v>645.21071999999992</v>
      </c>
      <c r="V10" s="39">
        <f t="shared" si="1"/>
        <v>64.521072000000004</v>
      </c>
      <c r="W10" s="39"/>
    </row>
    <row r="11" spans="1:23" s="37" customFormat="1" ht="12" x14ac:dyDescent="0.2">
      <c r="A11" s="45"/>
      <c r="C11" s="199">
        <v>1192</v>
      </c>
      <c r="D11" s="37" t="s">
        <v>3</v>
      </c>
      <c r="E11" s="362">
        <f>+'FY24'!E11*(1+MYP!$M$8)</f>
        <v>1833.473796</v>
      </c>
      <c r="F11" s="362">
        <f>+'FY24'!F11*(1+MYP!$M$8)</f>
        <v>1833.473796</v>
      </c>
      <c r="G11" s="362">
        <f>+'FY24'!G11*(1+MYP!$M$8)</f>
        <v>1833.473796</v>
      </c>
      <c r="H11" s="362">
        <f>+'FY24'!H11*(1+MYP!$M$8)</f>
        <v>1833.473796</v>
      </c>
      <c r="I11" s="362">
        <f>+'FY24'!I11*(1+MYP!$M$8)</f>
        <v>1833.473796</v>
      </c>
      <c r="J11" s="362">
        <f>+'FY24'!J11*(1+MYP!$M$8)</f>
        <v>1833.473796</v>
      </c>
      <c r="K11" s="362">
        <f>+'FY24'!K11*(1+MYP!$M$8)</f>
        <v>1833.473796</v>
      </c>
      <c r="L11" s="362">
        <f>+'FY24'!L11*(1+MYP!$M$8)</f>
        <v>1833.473796</v>
      </c>
      <c r="M11" s="362">
        <f>+'FY24'!M11*(1+MYP!$M$8)</f>
        <v>1833.473796</v>
      </c>
      <c r="N11" s="362">
        <f>+'FY24'!N11*(1+MYP!$M$8)</f>
        <v>1833.473796</v>
      </c>
      <c r="O11" s="362">
        <f>+'FY24'!O11*(1+MYP!$M$8)</f>
        <v>1833.473796</v>
      </c>
      <c r="P11" s="362">
        <f>+'FY24'!P11*(1+MYP!$M$8)</f>
        <v>1833.473796</v>
      </c>
      <c r="Q11" s="98"/>
      <c r="R11" s="41"/>
      <c r="S11" s="59">
        <f t="shared" si="2"/>
        <v>22001.685551999995</v>
      </c>
      <c r="T11" s="41"/>
      <c r="U11" s="39">
        <f>'FY24'!S11</f>
        <v>20001.532319999998</v>
      </c>
      <c r="V11" s="39">
        <f t="shared" si="1"/>
        <v>2000.1532319999969</v>
      </c>
      <c r="W11" s="39"/>
    </row>
    <row r="12" spans="1:23" s="37" customFormat="1" ht="12" x14ac:dyDescent="0.2">
      <c r="A12" s="45"/>
      <c r="C12" s="199">
        <v>3110</v>
      </c>
      <c r="D12" s="37" t="s">
        <v>73</v>
      </c>
      <c r="E12" s="362">
        <f>+'FY24'!E12*(1+MYP!$M$8)</f>
        <v>24485.746823999994</v>
      </c>
      <c r="F12" s="362">
        <f>+'FY24'!F12*(1+MYP!$M$8)</f>
        <v>24485.746823999994</v>
      </c>
      <c r="G12" s="362">
        <f>+'FY24'!G12*(1+MYP!$M$8)</f>
        <v>24485.746823999994</v>
      </c>
      <c r="H12" s="362">
        <f>+'FY24'!H12*(1+MYP!$M$8)</f>
        <v>24485.746823999994</v>
      </c>
      <c r="I12" s="362">
        <f>+'FY24'!I12*(1+MYP!$M$8)</f>
        <v>24485.746823999994</v>
      </c>
      <c r="J12" s="362">
        <f>+'FY24'!J12*(1+MYP!$M$8)</f>
        <v>24485.746823999994</v>
      </c>
      <c r="K12" s="362">
        <f>+'FY24'!K12*(1+MYP!$M$8)</f>
        <v>24485.746823999994</v>
      </c>
      <c r="L12" s="362">
        <f>+'FY24'!L12*(1+MYP!$M$8)</f>
        <v>24485.746823999994</v>
      </c>
      <c r="M12" s="362">
        <f>+'FY24'!M12*(1+MYP!$M$8)</f>
        <v>24485.746823999994</v>
      </c>
      <c r="N12" s="362">
        <f>+'FY24'!N12*(1+MYP!$M$8)</f>
        <v>24485.746823999994</v>
      </c>
      <c r="O12" s="362">
        <f>+'FY24'!O12*(1+MYP!$M$8)</f>
        <v>24485.746823999994</v>
      </c>
      <c r="P12" s="362">
        <f>+'FY24'!P12*(1+MYP!$M$8)</f>
        <v>24485.746823999994</v>
      </c>
      <c r="Q12" s="98"/>
      <c r="R12" s="41"/>
      <c r="S12" s="59">
        <f t="shared" si="2"/>
        <v>293828.96188799996</v>
      </c>
      <c r="T12" s="41"/>
      <c r="U12" s="39">
        <f>'FY24'!S12</f>
        <v>267117.23807999992</v>
      </c>
      <c r="V12" s="39">
        <f t="shared" si="1"/>
        <v>26711.723808000039</v>
      </c>
      <c r="W12" s="39"/>
    </row>
    <row r="13" spans="1:23" s="37" customFormat="1" ht="12" x14ac:dyDescent="0.2">
      <c r="A13" s="45"/>
      <c r="C13" s="38"/>
      <c r="E13" s="50">
        <f>SUBTOTAL(9,E8:E12)</f>
        <v>59144.315999999984</v>
      </c>
      <c r="F13" s="50">
        <f t="shared" ref="F13:S13" si="3">SUBTOTAL(9,F8:F12)</f>
        <v>59144.315999999984</v>
      </c>
      <c r="G13" s="50">
        <f t="shared" si="3"/>
        <v>59144.315999999984</v>
      </c>
      <c r="H13" s="50">
        <f t="shared" si="3"/>
        <v>59144.315999999984</v>
      </c>
      <c r="I13" s="50">
        <f t="shared" si="3"/>
        <v>59144.315999999984</v>
      </c>
      <c r="J13" s="50">
        <f t="shared" si="3"/>
        <v>59144.315999999984</v>
      </c>
      <c r="K13" s="50">
        <f t="shared" si="3"/>
        <v>59144.315999999984</v>
      </c>
      <c r="L13" s="50">
        <f t="shared" si="3"/>
        <v>59144.315999999984</v>
      </c>
      <c r="M13" s="50">
        <f t="shared" si="3"/>
        <v>59144.315999999984</v>
      </c>
      <c r="N13" s="50">
        <f t="shared" si="3"/>
        <v>59144.315999999984</v>
      </c>
      <c r="O13" s="50">
        <f t="shared" si="3"/>
        <v>59144.315999999984</v>
      </c>
      <c r="P13" s="50">
        <f t="shared" si="3"/>
        <v>59144.315999999984</v>
      </c>
      <c r="Q13" s="99"/>
      <c r="R13" s="41"/>
      <c r="S13" s="61">
        <f t="shared" si="3"/>
        <v>709731.7919999999</v>
      </c>
      <c r="T13" s="41"/>
      <c r="U13" s="50">
        <f t="shared" ref="U13" si="4">SUBTOTAL(9,U8:U12)</f>
        <v>645210.71999999986</v>
      </c>
      <c r="V13" s="50">
        <f t="shared" ref="V13" si="5">SUBTOTAL(9,V8:V12)</f>
        <v>64521.072000000029</v>
      </c>
      <c r="W13" s="39"/>
    </row>
    <row r="14" spans="1:23" s="37" customFormat="1" ht="12" x14ac:dyDescent="0.2">
      <c r="A14" s="45"/>
      <c r="C14" s="49" t="s">
        <v>171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98"/>
      <c r="R14" s="41"/>
      <c r="S14" s="59"/>
      <c r="T14" s="41"/>
      <c r="U14" s="39"/>
      <c r="V14" s="39"/>
      <c r="W14" s="39"/>
    </row>
    <row r="15" spans="1:23" s="37" customFormat="1" ht="12" x14ac:dyDescent="0.2">
      <c r="A15" s="45"/>
      <c r="C15" s="199">
        <v>3115</v>
      </c>
      <c r="D15" s="37" t="s">
        <v>5</v>
      </c>
      <c r="E15" s="362">
        <f>+'FY24'!E15*(1+MYP!$M$8)</f>
        <v>0</v>
      </c>
      <c r="F15" s="362">
        <f>+'FY24'!F15*(1+MYP!$M$8)</f>
        <v>0</v>
      </c>
      <c r="G15" s="362">
        <f>+'FY24'!G15*(1+MYP!$M$8)</f>
        <v>0</v>
      </c>
      <c r="H15" s="362">
        <f>+'FY24'!H15*(1+MYP!$M$8)</f>
        <v>0</v>
      </c>
      <c r="I15" s="362">
        <f>+'FY24'!I15*(1+MYP!$M$8)</f>
        <v>0</v>
      </c>
      <c r="J15" s="362">
        <f>+'FY24'!J15*(1+MYP!$M$8)</f>
        <v>0</v>
      </c>
      <c r="K15" s="362">
        <f>+'FY24'!K15*(1+MYP!$M$8)</f>
        <v>0</v>
      </c>
      <c r="L15" s="362">
        <f>+'FY24'!L15*(1+MYP!$M$8)</f>
        <v>0</v>
      </c>
      <c r="M15" s="362">
        <f>+'FY24'!M15*(1+MYP!$M$8)</f>
        <v>0</v>
      </c>
      <c r="N15" s="362">
        <f>+'FY24'!N15*(1+MYP!$M$8)</f>
        <v>0</v>
      </c>
      <c r="O15" s="362">
        <f>+'FY24'!O15*(1+MYP!$M$8)</f>
        <v>0</v>
      </c>
      <c r="P15" s="362">
        <f>+'FY24'!P15*(1+MYP!$M$8)</f>
        <v>0</v>
      </c>
      <c r="Q15" s="100"/>
      <c r="R15" s="41"/>
      <c r="S15" s="59">
        <f t="shared" si="2"/>
        <v>0</v>
      </c>
      <c r="T15" s="41"/>
      <c r="U15" s="39">
        <f>'FY24'!S15</f>
        <v>0</v>
      </c>
      <c r="V15" s="39">
        <f t="shared" si="1"/>
        <v>0</v>
      </c>
      <c r="W15" s="39"/>
    </row>
    <row r="16" spans="1:23" s="37" customFormat="1" ht="12" x14ac:dyDescent="0.2">
      <c r="A16" s="45"/>
      <c r="C16" s="199">
        <v>3200</v>
      </c>
      <c r="D16" s="37" t="s">
        <v>6</v>
      </c>
      <c r="E16" s="362">
        <f>+'FY24'!E16*(1+MYP!$M$8)</f>
        <v>0</v>
      </c>
      <c r="F16" s="362">
        <f>+'FY24'!F16*(1+MYP!$M$8)</f>
        <v>0</v>
      </c>
      <c r="G16" s="362">
        <f>+'FY24'!G16*(1+MYP!$M$8)</f>
        <v>0</v>
      </c>
      <c r="H16" s="362">
        <f>+'FY24'!H16*(1+MYP!$M$8)</f>
        <v>0</v>
      </c>
      <c r="I16" s="362">
        <f>+'FY24'!I16*(1+MYP!$M$8)</f>
        <v>0</v>
      </c>
      <c r="J16" s="362">
        <f>+'FY24'!J16*(1+MYP!$M$8)</f>
        <v>0</v>
      </c>
      <c r="K16" s="362">
        <v>0</v>
      </c>
      <c r="L16" s="362">
        <f>+'FY24'!L16*(1+MYP!$M$8)</f>
        <v>0</v>
      </c>
      <c r="M16" s="362">
        <v>0</v>
      </c>
      <c r="N16" s="362">
        <f>+'FY24'!N16*(1+MYP!$M$8)</f>
        <v>0</v>
      </c>
      <c r="O16" s="362">
        <v>0</v>
      </c>
      <c r="P16" s="362">
        <f>+'FY24'!P16*(1+MYP!$M$8)</f>
        <v>0</v>
      </c>
      <c r="Q16" s="100"/>
      <c r="R16" s="41"/>
      <c r="S16" s="59">
        <f t="shared" si="2"/>
        <v>0</v>
      </c>
      <c r="T16" s="41"/>
      <c r="U16" s="39">
        <f>'FY24'!S16</f>
        <v>0</v>
      </c>
      <c r="V16" s="39">
        <f t="shared" si="1"/>
        <v>0</v>
      </c>
      <c r="W16" s="39"/>
    </row>
    <row r="17" spans="1:23" s="37" customFormat="1" ht="12" x14ac:dyDescent="0.2">
      <c r="A17" s="45"/>
      <c r="C17" s="38"/>
      <c r="E17" s="50">
        <f>SUBTOTAL(9,E15:E16)</f>
        <v>0</v>
      </c>
      <c r="F17" s="50">
        <f t="shared" ref="F17:V17" si="6">SUBTOTAL(9,F15:F16)</f>
        <v>0</v>
      </c>
      <c r="G17" s="50">
        <f t="shared" si="6"/>
        <v>0</v>
      </c>
      <c r="H17" s="50">
        <f t="shared" si="6"/>
        <v>0</v>
      </c>
      <c r="I17" s="50">
        <f t="shared" si="6"/>
        <v>0</v>
      </c>
      <c r="J17" s="50">
        <f t="shared" si="6"/>
        <v>0</v>
      </c>
      <c r="K17" s="50">
        <f t="shared" si="6"/>
        <v>0</v>
      </c>
      <c r="L17" s="50">
        <f t="shared" si="6"/>
        <v>0</v>
      </c>
      <c r="M17" s="50">
        <f t="shared" si="6"/>
        <v>0</v>
      </c>
      <c r="N17" s="50">
        <f t="shared" si="6"/>
        <v>0</v>
      </c>
      <c r="O17" s="50">
        <f t="shared" si="6"/>
        <v>0</v>
      </c>
      <c r="P17" s="50">
        <f t="shared" si="6"/>
        <v>0</v>
      </c>
      <c r="Q17" s="99"/>
      <c r="R17" s="41"/>
      <c r="S17" s="61">
        <f t="shared" si="6"/>
        <v>0</v>
      </c>
      <c r="T17" s="41"/>
      <c r="U17" s="50">
        <f t="shared" si="6"/>
        <v>0</v>
      </c>
      <c r="V17" s="50">
        <f t="shared" si="6"/>
        <v>0</v>
      </c>
      <c r="W17" s="39"/>
    </row>
    <row r="18" spans="1:23" s="37" customFormat="1" ht="12" x14ac:dyDescent="0.2">
      <c r="A18" s="45"/>
      <c r="C18" s="49" t="s">
        <v>149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100"/>
      <c r="R18" s="41"/>
      <c r="S18" s="59"/>
      <c r="T18" s="41"/>
      <c r="U18" s="39"/>
      <c r="V18" s="39"/>
      <c r="W18" s="39"/>
    </row>
    <row r="19" spans="1:23" s="37" customFormat="1" ht="12" x14ac:dyDescent="0.2">
      <c r="A19" s="45"/>
      <c r="C19" s="199">
        <v>4500</v>
      </c>
      <c r="D19" s="37" t="s">
        <v>6</v>
      </c>
      <c r="E19" s="362">
        <f>+'FY24'!E19*(1+MYP!$M$8)</f>
        <v>0</v>
      </c>
      <c r="F19" s="362">
        <f>+'FY24'!F19*(1+MYP!$M$8)</f>
        <v>0</v>
      </c>
      <c r="G19" s="362">
        <f>+'FY24'!G19*(1+MYP!$M$8)</f>
        <v>0</v>
      </c>
      <c r="H19" s="362">
        <f>+'FY24'!H19*(1+MYP!$M$8)</f>
        <v>0</v>
      </c>
      <c r="I19" s="362">
        <f>+'FY24'!I19*(1+MYP!$M$8)</f>
        <v>0</v>
      </c>
      <c r="J19" s="362">
        <f>+'FY24'!J19*(1+MYP!$M$8)</f>
        <v>0</v>
      </c>
      <c r="K19" s="362">
        <f>+'FY24'!K19*(1+MYP!$M$8)</f>
        <v>0</v>
      </c>
      <c r="L19" s="362">
        <f>+'FY24'!L19*(1+MYP!$M$8)</f>
        <v>0</v>
      </c>
      <c r="M19" s="362">
        <f>+'FY24'!M19*(1+MYP!$M$8)</f>
        <v>0</v>
      </c>
      <c r="N19" s="362">
        <f>+'FY24'!N19*(1+MYP!$M$8)</f>
        <v>0</v>
      </c>
      <c r="O19" s="362">
        <f>+'FY24'!O19*(1+MYP!$M$8)</f>
        <v>0</v>
      </c>
      <c r="P19" s="362">
        <f>+'FY24'!P19*(1+MYP!$M$8)</f>
        <v>0</v>
      </c>
      <c r="Q19" s="100"/>
      <c r="R19" s="41"/>
      <c r="S19" s="59">
        <f t="shared" si="2"/>
        <v>0</v>
      </c>
      <c r="T19" s="41"/>
      <c r="U19" s="39">
        <f>'FY24'!S19</f>
        <v>0</v>
      </c>
      <c r="V19" s="39">
        <f t="shared" si="1"/>
        <v>0</v>
      </c>
      <c r="W19" s="39"/>
    </row>
    <row r="20" spans="1:23" s="37" customFormat="1" ht="12" x14ac:dyDescent="0.2">
      <c r="A20" s="45"/>
      <c r="C20" s="199">
        <v>4571</v>
      </c>
      <c r="D20" s="37" t="s">
        <v>7</v>
      </c>
      <c r="E20" s="362">
        <f>+'FY24'!E20*(1+MYP!$M$8)</f>
        <v>0</v>
      </c>
      <c r="F20" s="362">
        <f>+'FY24'!F20*(1+MYP!$M$8)</f>
        <v>0</v>
      </c>
      <c r="G20" s="362">
        <f>+'FY24'!G20*(1+MYP!$M$8)</f>
        <v>0</v>
      </c>
      <c r="H20" s="362">
        <f>+'FY24'!H20*(1+MYP!$M$8)</f>
        <v>0</v>
      </c>
      <c r="I20" s="362">
        <f>+'FY24'!I20*(1+MYP!$M$8)</f>
        <v>0</v>
      </c>
      <c r="J20" s="362">
        <f>+'FY24'!J20*(1+MYP!$M$8)</f>
        <v>0</v>
      </c>
      <c r="K20" s="362">
        <f>+'FY24'!K20*(1+MYP!$M$8)</f>
        <v>0</v>
      </c>
      <c r="L20" s="362">
        <f>+'FY24'!L20*(1+MYP!$M$8)</f>
        <v>0</v>
      </c>
      <c r="M20" s="362">
        <f>+'FY24'!M20*(1+MYP!$M$8)</f>
        <v>0</v>
      </c>
      <c r="N20" s="362">
        <f>+'FY24'!N20*(1+MYP!$M$8)</f>
        <v>0</v>
      </c>
      <c r="O20" s="362">
        <f>+'FY24'!O20*(1+MYP!$M$8)</f>
        <v>0</v>
      </c>
      <c r="P20" s="362">
        <f>+'FY24'!P20*(1+MYP!$M$8)</f>
        <v>0</v>
      </c>
      <c r="Q20" s="100"/>
      <c r="R20" s="41"/>
      <c r="S20" s="62">
        <f t="shared" si="2"/>
        <v>0</v>
      </c>
      <c r="T20" s="41"/>
      <c r="U20" s="41">
        <f>'FY24'!S20</f>
        <v>0</v>
      </c>
      <c r="V20" s="41">
        <f t="shared" si="1"/>
        <v>0</v>
      </c>
      <c r="W20" s="39"/>
    </row>
    <row r="21" spans="1:23" s="37" customFormat="1" ht="12" x14ac:dyDescent="0.2">
      <c r="A21" s="45"/>
      <c r="C21" s="38">
        <v>4703</v>
      </c>
      <c r="D21" s="37" t="s">
        <v>186</v>
      </c>
      <c r="E21" s="362">
        <f>+'FY24'!E21*(1+MYP!$M$8)</f>
        <v>0</v>
      </c>
      <c r="F21" s="362">
        <f>+'FY24'!F21*(1+MYP!$M$8)</f>
        <v>0</v>
      </c>
      <c r="G21" s="362">
        <f>+'FY24'!G21*(1+MYP!$M$8)</f>
        <v>0</v>
      </c>
      <c r="H21" s="362">
        <f>+'FY24'!H21*(1+MYP!$M$8)</f>
        <v>0</v>
      </c>
      <c r="I21" s="362">
        <f>+'FY24'!I21*(1+MYP!$M$8)</f>
        <v>0</v>
      </c>
      <c r="J21" s="362">
        <f>+'FY24'!J21*(1+MYP!$M$8)</f>
        <v>0</v>
      </c>
      <c r="K21" s="362">
        <f>+'FY24'!K21*(1+MYP!$M$8)</f>
        <v>0</v>
      </c>
      <c r="L21" s="362">
        <f>+'FY24'!L21*(1+MYP!$M$8)</f>
        <v>0</v>
      </c>
      <c r="M21" s="362">
        <f>+'FY24'!M21*(1+MYP!$M$8)</f>
        <v>0</v>
      </c>
      <c r="N21" s="362">
        <f>+'FY24'!N21*(1+MYP!$M$8)</f>
        <v>0</v>
      </c>
      <c r="O21" s="362">
        <f>+'FY24'!O21*(1+MYP!$M$8)</f>
        <v>0</v>
      </c>
      <c r="P21" s="362">
        <f>+'FY24'!P21*(1+MYP!$M$8)</f>
        <v>0</v>
      </c>
      <c r="Q21" s="100"/>
      <c r="R21" s="41"/>
      <c r="S21" s="62">
        <f t="shared" ref="S21" si="7">SUM(E21:Q21)</f>
        <v>0</v>
      </c>
      <c r="T21" s="41"/>
      <c r="U21" s="41">
        <f>'FY24'!S21</f>
        <v>0</v>
      </c>
      <c r="V21" s="41">
        <f t="shared" ref="V21" si="8">S21-U21</f>
        <v>0</v>
      </c>
      <c r="W21" s="39"/>
    </row>
    <row r="22" spans="1:23" s="37" customFormat="1" ht="12" x14ac:dyDescent="0.2">
      <c r="A22" s="45"/>
      <c r="C22" s="38"/>
      <c r="E22" s="50">
        <f>SUBTOTAL(9,E19:E21)</f>
        <v>0</v>
      </c>
      <c r="F22" s="50">
        <f t="shared" ref="F22:P22" si="9">SUBTOTAL(9,F19:F21)</f>
        <v>0</v>
      </c>
      <c r="G22" s="50">
        <f t="shared" si="9"/>
        <v>0</v>
      </c>
      <c r="H22" s="50">
        <f t="shared" si="9"/>
        <v>0</v>
      </c>
      <c r="I22" s="50">
        <f t="shared" si="9"/>
        <v>0</v>
      </c>
      <c r="J22" s="50">
        <f t="shared" si="9"/>
        <v>0</v>
      </c>
      <c r="K22" s="50">
        <f t="shared" si="9"/>
        <v>0</v>
      </c>
      <c r="L22" s="50">
        <f t="shared" si="9"/>
        <v>0</v>
      </c>
      <c r="M22" s="50">
        <f t="shared" si="9"/>
        <v>0</v>
      </c>
      <c r="N22" s="50">
        <f t="shared" si="9"/>
        <v>0</v>
      </c>
      <c r="O22" s="50">
        <f t="shared" si="9"/>
        <v>0</v>
      </c>
      <c r="P22" s="50">
        <f t="shared" si="9"/>
        <v>0</v>
      </c>
      <c r="Q22" s="99"/>
      <c r="R22" s="41"/>
      <c r="S22" s="61">
        <f>SUBTOTAL(9,S19:S21)</f>
        <v>0</v>
      </c>
      <c r="T22" s="41"/>
      <c r="U22" s="50">
        <f>SUBTOTAL(9,U19:U21)</f>
        <v>0</v>
      </c>
      <c r="V22" s="50">
        <f>SUBTOTAL(9,V19:V21)</f>
        <v>0</v>
      </c>
      <c r="W22" s="39"/>
    </row>
    <row r="23" spans="1:23" s="37" customFormat="1" ht="12" x14ac:dyDescent="0.2">
      <c r="A23" s="45"/>
      <c r="C23" s="49" t="s">
        <v>150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100"/>
      <c r="R23" s="41"/>
      <c r="S23" s="62"/>
      <c r="T23" s="41"/>
      <c r="U23" s="41"/>
      <c r="V23" s="41"/>
      <c r="W23" s="39"/>
    </row>
    <row r="24" spans="1:23" s="37" customFormat="1" ht="12" x14ac:dyDescent="0.2">
      <c r="A24" s="45"/>
      <c r="C24" s="199">
        <v>1790</v>
      </c>
      <c r="D24" s="37" t="s">
        <v>4</v>
      </c>
      <c r="E24" s="362">
        <f>+'FY24'!E24*(1+MYP!$M$8)</f>
        <v>0</v>
      </c>
      <c r="F24" s="362">
        <f>+'FY24'!F24*(1+MYP!$M$8)</f>
        <v>0</v>
      </c>
      <c r="G24" s="362">
        <f>+'FY24'!G24*(1+MYP!$M$8)</f>
        <v>0</v>
      </c>
      <c r="H24" s="362">
        <f>+'FY24'!H24*(1+MYP!$M$8)</f>
        <v>0</v>
      </c>
      <c r="I24" s="362">
        <f>+'FY24'!I24*(1+MYP!$M$8)</f>
        <v>0</v>
      </c>
      <c r="J24" s="362">
        <f>+'FY24'!J24*(1+MYP!$M$8)</f>
        <v>0</v>
      </c>
      <c r="K24" s="362">
        <f>+'FY24'!K24*(1+MYP!$M$8)</f>
        <v>0</v>
      </c>
      <c r="L24" s="362">
        <f>+'FY24'!L24*(1+MYP!$M$8)</f>
        <v>0</v>
      </c>
      <c r="M24" s="362">
        <f>+'FY24'!M24*(1+MYP!$M$8)</f>
        <v>0</v>
      </c>
      <c r="N24" s="362">
        <f>+'FY24'!N24*(1+MYP!$M$8)</f>
        <v>0</v>
      </c>
      <c r="O24" s="362">
        <f>+'FY24'!O24*(1+MYP!$M$8)</f>
        <v>0</v>
      </c>
      <c r="P24" s="362">
        <f>+'FY24'!P24*(1+MYP!$M$8)</f>
        <v>0</v>
      </c>
      <c r="Q24" s="100"/>
      <c r="R24" s="41"/>
      <c r="S24" s="59">
        <f>SUM(E24:Q24)</f>
        <v>0</v>
      </c>
      <c r="T24" s="41"/>
      <c r="U24" s="39">
        <f>'FY24'!S24</f>
        <v>0</v>
      </c>
      <c r="V24" s="39">
        <f>S24-U24</f>
        <v>0</v>
      </c>
      <c r="W24" s="39"/>
    </row>
    <row r="25" spans="1:23" s="37" customFormat="1" ht="12" x14ac:dyDescent="0.2">
      <c r="A25" s="45"/>
      <c r="C25" s="38"/>
      <c r="E25" s="50">
        <f>SUBTOTAL(9,E24)</f>
        <v>0</v>
      </c>
      <c r="F25" s="50">
        <f t="shared" ref="F25:S25" si="10">SUBTOTAL(9,F24)</f>
        <v>0</v>
      </c>
      <c r="G25" s="50">
        <f t="shared" si="10"/>
        <v>0</v>
      </c>
      <c r="H25" s="50">
        <f t="shared" si="10"/>
        <v>0</v>
      </c>
      <c r="I25" s="50">
        <f t="shared" si="10"/>
        <v>0</v>
      </c>
      <c r="J25" s="50">
        <f t="shared" si="10"/>
        <v>0</v>
      </c>
      <c r="K25" s="50">
        <f t="shared" si="10"/>
        <v>0</v>
      </c>
      <c r="L25" s="50">
        <f t="shared" si="10"/>
        <v>0</v>
      </c>
      <c r="M25" s="50">
        <f t="shared" si="10"/>
        <v>0</v>
      </c>
      <c r="N25" s="50">
        <f t="shared" si="10"/>
        <v>0</v>
      </c>
      <c r="O25" s="50">
        <f t="shared" si="10"/>
        <v>0</v>
      </c>
      <c r="P25" s="50">
        <f t="shared" si="10"/>
        <v>0</v>
      </c>
      <c r="Q25" s="99"/>
      <c r="R25" s="41"/>
      <c r="S25" s="61">
        <f t="shared" si="10"/>
        <v>0</v>
      </c>
      <c r="T25" s="41"/>
      <c r="U25" s="50">
        <f t="shared" ref="U25" si="11">SUBTOTAL(9,U24)</f>
        <v>0</v>
      </c>
      <c r="V25" s="50">
        <f t="shared" ref="V25" si="12">SUBTOTAL(9,V24)</f>
        <v>0</v>
      </c>
      <c r="W25" s="39"/>
    </row>
    <row r="26" spans="1:23" s="37" customFormat="1" ht="9" customHeight="1" x14ac:dyDescent="0.2">
      <c r="A26" s="45"/>
      <c r="C26" s="38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100"/>
      <c r="R26" s="41"/>
      <c r="S26" s="59"/>
      <c r="T26" s="41"/>
      <c r="U26" s="39"/>
      <c r="V26" s="39"/>
      <c r="W26" s="39"/>
    </row>
    <row r="27" spans="1:23" s="45" customFormat="1" ht="12" x14ac:dyDescent="0.2">
      <c r="A27" s="45" t="s">
        <v>105</v>
      </c>
      <c r="C27" s="46"/>
      <c r="E27" s="43">
        <f t="shared" ref="E27:P27" si="13">SUBTOTAL(9,E8:E26)</f>
        <v>59144.315999999984</v>
      </c>
      <c r="F27" s="43">
        <f t="shared" si="13"/>
        <v>59144.315999999984</v>
      </c>
      <c r="G27" s="43">
        <f t="shared" si="13"/>
        <v>59144.315999999984</v>
      </c>
      <c r="H27" s="43">
        <f t="shared" si="13"/>
        <v>59144.315999999984</v>
      </c>
      <c r="I27" s="43">
        <f t="shared" si="13"/>
        <v>59144.315999999984</v>
      </c>
      <c r="J27" s="43">
        <f t="shared" si="13"/>
        <v>59144.315999999984</v>
      </c>
      <c r="K27" s="43">
        <f t="shared" si="13"/>
        <v>59144.315999999984</v>
      </c>
      <c r="L27" s="43">
        <f t="shared" si="13"/>
        <v>59144.315999999984</v>
      </c>
      <c r="M27" s="43">
        <f t="shared" si="13"/>
        <v>59144.315999999984</v>
      </c>
      <c r="N27" s="43">
        <f t="shared" si="13"/>
        <v>59144.315999999984</v>
      </c>
      <c r="O27" s="43">
        <f t="shared" si="13"/>
        <v>59144.315999999984</v>
      </c>
      <c r="P27" s="43">
        <f t="shared" si="13"/>
        <v>59144.315999999984</v>
      </c>
      <c r="Q27" s="196"/>
      <c r="R27" s="48"/>
      <c r="S27" s="60">
        <f>SUBTOTAL(9,S8:S26)</f>
        <v>709731.7919999999</v>
      </c>
      <c r="T27" s="48"/>
      <c r="U27" s="43">
        <f>SUBTOTAL(9,U8:U26)</f>
        <v>645210.71999999986</v>
      </c>
      <c r="V27" s="43">
        <f>SUBTOTAL(9,V8:V26)</f>
        <v>64521.072000000029</v>
      </c>
      <c r="W27" s="40"/>
    </row>
    <row r="28" spans="1:23" s="45" customFormat="1" ht="12" x14ac:dyDescent="0.2">
      <c r="C28" s="46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100"/>
      <c r="R28" s="48"/>
      <c r="S28" s="59"/>
      <c r="T28" s="48"/>
      <c r="U28" s="40"/>
      <c r="V28" s="40"/>
      <c r="W28" s="40"/>
    </row>
    <row r="29" spans="1:23" s="37" customFormat="1" ht="12" x14ac:dyDescent="0.2">
      <c r="A29" s="45" t="s">
        <v>59</v>
      </c>
      <c r="C29" s="3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44"/>
      <c r="R29" s="41"/>
      <c r="S29" s="59"/>
      <c r="T29" s="41"/>
      <c r="U29" s="39"/>
      <c r="V29" s="39"/>
      <c r="W29" s="39"/>
    </row>
    <row r="30" spans="1:23" s="37" customFormat="1" ht="12" x14ac:dyDescent="0.2">
      <c r="C30" s="49" t="s">
        <v>8</v>
      </c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44"/>
      <c r="R30" s="41"/>
      <c r="S30" s="59"/>
      <c r="T30" s="41"/>
      <c r="U30" s="39"/>
      <c r="V30" s="39"/>
      <c r="W30" s="39"/>
    </row>
    <row r="31" spans="1:23" s="37" customFormat="1" ht="12" x14ac:dyDescent="0.2">
      <c r="C31" s="199">
        <v>6111</v>
      </c>
      <c r="D31" s="37" t="s">
        <v>192</v>
      </c>
      <c r="E31" s="39">
        <f>+'FY24'!E31*(1+MYP!$M$9)</f>
        <v>6338.8712927739598</v>
      </c>
      <c r="F31" s="39">
        <f>+'FY24'!F31*(1+MYP!$M$9)</f>
        <v>6338.8712927739598</v>
      </c>
      <c r="G31" s="39">
        <f>+'FY24'!G31*(1+MYP!$M$9)</f>
        <v>6338.8712927739598</v>
      </c>
      <c r="H31" s="39">
        <f>+'FY24'!H31*(1+MYP!$M$9)</f>
        <v>6338.8712927739598</v>
      </c>
      <c r="I31" s="39">
        <f>+'FY24'!I31*(1+MYP!$M$9)</f>
        <v>6338.8712927739598</v>
      </c>
      <c r="J31" s="39">
        <f>+'FY24'!J31*(1+MYP!$M$9)</f>
        <v>6338.8712927739598</v>
      </c>
      <c r="K31" s="39">
        <f>+'FY24'!K31*(1+MYP!$M$9)</f>
        <v>6338.8712927739598</v>
      </c>
      <c r="L31" s="39">
        <f>+'FY24'!L31*(1+MYP!$M$9)</f>
        <v>6338.8712927739598</v>
      </c>
      <c r="M31" s="39">
        <f>+'FY24'!M31*(1+MYP!$M$9)</f>
        <v>6338.8712927739598</v>
      </c>
      <c r="N31" s="39">
        <f>+'FY24'!N31*(1+MYP!$M$9)</f>
        <v>6338.8712927739598</v>
      </c>
      <c r="O31" s="39">
        <f>+'FY24'!O31*(1+MYP!$M$9)</f>
        <v>6338.8712927739598</v>
      </c>
      <c r="P31" s="39">
        <f>+'FY24'!P31*(1+MYP!$M$9)</f>
        <v>6338.8712927739598</v>
      </c>
      <c r="Q31" s="100"/>
      <c r="R31" s="41"/>
      <c r="S31" s="59">
        <f t="shared" ref="S31:S40" si="14">SUM(E31:Q31)</f>
        <v>76066.455513287525</v>
      </c>
      <c r="T31" s="41"/>
      <c r="U31" s="39">
        <f>'FY24'!S31</f>
        <v>74574.956385575992</v>
      </c>
      <c r="V31" s="39">
        <f>U31-S31</f>
        <v>-1491.4991277115332</v>
      </c>
      <c r="W31" s="39"/>
    </row>
    <row r="32" spans="1:23" s="37" customFormat="1" ht="12" x14ac:dyDescent="0.2">
      <c r="C32" s="199">
        <v>6114</v>
      </c>
      <c r="D32" s="37" t="s">
        <v>193</v>
      </c>
      <c r="E32" s="39">
        <f>+'FY24'!E32*(1+MYP!$M$9)</f>
        <v>1972.0560915000001</v>
      </c>
      <c r="F32" s="39">
        <f>+'FY24'!F32*(1+MYP!$M$9)</f>
        <v>1972.0560915000001</v>
      </c>
      <c r="G32" s="39">
        <f>+'FY24'!G32*(1+MYP!$M$9)</f>
        <v>1972.0560915000001</v>
      </c>
      <c r="H32" s="39">
        <f>+'FY24'!H32*(1+MYP!$M$9)</f>
        <v>1972.0560915000001</v>
      </c>
      <c r="I32" s="39">
        <f>+'FY24'!I32*(1+MYP!$M$9)</f>
        <v>1972.0560915000001</v>
      </c>
      <c r="J32" s="39">
        <f>+'FY24'!J32*(1+MYP!$M$9)</f>
        <v>1972.0560915000001</v>
      </c>
      <c r="K32" s="39">
        <f>+'FY24'!K32*(1+MYP!$M$9)</f>
        <v>1972.0560915000001</v>
      </c>
      <c r="L32" s="39">
        <f>+'FY24'!L32*(1+MYP!$M$9)</f>
        <v>1972.0560915000001</v>
      </c>
      <c r="M32" s="39">
        <f>+'FY24'!M32*(1+MYP!$M$9)</f>
        <v>1972.0560915000001</v>
      </c>
      <c r="N32" s="39">
        <f>+'FY24'!N32*(1+MYP!$M$9)</f>
        <v>1972.0560915000001</v>
      </c>
      <c r="O32" s="39">
        <f>+'FY24'!O32*(1+MYP!$M$9)</f>
        <v>1972.0560915000001</v>
      </c>
      <c r="P32" s="39">
        <f>+'FY24'!P32*(1+MYP!$M$9)</f>
        <v>1972.0560915000001</v>
      </c>
      <c r="Q32" s="100"/>
      <c r="R32" s="41"/>
      <c r="S32" s="59">
        <f t="shared" si="14"/>
        <v>23664.673097999999</v>
      </c>
      <c r="T32" s="41"/>
      <c r="U32" s="39">
        <f>'FY24'!S32</f>
        <v>23200.659900000002</v>
      </c>
      <c r="V32" s="39">
        <f t="shared" ref="V32:V40" si="15">U32-S32</f>
        <v>-464.01319799999692</v>
      </c>
      <c r="W32" s="39"/>
    </row>
    <row r="33" spans="3:23" s="37" customFormat="1" ht="12" x14ac:dyDescent="0.2">
      <c r="C33" s="199">
        <v>6117</v>
      </c>
      <c r="D33" s="37" t="s">
        <v>229</v>
      </c>
      <c r="E33" s="39">
        <f>+'FY24'!E33*(1+MYP!$M$9)</f>
        <v>3637.0572991326003</v>
      </c>
      <c r="F33" s="39">
        <f>+'FY24'!F33*(1+MYP!$M$9)</f>
        <v>3637.0572991326003</v>
      </c>
      <c r="G33" s="39">
        <f>+'FY24'!G33*(1+MYP!$M$9)</f>
        <v>3637.0572991326003</v>
      </c>
      <c r="H33" s="39">
        <f>+'FY24'!H33*(1+MYP!$M$9)</f>
        <v>3637.0572991326003</v>
      </c>
      <c r="I33" s="39">
        <f>+'FY24'!I33*(1+MYP!$M$9)</f>
        <v>3637.0572991326003</v>
      </c>
      <c r="J33" s="39">
        <f>+'FY24'!J33*(1+MYP!$M$9)</f>
        <v>3637.0572991326003</v>
      </c>
      <c r="K33" s="39">
        <f>+'FY24'!K33*(1+MYP!$M$9)</f>
        <v>3637.0572991326003</v>
      </c>
      <c r="L33" s="39">
        <f>+'FY24'!L33*(1+MYP!$M$9)</f>
        <v>3637.0572991326003</v>
      </c>
      <c r="M33" s="39">
        <f>+'FY24'!M33*(1+MYP!$M$9)</f>
        <v>3637.0572991326003</v>
      </c>
      <c r="N33" s="39">
        <f>+'FY24'!N33*(1+MYP!$M$9)</f>
        <v>3637.0572991326003</v>
      </c>
      <c r="O33" s="39">
        <f>+'FY24'!O33*(1+MYP!$M$9)</f>
        <v>3637.0572991326003</v>
      </c>
      <c r="P33" s="39">
        <f>+'FY24'!P33*(1+MYP!$M$9)</f>
        <v>3637.0572991326003</v>
      </c>
      <c r="Q33" s="100"/>
      <c r="R33" s="41"/>
      <c r="S33" s="59">
        <f t="shared" si="14"/>
        <v>43644.687589591194</v>
      </c>
      <c r="T33" s="41"/>
      <c r="U33" s="39">
        <f>'FY24'!S33</f>
        <v>42788.909401559999</v>
      </c>
      <c r="V33" s="39">
        <f t="shared" si="15"/>
        <v>-855.7781880311959</v>
      </c>
      <c r="W33" s="39"/>
    </row>
    <row r="34" spans="3:23" s="37" customFormat="1" ht="12" x14ac:dyDescent="0.2">
      <c r="C34" s="199">
        <v>6127</v>
      </c>
      <c r="D34" s="37" t="s">
        <v>230</v>
      </c>
      <c r="E34" s="39">
        <f>+'FY24'!E34*(1+MYP!$M$9)</f>
        <v>938.10787200000004</v>
      </c>
      <c r="F34" s="39">
        <f>+'FY24'!F34*(1+MYP!$M$9)</f>
        <v>938.10787200000004</v>
      </c>
      <c r="G34" s="39">
        <f>+'FY24'!G34*(1+MYP!$M$9)</f>
        <v>938.10787200000004</v>
      </c>
      <c r="H34" s="39">
        <f>+'FY24'!H34*(1+MYP!$M$9)</f>
        <v>938.10787200000004</v>
      </c>
      <c r="I34" s="39">
        <f>+'FY24'!I34*(1+MYP!$M$9)</f>
        <v>938.10787200000004</v>
      </c>
      <c r="J34" s="39">
        <f>+'FY24'!J34*(1+MYP!$M$9)</f>
        <v>938.10787200000004</v>
      </c>
      <c r="K34" s="39">
        <f>+'FY24'!K34*(1+MYP!$M$9)</f>
        <v>938.10787200000004</v>
      </c>
      <c r="L34" s="39">
        <f>+'FY24'!L34*(1+MYP!$M$9)</f>
        <v>938.10787200000004</v>
      </c>
      <c r="M34" s="39">
        <f>+'FY24'!M34*(1+MYP!$M$9)</f>
        <v>938.10787200000004</v>
      </c>
      <c r="N34" s="39">
        <f>+'FY24'!N34*(1+MYP!$M$9)</f>
        <v>938.10787200000004</v>
      </c>
      <c r="O34" s="39">
        <f>+'FY24'!O34*(1+MYP!$M$9)</f>
        <v>938.10787200000004</v>
      </c>
      <c r="P34" s="39">
        <f>+'FY24'!P34*(1+MYP!$M$9)</f>
        <v>938.10787200000004</v>
      </c>
      <c r="Q34" s="100"/>
      <c r="R34" s="41"/>
      <c r="S34" s="59">
        <f t="shared" si="14"/>
        <v>11257.294464000004</v>
      </c>
      <c r="T34" s="41"/>
      <c r="U34" s="39">
        <f>'FY24'!S34</f>
        <v>11036.563199999997</v>
      </c>
      <c r="V34" s="39">
        <f t="shared" si="15"/>
        <v>-220.73126400000729</v>
      </c>
      <c r="W34" s="39"/>
    </row>
    <row r="35" spans="3:23" s="37" customFormat="1" ht="12" x14ac:dyDescent="0.2">
      <c r="C35" s="199">
        <v>6151</v>
      </c>
      <c r="D35" s="37" t="s">
        <v>190</v>
      </c>
      <c r="E35" s="39">
        <f>+'FY24'!E35*(1+MYP!$M$9)</f>
        <v>0</v>
      </c>
      <c r="F35" s="39">
        <f>+'FY24'!F35*(1+MYP!$M$9)</f>
        <v>909.24301440000011</v>
      </c>
      <c r="G35" s="39">
        <f>+'FY24'!G35*(1+MYP!$M$9)</f>
        <v>909.24301440000011</v>
      </c>
      <c r="H35" s="39">
        <f>+'FY24'!H35*(1+MYP!$M$9)</f>
        <v>909.24301440000011</v>
      </c>
      <c r="I35" s="39">
        <f>+'FY24'!I35*(1+MYP!$M$9)</f>
        <v>0</v>
      </c>
      <c r="J35" s="39">
        <f>+'FY24'!J35*(1+MYP!$M$9)</f>
        <v>0</v>
      </c>
      <c r="K35" s="39">
        <f>+'FY24'!K35*(1+MYP!$M$9)</f>
        <v>0</v>
      </c>
      <c r="L35" s="39">
        <f>+'FY24'!L35*(1+MYP!$M$9)</f>
        <v>909.24301440000011</v>
      </c>
      <c r="M35" s="39">
        <f>+'FY24'!M35*(1+MYP!$M$9)</f>
        <v>909.24301440000011</v>
      </c>
      <c r="N35" s="39">
        <f>+'FY24'!N35*(1+MYP!$M$9)</f>
        <v>0</v>
      </c>
      <c r="O35" s="39">
        <f>+'FY24'!O35*(1+MYP!$M$9)</f>
        <v>0</v>
      </c>
      <c r="P35" s="39">
        <f>+'FY24'!P35*(1+MYP!$M$9)</f>
        <v>0</v>
      </c>
      <c r="Q35" s="100"/>
      <c r="R35" s="41"/>
      <c r="S35" s="59">
        <f t="shared" si="14"/>
        <v>4546.2150720000009</v>
      </c>
      <c r="T35" s="41"/>
      <c r="U35" s="39">
        <f>'FY24'!S35</f>
        <v>4457.0736000000006</v>
      </c>
      <c r="V35" s="39">
        <f t="shared" si="15"/>
        <v>-89.141472000000249</v>
      </c>
      <c r="W35" s="39"/>
    </row>
    <row r="36" spans="3:23" s="37" customFormat="1" ht="12" x14ac:dyDescent="0.2">
      <c r="C36" s="199">
        <v>6154</v>
      </c>
      <c r="D36" s="37" t="s">
        <v>191</v>
      </c>
      <c r="E36" s="39">
        <f>+'FY24'!E36*(1+MYP!$M$9)</f>
        <v>0</v>
      </c>
      <c r="F36" s="39">
        <f>+'FY24'!F36*(1+MYP!$M$9)</f>
        <v>0</v>
      </c>
      <c r="G36" s="39">
        <f>+'FY24'!G36*(1+MYP!$M$9)</f>
        <v>0</v>
      </c>
      <c r="H36" s="39">
        <f>+'FY24'!H36*(1+MYP!$M$9)</f>
        <v>0</v>
      </c>
      <c r="I36" s="39">
        <f>+'FY24'!I36*(1+MYP!$M$9)</f>
        <v>0</v>
      </c>
      <c r="J36" s="39">
        <f>+'FY24'!J36*(1+MYP!$M$9)</f>
        <v>0</v>
      </c>
      <c r="K36" s="39">
        <f>+'FY24'!K36*(1+MYP!$M$9)</f>
        <v>0</v>
      </c>
      <c r="L36" s="39">
        <f>+'FY24'!L36*(1+MYP!$M$9)</f>
        <v>0</v>
      </c>
      <c r="M36" s="39">
        <f>+'FY24'!M36*(1+MYP!$M$9)</f>
        <v>909.24301440000011</v>
      </c>
      <c r="N36" s="39">
        <f>+'FY24'!N36*(1+MYP!$M$9)</f>
        <v>0</v>
      </c>
      <c r="O36" s="39">
        <f>+'FY24'!O36*(1+MYP!$M$9)</f>
        <v>0</v>
      </c>
      <c r="P36" s="39">
        <f>+'FY24'!P36*(1+MYP!$M$9)</f>
        <v>811.82412000000011</v>
      </c>
      <c r="Q36" s="100"/>
      <c r="R36" s="41"/>
      <c r="S36" s="59">
        <f t="shared" si="14"/>
        <v>1721.0671344000002</v>
      </c>
      <c r="T36" s="41"/>
      <c r="U36" s="39">
        <f>'FY24'!S36</f>
        <v>1687.3207200000002</v>
      </c>
      <c r="V36" s="39">
        <f t="shared" si="15"/>
        <v>-33.746414400000049</v>
      </c>
      <c r="W36" s="39"/>
    </row>
    <row r="37" spans="3:23" s="37" customFormat="1" ht="12" x14ac:dyDescent="0.2">
      <c r="C37" s="199">
        <v>6157</v>
      </c>
      <c r="D37" s="37" t="s">
        <v>231</v>
      </c>
      <c r="E37" s="39">
        <f>+'FY24'!E37*(1+MYP!$M$9)</f>
        <v>0</v>
      </c>
      <c r="F37" s="39">
        <f>+'FY24'!F37*(1+MYP!$M$9)</f>
        <v>811.82412000000011</v>
      </c>
      <c r="G37" s="39">
        <f>+'FY24'!G37*(1+MYP!$M$9)</f>
        <v>811.82412000000011</v>
      </c>
      <c r="H37" s="39">
        <f>+'FY24'!H37*(1+MYP!$M$9)</f>
        <v>0</v>
      </c>
      <c r="I37" s="39">
        <f>+'FY24'!I37*(1+MYP!$M$9)</f>
        <v>0</v>
      </c>
      <c r="J37" s="39">
        <f>+'FY24'!J37*(1+MYP!$M$9)</f>
        <v>0</v>
      </c>
      <c r="K37" s="39">
        <f>+'FY24'!K37*(1+MYP!$M$9)</f>
        <v>811.82412000000011</v>
      </c>
      <c r="L37" s="39">
        <f>+'FY24'!L37*(1+MYP!$M$9)</f>
        <v>811.82412000000011</v>
      </c>
      <c r="M37" s="39">
        <f>+'FY24'!M37*(1+MYP!$M$9)</f>
        <v>0</v>
      </c>
      <c r="N37" s="39">
        <f>+'FY24'!N37*(1+MYP!$M$9)</f>
        <v>0</v>
      </c>
      <c r="O37" s="39">
        <f>+'FY24'!O37*(1+MYP!$M$9)</f>
        <v>0</v>
      </c>
      <c r="P37" s="39">
        <f>+'FY24'!P37*(1+MYP!$M$9)</f>
        <v>0</v>
      </c>
      <c r="Q37" s="100"/>
      <c r="R37" s="41"/>
      <c r="S37" s="59">
        <f t="shared" si="14"/>
        <v>3247.2964800000004</v>
      </c>
      <c r="T37" s="41"/>
      <c r="U37" s="39">
        <f>'FY24'!S37</f>
        <v>3183.6240000000003</v>
      </c>
      <c r="V37" s="39">
        <f t="shared" si="15"/>
        <v>-63.672480000000178</v>
      </c>
      <c r="W37" s="39"/>
    </row>
    <row r="38" spans="3:23" s="37" customFormat="1" ht="12" x14ac:dyDescent="0.2">
      <c r="C38" s="199">
        <v>6161</v>
      </c>
      <c r="D38" s="37" t="s">
        <v>97</v>
      </c>
      <c r="E38" s="39">
        <f>+'FY24'!E38*(1+MYP!$M$9)</f>
        <v>0</v>
      </c>
      <c r="F38" s="39">
        <f>+'FY24'!F38*(1+MYP!$M$9)</f>
        <v>0</v>
      </c>
      <c r="G38" s="39">
        <f>+'FY24'!G38*(1+MYP!$M$9)</f>
        <v>0</v>
      </c>
      <c r="H38" s="39">
        <f>+'FY24'!H38*(1+MYP!$M$9)</f>
        <v>0</v>
      </c>
      <c r="I38" s="39">
        <f>+'FY24'!I38*(1+MYP!$M$9)</f>
        <v>0</v>
      </c>
      <c r="J38" s="39">
        <f>+'FY24'!J38*(1+MYP!$M$9)</f>
        <v>0</v>
      </c>
      <c r="K38" s="39">
        <f>+'FY24'!K38*(1+MYP!$M$9)</f>
        <v>0</v>
      </c>
      <c r="L38" s="39">
        <f>+'FY24'!L38*(1+MYP!$M$9)</f>
        <v>0</v>
      </c>
      <c r="M38" s="39">
        <f>+'FY24'!M38*(1+MYP!$M$9)</f>
        <v>0</v>
      </c>
      <c r="N38" s="39">
        <f>+'FY24'!N38*(1+MYP!$M$9)</f>
        <v>0</v>
      </c>
      <c r="O38" s="39">
        <f>+'FY24'!O38*(1+MYP!$M$9)</f>
        <v>0</v>
      </c>
      <c r="P38" s="39">
        <f>+'FY24'!P38*(1+MYP!$M$9)</f>
        <v>0</v>
      </c>
      <c r="Q38" s="100"/>
      <c r="R38" s="41"/>
      <c r="S38" s="59">
        <f t="shared" si="14"/>
        <v>0</v>
      </c>
      <c r="T38" s="41"/>
      <c r="U38" s="39">
        <f>'FY24'!S38</f>
        <v>0</v>
      </c>
      <c r="V38" s="39">
        <f t="shared" si="15"/>
        <v>0</v>
      </c>
      <c r="W38" s="39"/>
    </row>
    <row r="39" spans="3:23" s="37" customFormat="1" ht="12" x14ac:dyDescent="0.2">
      <c r="C39" s="199">
        <v>6164</v>
      </c>
      <c r="D39" s="37" t="s">
        <v>98</v>
      </c>
      <c r="E39" s="39">
        <f>+'FY24'!E39*(1+MYP!$M$9)</f>
        <v>0</v>
      </c>
      <c r="F39" s="39">
        <f>+'FY24'!F39*(1+MYP!$M$9)</f>
        <v>0</v>
      </c>
      <c r="G39" s="39">
        <f>+'FY24'!G39*(1+MYP!$M$9)</f>
        <v>0</v>
      </c>
      <c r="H39" s="39">
        <f>+'FY24'!H39*(1+MYP!$M$9)</f>
        <v>0</v>
      </c>
      <c r="I39" s="39">
        <f>+'FY24'!I39*(1+MYP!$M$9)</f>
        <v>0</v>
      </c>
      <c r="J39" s="39">
        <f>+'FY24'!J39*(1+MYP!$M$9)</f>
        <v>0</v>
      </c>
      <c r="K39" s="39">
        <f>+'FY24'!K39*(1+MYP!$M$9)</f>
        <v>0</v>
      </c>
      <c r="L39" s="39">
        <f>+'FY24'!L39*(1+MYP!$M$9)</f>
        <v>0</v>
      </c>
      <c r="M39" s="39">
        <f>+'FY24'!M39*(1+MYP!$M$9)</f>
        <v>0</v>
      </c>
      <c r="N39" s="39">
        <f>+'FY24'!N39*(1+MYP!$M$9)</f>
        <v>0</v>
      </c>
      <c r="O39" s="39">
        <f>+'FY24'!O39*(1+MYP!$M$9)</f>
        <v>0</v>
      </c>
      <c r="P39" s="39">
        <f>+'FY24'!P39*(1+MYP!$M$9)</f>
        <v>0</v>
      </c>
      <c r="Q39" s="100"/>
      <c r="R39" s="41"/>
      <c r="S39" s="59">
        <f t="shared" si="14"/>
        <v>0</v>
      </c>
      <c r="T39" s="41"/>
      <c r="U39" s="39">
        <f>'FY24'!S39</f>
        <v>0</v>
      </c>
      <c r="V39" s="39">
        <f t="shared" si="15"/>
        <v>0</v>
      </c>
      <c r="W39" s="39"/>
    </row>
    <row r="40" spans="3:23" s="37" customFormat="1" ht="12" x14ac:dyDescent="0.2">
      <c r="C40" s="199">
        <v>6167</v>
      </c>
      <c r="D40" s="37" t="s">
        <v>232</v>
      </c>
      <c r="E40" s="39">
        <f>+'FY24'!E40*(1+MYP!$M$9)</f>
        <v>0</v>
      </c>
      <c r="F40" s="39">
        <f>+'FY24'!F40*(1+MYP!$M$9)</f>
        <v>0</v>
      </c>
      <c r="G40" s="39">
        <f>+'FY24'!G40*(1+MYP!$M$9)</f>
        <v>0</v>
      </c>
      <c r="H40" s="39">
        <f>+'FY24'!H40*(1+MYP!$M$9)</f>
        <v>0</v>
      </c>
      <c r="I40" s="39">
        <f>+'FY24'!I40*(1+MYP!$M$9)</f>
        <v>0</v>
      </c>
      <c r="J40" s="39">
        <f>+'FY24'!J40*(1+MYP!$M$9)</f>
        <v>0</v>
      </c>
      <c r="K40" s="39">
        <f>+'FY24'!K40*(1+MYP!$M$9)</f>
        <v>0</v>
      </c>
      <c r="L40" s="39">
        <f>+'FY24'!L40*(1+MYP!$M$9)</f>
        <v>0</v>
      </c>
      <c r="M40" s="39">
        <f>+'FY24'!M40*(1+MYP!$M$9)</f>
        <v>0</v>
      </c>
      <c r="N40" s="39">
        <f>+'FY24'!N40*(1+MYP!$M$9)</f>
        <v>0</v>
      </c>
      <c r="O40" s="39">
        <f>+'FY24'!O40*(1+MYP!$M$9)</f>
        <v>0</v>
      </c>
      <c r="P40" s="39">
        <f>+'FY24'!P40*(1+MYP!$M$9)</f>
        <v>0</v>
      </c>
      <c r="Q40" s="100"/>
      <c r="R40" s="41"/>
      <c r="S40" s="59">
        <f t="shared" si="14"/>
        <v>0</v>
      </c>
      <c r="T40" s="41"/>
      <c r="U40" s="39">
        <f>'FY24'!S40</f>
        <v>0</v>
      </c>
      <c r="V40" s="39">
        <f t="shared" si="15"/>
        <v>0</v>
      </c>
      <c r="W40" s="39"/>
    </row>
    <row r="41" spans="3:23" s="37" customFormat="1" ht="12" x14ac:dyDescent="0.2">
      <c r="C41" s="38"/>
      <c r="E41" s="50">
        <f t="shared" ref="E41:P41" si="16">SUBTOTAL(9,E31:E40)</f>
        <v>12886.092555406562</v>
      </c>
      <c r="F41" s="50">
        <f t="shared" si="16"/>
        <v>14607.159689806562</v>
      </c>
      <c r="G41" s="50">
        <f t="shared" si="16"/>
        <v>14607.159689806562</v>
      </c>
      <c r="H41" s="50">
        <f t="shared" si="16"/>
        <v>13795.335569806562</v>
      </c>
      <c r="I41" s="50">
        <f t="shared" si="16"/>
        <v>12886.092555406562</v>
      </c>
      <c r="J41" s="50">
        <f t="shared" si="16"/>
        <v>12886.092555406562</v>
      </c>
      <c r="K41" s="50">
        <f t="shared" si="16"/>
        <v>13697.916675406561</v>
      </c>
      <c r="L41" s="50">
        <f t="shared" si="16"/>
        <v>14607.159689806562</v>
      </c>
      <c r="M41" s="50">
        <f t="shared" si="16"/>
        <v>14704.578584206563</v>
      </c>
      <c r="N41" s="50">
        <f t="shared" si="16"/>
        <v>12886.092555406562</v>
      </c>
      <c r="O41" s="50">
        <f t="shared" si="16"/>
        <v>12886.092555406562</v>
      </c>
      <c r="P41" s="50">
        <f t="shared" si="16"/>
        <v>13697.916675406561</v>
      </c>
      <c r="Q41" s="51"/>
      <c r="R41" s="41"/>
      <c r="S41" s="61">
        <f>SUBTOTAL(9,S31:S40)</f>
        <v>164147.68935127868</v>
      </c>
      <c r="T41" s="41"/>
      <c r="U41" s="50">
        <f>SUBTOTAL(9,U31:U40)</f>
        <v>160929.107207136</v>
      </c>
      <c r="V41" s="50">
        <f>SUBTOTAL(9,V31:V40)</f>
        <v>-3218.5821441427338</v>
      </c>
      <c r="W41" s="39"/>
    </row>
    <row r="42" spans="3:23" s="37" customFormat="1" ht="12" x14ac:dyDescent="0.2">
      <c r="C42" s="49" t="s">
        <v>99</v>
      </c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44"/>
      <c r="R42" s="41"/>
      <c r="S42" s="59"/>
      <c r="T42" s="41"/>
      <c r="U42" s="39"/>
      <c r="V42" s="39"/>
      <c r="W42" s="39"/>
    </row>
    <row r="43" spans="3:23" s="37" customFormat="1" ht="12" x14ac:dyDescent="0.2">
      <c r="C43" s="199">
        <v>6211</v>
      </c>
      <c r="D43" s="37" t="s">
        <v>199</v>
      </c>
      <c r="E43" s="39">
        <f>+'FY24'!E43*(1+MYP!$M$9)</f>
        <v>40.049989920000009</v>
      </c>
      <c r="F43" s="39">
        <f>+'FY24'!F43*(1+MYP!$M$9)</f>
        <v>40.049989920000009</v>
      </c>
      <c r="G43" s="39">
        <f>+'FY24'!G43*(1+MYP!$M$9)</f>
        <v>40.049989920000009</v>
      </c>
      <c r="H43" s="39">
        <f>+'FY24'!H43*(1+MYP!$M$9)</f>
        <v>40.049989920000009</v>
      </c>
      <c r="I43" s="39">
        <f>+'FY24'!I43*(1+MYP!$M$9)</f>
        <v>40.049989920000009</v>
      </c>
      <c r="J43" s="39">
        <f>+'FY24'!J43*(1+MYP!$M$9)</f>
        <v>40.049989920000009</v>
      </c>
      <c r="K43" s="39">
        <f>+'FY24'!K43*(1+MYP!$M$9)</f>
        <v>40.049989920000009</v>
      </c>
      <c r="L43" s="39">
        <f>+'FY24'!L43*(1+MYP!$M$9)</f>
        <v>40.049989920000009</v>
      </c>
      <c r="M43" s="39">
        <f>+'FY24'!M43*(1+MYP!$M$9)</f>
        <v>40.049989920000009</v>
      </c>
      <c r="N43" s="39">
        <f>+'FY24'!N43*(1+MYP!$M$9)</f>
        <v>40.049989920000009</v>
      </c>
      <c r="O43" s="39">
        <f>+'FY24'!O43*(1+MYP!$M$9)</f>
        <v>40.049989920000009</v>
      </c>
      <c r="P43" s="39">
        <f>+'FY24'!P43*(1+MYP!$M$9)</f>
        <v>40.049989920000009</v>
      </c>
      <c r="Q43" s="36"/>
      <c r="R43" s="41"/>
      <c r="S43" s="59">
        <f t="shared" ref="S43:S61" si="17">SUM(E43:Q43)</f>
        <v>480.59987904000019</v>
      </c>
      <c r="T43" s="41"/>
      <c r="U43" s="39">
        <f>'FY24'!S43</f>
        <v>471.17635200000012</v>
      </c>
      <c r="V43" s="39">
        <f t="shared" ref="V43:V61" si="18">U43-S43</f>
        <v>-9.4235270400000672</v>
      </c>
      <c r="W43" s="39"/>
    </row>
    <row r="44" spans="3:23" s="37" customFormat="1" ht="12" x14ac:dyDescent="0.2">
      <c r="C44" s="199">
        <v>6214</v>
      </c>
      <c r="D44" s="37" t="s">
        <v>200</v>
      </c>
      <c r="E44" s="39">
        <f>+'FY24'!E44*(1+MYP!$M$9)</f>
        <v>10.012497480000002</v>
      </c>
      <c r="F44" s="39">
        <f>+'FY24'!F44*(1+MYP!$M$9)</f>
        <v>10.012497480000002</v>
      </c>
      <c r="G44" s="39">
        <f>+'FY24'!G44*(1+MYP!$M$9)</f>
        <v>10.012497480000002</v>
      </c>
      <c r="H44" s="39">
        <f>+'FY24'!H44*(1+MYP!$M$9)</f>
        <v>10.012497480000002</v>
      </c>
      <c r="I44" s="39">
        <f>+'FY24'!I44*(1+MYP!$M$9)</f>
        <v>10.012497480000002</v>
      </c>
      <c r="J44" s="39">
        <f>+'FY24'!J44*(1+MYP!$M$9)</f>
        <v>10.012497480000002</v>
      </c>
      <c r="K44" s="39">
        <f>+'FY24'!K44*(1+MYP!$M$9)</f>
        <v>10.012497480000002</v>
      </c>
      <c r="L44" s="39">
        <f>+'FY24'!L44*(1+MYP!$M$9)</f>
        <v>10.012497480000002</v>
      </c>
      <c r="M44" s="39">
        <f>+'FY24'!M44*(1+MYP!$M$9)</f>
        <v>10.012497480000002</v>
      </c>
      <c r="N44" s="39">
        <f>+'FY24'!N44*(1+MYP!$M$9)</f>
        <v>10.012497480000002</v>
      </c>
      <c r="O44" s="39">
        <f>+'FY24'!O44*(1+MYP!$M$9)</f>
        <v>10.012497480000002</v>
      </c>
      <c r="P44" s="39">
        <f>+'FY24'!P44*(1+MYP!$M$9)</f>
        <v>10.012497480000002</v>
      </c>
      <c r="Q44" s="36"/>
      <c r="R44" s="41"/>
      <c r="S44" s="59">
        <f t="shared" si="17"/>
        <v>120.14996976000005</v>
      </c>
      <c r="T44" s="41"/>
      <c r="U44" s="39">
        <f>'FY24'!S44</f>
        <v>117.79408800000003</v>
      </c>
      <c r="V44" s="39">
        <f t="shared" si="18"/>
        <v>-2.3558817600000168</v>
      </c>
      <c r="W44" s="39"/>
    </row>
    <row r="45" spans="3:23" s="37" customFormat="1" ht="12" x14ac:dyDescent="0.2">
      <c r="C45" s="199">
        <v>6217</v>
      </c>
      <c r="D45" s="37" t="s">
        <v>223</v>
      </c>
      <c r="E45" s="39">
        <f>+'FY24'!E45*(1+MYP!$M$9)</f>
        <v>40.049989920000009</v>
      </c>
      <c r="F45" s="39">
        <f>+'FY24'!F45*(1+MYP!$M$9)</f>
        <v>40.049989920000009</v>
      </c>
      <c r="G45" s="39">
        <f>+'FY24'!G45*(1+MYP!$M$9)</f>
        <v>40.049989920000009</v>
      </c>
      <c r="H45" s="39">
        <f>+'FY24'!H45*(1+MYP!$M$9)</f>
        <v>40.049989920000009</v>
      </c>
      <c r="I45" s="39">
        <f>+'FY24'!I45*(1+MYP!$M$9)</f>
        <v>40.049989920000009</v>
      </c>
      <c r="J45" s="39">
        <f>+'FY24'!J45*(1+MYP!$M$9)</f>
        <v>40.049989920000009</v>
      </c>
      <c r="K45" s="39">
        <f>+'FY24'!K45*(1+MYP!$M$9)</f>
        <v>40.049989920000009</v>
      </c>
      <c r="L45" s="39">
        <f>+'FY24'!L45*(1+MYP!$M$9)</f>
        <v>40.049989920000009</v>
      </c>
      <c r="M45" s="39">
        <f>+'FY24'!M45*(1+MYP!$M$9)</f>
        <v>40.049989920000009</v>
      </c>
      <c r="N45" s="39">
        <f>+'FY24'!N45*(1+MYP!$M$9)</f>
        <v>40.049989920000009</v>
      </c>
      <c r="O45" s="39">
        <f>+'FY24'!O45*(1+MYP!$M$9)</f>
        <v>40.049989920000009</v>
      </c>
      <c r="P45" s="39">
        <f>+'FY24'!P45*(1+MYP!$M$9)</f>
        <v>40.049989920000009</v>
      </c>
      <c r="Q45" s="36"/>
      <c r="R45" s="41"/>
      <c r="S45" s="59">
        <f t="shared" si="17"/>
        <v>480.59987904000019</v>
      </c>
      <c r="T45" s="41"/>
      <c r="U45" s="39">
        <f>'FY24'!S45</f>
        <v>471.17635200000012</v>
      </c>
      <c r="V45" s="39">
        <f t="shared" si="18"/>
        <v>-9.4235270400000672</v>
      </c>
      <c r="W45" s="39"/>
    </row>
    <row r="46" spans="3:23" s="37" customFormat="1" ht="12" x14ac:dyDescent="0.2">
      <c r="C46" s="199">
        <v>6227</v>
      </c>
      <c r="D46" s="37" t="s">
        <v>222</v>
      </c>
      <c r="E46" s="39">
        <f>+'FY24'!E46*(1+MYP!$M$9)</f>
        <v>58.162688063999994</v>
      </c>
      <c r="F46" s="39">
        <f>+'FY24'!F46*(1+MYP!$M$9)</f>
        <v>58.162688063999994</v>
      </c>
      <c r="G46" s="39">
        <f>+'FY24'!G46*(1+MYP!$M$9)</f>
        <v>58.162688063999994</v>
      </c>
      <c r="H46" s="39">
        <f>+'FY24'!H46*(1+MYP!$M$9)</f>
        <v>58.162688063999994</v>
      </c>
      <c r="I46" s="39">
        <f>+'FY24'!I46*(1+MYP!$M$9)</f>
        <v>58.162688063999994</v>
      </c>
      <c r="J46" s="39">
        <f>+'FY24'!J46*(1+MYP!$M$9)</f>
        <v>58.162688063999994</v>
      </c>
      <c r="K46" s="39">
        <f>+'FY24'!K46*(1+MYP!$M$9)</f>
        <v>58.162688063999994</v>
      </c>
      <c r="L46" s="39">
        <f>+'FY24'!L46*(1+MYP!$M$9)</f>
        <v>58.162688063999994</v>
      </c>
      <c r="M46" s="39">
        <f>+'FY24'!M46*(1+MYP!$M$9)</f>
        <v>58.162688063999994</v>
      </c>
      <c r="N46" s="39">
        <f>+'FY24'!N46*(1+MYP!$M$9)</f>
        <v>58.162688063999994</v>
      </c>
      <c r="O46" s="39">
        <f>+'FY24'!O46*(1+MYP!$M$9)</f>
        <v>58.162688063999994</v>
      </c>
      <c r="P46" s="39">
        <f>+'FY24'!P46*(1+MYP!$M$9)</f>
        <v>58.162688063999994</v>
      </c>
      <c r="Q46" s="36"/>
      <c r="R46" s="41"/>
      <c r="S46" s="59">
        <f t="shared" si="17"/>
        <v>697.95225676799998</v>
      </c>
      <c r="T46" s="41"/>
      <c r="U46" s="39">
        <f>'FY24'!S46</f>
        <v>684.26691840000012</v>
      </c>
      <c r="V46" s="39">
        <f t="shared" si="18"/>
        <v>-13.685338367999861</v>
      </c>
      <c r="W46" s="39"/>
    </row>
    <row r="47" spans="3:23" s="37" customFormat="1" ht="12" x14ac:dyDescent="0.2">
      <c r="C47" s="199">
        <v>6231</v>
      </c>
      <c r="D47" s="37" t="s">
        <v>206</v>
      </c>
      <c r="E47" s="39">
        <f>+'FY24'!E47*(1+MYP!$M$9)</f>
        <v>966.677872148029</v>
      </c>
      <c r="F47" s="39">
        <f>+'FY24'!F47*(1+MYP!$M$9)</f>
        <v>966.677872148029</v>
      </c>
      <c r="G47" s="39">
        <f>+'FY24'!G47*(1+MYP!$M$9)</f>
        <v>966.677872148029</v>
      </c>
      <c r="H47" s="39">
        <f>+'FY24'!H47*(1+MYP!$M$9)</f>
        <v>966.677872148029</v>
      </c>
      <c r="I47" s="39">
        <f>+'FY24'!I47*(1+MYP!$M$9)</f>
        <v>966.677872148029</v>
      </c>
      <c r="J47" s="39">
        <f>+'FY24'!J47*(1+MYP!$M$9)</f>
        <v>966.677872148029</v>
      </c>
      <c r="K47" s="39">
        <f>+'FY24'!K47*(1+MYP!$M$9)</f>
        <v>966.677872148029</v>
      </c>
      <c r="L47" s="39">
        <f>+'FY24'!L47*(1+MYP!$M$9)</f>
        <v>966.677872148029</v>
      </c>
      <c r="M47" s="39">
        <f>+'FY24'!M47*(1+MYP!$M$9)</f>
        <v>966.677872148029</v>
      </c>
      <c r="N47" s="39">
        <f>+'FY24'!N47*(1+MYP!$M$9)</f>
        <v>966.677872148029</v>
      </c>
      <c r="O47" s="39">
        <f>+'FY24'!O47*(1+MYP!$M$9)</f>
        <v>966.677872148029</v>
      </c>
      <c r="P47" s="39">
        <f>+'FY24'!P47*(1+MYP!$M$9)</f>
        <v>966.677872148029</v>
      </c>
      <c r="Q47" s="36"/>
      <c r="R47" s="41"/>
      <c r="S47" s="59">
        <f>SUM(E47:Q47)</f>
        <v>11600.134465776349</v>
      </c>
      <c r="T47" s="41"/>
      <c r="U47" s="39">
        <f>'FY24'!S47</f>
        <v>11372.680848800343</v>
      </c>
      <c r="V47" s="39">
        <f t="shared" si="18"/>
        <v>-227.45361697600674</v>
      </c>
      <c r="W47" s="39"/>
    </row>
    <row r="48" spans="3:23" s="37" customFormat="1" ht="12" x14ac:dyDescent="0.2">
      <c r="C48" s="199">
        <v>6234</v>
      </c>
      <c r="D48" s="37" t="s">
        <v>207</v>
      </c>
      <c r="E48" s="39">
        <f>+'FY24'!E48*(1+MYP!$M$9)</f>
        <v>576.82640676375013</v>
      </c>
      <c r="F48" s="39">
        <f>+'FY24'!F48*(1+MYP!$M$9)</f>
        <v>576.82640676375013</v>
      </c>
      <c r="G48" s="39">
        <f>+'FY24'!G48*(1+MYP!$M$9)</f>
        <v>576.82640676375013</v>
      </c>
      <c r="H48" s="39">
        <f>+'FY24'!H48*(1+MYP!$M$9)</f>
        <v>576.82640676375013</v>
      </c>
      <c r="I48" s="39">
        <f>+'FY24'!I48*(1+MYP!$M$9)</f>
        <v>576.82640676375013</v>
      </c>
      <c r="J48" s="39">
        <f>+'FY24'!J48*(1+MYP!$M$9)</f>
        <v>576.82640676375013</v>
      </c>
      <c r="K48" s="39">
        <f>+'FY24'!K48*(1+MYP!$M$9)</f>
        <v>576.82640676375013</v>
      </c>
      <c r="L48" s="39">
        <f>+'FY24'!L48*(1+MYP!$M$9)</f>
        <v>576.82640676375013</v>
      </c>
      <c r="M48" s="39">
        <f>+'FY24'!M48*(1+MYP!$M$9)</f>
        <v>576.82640676375013</v>
      </c>
      <c r="N48" s="39">
        <f>+'FY24'!N48*(1+MYP!$M$9)</f>
        <v>576.82640676375013</v>
      </c>
      <c r="O48" s="39">
        <f>+'FY24'!O48*(1+MYP!$M$9)</f>
        <v>576.82640676375013</v>
      </c>
      <c r="P48" s="39">
        <f>+'FY24'!P48*(1+MYP!$M$9)</f>
        <v>576.82640676375013</v>
      </c>
      <c r="Q48" s="36"/>
      <c r="R48" s="41"/>
      <c r="S48" s="59">
        <f t="shared" si="17"/>
        <v>6921.9168811650015</v>
      </c>
      <c r="T48" s="41"/>
      <c r="U48" s="39">
        <f>'FY24'!S48</f>
        <v>6786.19302075</v>
      </c>
      <c r="V48" s="39">
        <f t="shared" si="18"/>
        <v>-135.72386041500158</v>
      </c>
      <c r="W48" s="39"/>
    </row>
    <row r="49" spans="3:23" s="37" customFormat="1" ht="12" x14ac:dyDescent="0.2">
      <c r="C49" s="199">
        <v>6237</v>
      </c>
      <c r="D49" s="37" t="s">
        <v>224</v>
      </c>
      <c r="E49" s="39">
        <f>+'FY24'!E49*(1+MYP!$M$9)</f>
        <v>554.6512381177215</v>
      </c>
      <c r="F49" s="39">
        <f>+'FY24'!F49*(1+MYP!$M$9)</f>
        <v>554.6512381177215</v>
      </c>
      <c r="G49" s="39">
        <f>+'FY24'!G49*(1+MYP!$M$9)</f>
        <v>554.6512381177215</v>
      </c>
      <c r="H49" s="39">
        <f>+'FY24'!H49*(1+MYP!$M$9)</f>
        <v>554.6512381177215</v>
      </c>
      <c r="I49" s="39">
        <f>+'FY24'!I49*(1+MYP!$M$9)</f>
        <v>554.6512381177215</v>
      </c>
      <c r="J49" s="39">
        <f>+'FY24'!J49*(1+MYP!$M$9)</f>
        <v>554.6512381177215</v>
      </c>
      <c r="K49" s="39">
        <f>+'FY24'!K49*(1+MYP!$M$9)</f>
        <v>554.6512381177215</v>
      </c>
      <c r="L49" s="39">
        <f>+'FY24'!L49*(1+MYP!$M$9)</f>
        <v>554.6512381177215</v>
      </c>
      <c r="M49" s="39">
        <f>+'FY24'!M49*(1+MYP!$M$9)</f>
        <v>554.6512381177215</v>
      </c>
      <c r="N49" s="39">
        <f>+'FY24'!N49*(1+MYP!$M$9)</f>
        <v>554.6512381177215</v>
      </c>
      <c r="O49" s="39">
        <f>+'FY24'!O49*(1+MYP!$M$9)</f>
        <v>554.6512381177215</v>
      </c>
      <c r="P49" s="39">
        <f>+'FY24'!P49*(1+MYP!$M$9)</f>
        <v>554.6512381177215</v>
      </c>
      <c r="Q49" s="36"/>
      <c r="R49" s="41"/>
      <c r="S49" s="59">
        <f t="shared" si="17"/>
        <v>6655.8148574126599</v>
      </c>
      <c r="T49" s="41"/>
      <c r="U49" s="39">
        <f>'FY24'!S49</f>
        <v>6525.3086837379005</v>
      </c>
      <c r="V49" s="39">
        <f t="shared" si="18"/>
        <v>-130.50617367475934</v>
      </c>
      <c r="W49" s="39"/>
    </row>
    <row r="50" spans="3:23" s="37" customFormat="1" ht="12" x14ac:dyDescent="0.2">
      <c r="C50" s="199">
        <v>6241</v>
      </c>
      <c r="D50" s="37" t="s">
        <v>197</v>
      </c>
      <c r="E50" s="39">
        <f>+'FY24'!E50*(1+MYP!$M$9)</f>
        <v>91.913633745222427</v>
      </c>
      <c r="F50" s="39">
        <f>+'FY24'!F50*(1+MYP!$M$9)</f>
        <v>105.09765745402241</v>
      </c>
      <c r="G50" s="39">
        <f>+'FY24'!G50*(1+MYP!$M$9)</f>
        <v>105.09765745402241</v>
      </c>
      <c r="H50" s="39">
        <f>+'FY24'!H50*(1+MYP!$M$9)</f>
        <v>105.09765745402241</v>
      </c>
      <c r="I50" s="39">
        <f>+'FY24'!I50*(1+MYP!$M$9)</f>
        <v>91.913633745222427</v>
      </c>
      <c r="J50" s="39">
        <f>+'FY24'!J50*(1+MYP!$M$9)</f>
        <v>91.913633745222427</v>
      </c>
      <c r="K50" s="39">
        <f>+'FY24'!K50*(1+MYP!$M$9)</f>
        <v>91.913633745222427</v>
      </c>
      <c r="L50" s="39">
        <f>+'FY24'!L50*(1+MYP!$M$9)</f>
        <v>105.09765745402241</v>
      </c>
      <c r="M50" s="39">
        <f>+'FY24'!M50*(1+MYP!$M$9)</f>
        <v>105.09765745402241</v>
      </c>
      <c r="N50" s="39">
        <f>+'FY24'!N50*(1+MYP!$M$9)</f>
        <v>91.913633745222427</v>
      </c>
      <c r="O50" s="39">
        <f>+'FY24'!O50*(1+MYP!$M$9)</f>
        <v>91.913633745222427</v>
      </c>
      <c r="P50" s="39">
        <f>+'FY24'!P50*(1+MYP!$M$9)</f>
        <v>91.913633745222427</v>
      </c>
      <c r="Q50" s="36"/>
      <c r="R50" s="41"/>
      <c r="S50" s="59">
        <f t="shared" si="17"/>
        <v>1168.8837234866689</v>
      </c>
      <c r="T50" s="41"/>
      <c r="U50" s="39">
        <f>'FY24'!S50</f>
        <v>1145.9644347908518</v>
      </c>
      <c r="V50" s="39">
        <f t="shared" si="18"/>
        <v>-22.919288695817158</v>
      </c>
      <c r="W50" s="39"/>
    </row>
    <row r="51" spans="3:23" s="37" customFormat="1" ht="12" x14ac:dyDescent="0.2">
      <c r="C51" s="199">
        <v>6244</v>
      </c>
      <c r="D51" s="37" t="s">
        <v>198</v>
      </c>
      <c r="E51" s="39">
        <f>+'FY24'!E51*(1+MYP!$M$9)</f>
        <v>28.594813326750003</v>
      </c>
      <c r="F51" s="39">
        <f>+'FY24'!F51*(1+MYP!$M$9)</f>
        <v>28.594813326750003</v>
      </c>
      <c r="G51" s="39">
        <f>+'FY24'!G51*(1+MYP!$M$9)</f>
        <v>28.594813326750003</v>
      </c>
      <c r="H51" s="39">
        <f>+'FY24'!H51*(1+MYP!$M$9)</f>
        <v>28.594813326750003</v>
      </c>
      <c r="I51" s="39">
        <f>+'FY24'!I51*(1+MYP!$M$9)</f>
        <v>28.594813326750003</v>
      </c>
      <c r="J51" s="39">
        <f>+'FY24'!J51*(1+MYP!$M$9)</f>
        <v>28.594813326750003</v>
      </c>
      <c r="K51" s="39">
        <f>+'FY24'!K51*(1+MYP!$M$9)</f>
        <v>28.594813326750003</v>
      </c>
      <c r="L51" s="39">
        <f>+'FY24'!L51*(1+MYP!$M$9)</f>
        <v>28.594813326750003</v>
      </c>
      <c r="M51" s="39">
        <f>+'FY24'!M51*(1+MYP!$M$9)</f>
        <v>41.778837035550005</v>
      </c>
      <c r="N51" s="39">
        <f>+'FY24'!N51*(1+MYP!$M$9)</f>
        <v>28.594813326750003</v>
      </c>
      <c r="O51" s="39">
        <f>+'FY24'!O51*(1+MYP!$M$9)</f>
        <v>28.594813326750003</v>
      </c>
      <c r="P51" s="39">
        <f>+'FY24'!P51*(1+MYP!$M$9)</f>
        <v>40.366263066750008</v>
      </c>
      <c r="Q51" s="36"/>
      <c r="R51" s="41"/>
      <c r="S51" s="59">
        <f t="shared" si="17"/>
        <v>368.09323336980003</v>
      </c>
      <c r="T51" s="41"/>
      <c r="U51" s="39">
        <f>'FY24'!S51</f>
        <v>360.87571899</v>
      </c>
      <c r="V51" s="39">
        <f t="shared" si="18"/>
        <v>-7.2175143798000363</v>
      </c>
      <c r="W51" s="39"/>
    </row>
    <row r="52" spans="3:23" s="37" customFormat="1" ht="12" x14ac:dyDescent="0.2">
      <c r="C52" s="199">
        <v>6247</v>
      </c>
      <c r="D52" s="37" t="s">
        <v>225</v>
      </c>
      <c r="E52" s="39">
        <f>+'FY24'!E52*(1+MYP!$M$9)</f>
        <v>66.339894981422717</v>
      </c>
      <c r="F52" s="39">
        <f>+'FY24'!F52*(1+MYP!$M$9)</f>
        <v>78.111344721422697</v>
      </c>
      <c r="G52" s="39">
        <f>+'FY24'!G52*(1+MYP!$M$9)</f>
        <v>78.111344721422697</v>
      </c>
      <c r="H52" s="39">
        <f>+'FY24'!H52*(1+MYP!$M$9)</f>
        <v>66.339894981422717</v>
      </c>
      <c r="I52" s="39">
        <f>+'FY24'!I52*(1+MYP!$M$9)</f>
        <v>66.339894981422717</v>
      </c>
      <c r="J52" s="39">
        <f>+'FY24'!J52*(1+MYP!$M$9)</f>
        <v>66.339894981422717</v>
      </c>
      <c r="K52" s="39">
        <f>+'FY24'!K52*(1+MYP!$M$9)</f>
        <v>78.111344721422697</v>
      </c>
      <c r="L52" s="39">
        <f>+'FY24'!L52*(1+MYP!$M$9)</f>
        <v>78.111344721422697</v>
      </c>
      <c r="M52" s="39">
        <f>+'FY24'!M52*(1+MYP!$M$9)</f>
        <v>66.339894981422717</v>
      </c>
      <c r="N52" s="39">
        <f>+'FY24'!N52*(1+MYP!$M$9)</f>
        <v>66.339894981422717</v>
      </c>
      <c r="O52" s="39">
        <f>+'FY24'!O52*(1+MYP!$M$9)</f>
        <v>66.339894981422717</v>
      </c>
      <c r="P52" s="39">
        <f>+'FY24'!P52*(1+MYP!$M$9)</f>
        <v>66.339894981422717</v>
      </c>
      <c r="Q52" s="36"/>
      <c r="R52" s="41"/>
      <c r="S52" s="59">
        <f t="shared" si="17"/>
        <v>843.16453873707258</v>
      </c>
      <c r="T52" s="41"/>
      <c r="U52" s="39">
        <f>'FY24'!S52</f>
        <v>826.63190072262023</v>
      </c>
      <c r="V52" s="39">
        <f t="shared" si="18"/>
        <v>-16.532638014452345</v>
      </c>
      <c r="W52" s="39"/>
    </row>
    <row r="53" spans="3:23" s="37" customFormat="1" ht="12" x14ac:dyDescent="0.2">
      <c r="C53" s="199">
        <v>6261</v>
      </c>
      <c r="D53" s="37" t="s">
        <v>208</v>
      </c>
      <c r="E53" s="39">
        <f>+'FY24'!E53*(1+MYP!$M$9)</f>
        <v>84.429708480000002</v>
      </c>
      <c r="F53" s="39">
        <f>+'FY24'!F53*(1+MYP!$M$9)</f>
        <v>84.429708480000002</v>
      </c>
      <c r="G53" s="39">
        <f>+'FY24'!G53*(1+MYP!$M$9)</f>
        <v>84.429708480000002</v>
      </c>
      <c r="H53" s="39">
        <f>+'FY24'!H53*(1+MYP!$M$9)</f>
        <v>84.429708480000002</v>
      </c>
      <c r="I53" s="39">
        <f>+'FY24'!I53*(1+MYP!$M$9)</f>
        <v>84.429708480000002</v>
      </c>
      <c r="J53" s="39">
        <f>+'FY24'!J53*(1+MYP!$M$9)</f>
        <v>84.429708480000002</v>
      </c>
      <c r="K53" s="39">
        <f>+'FY24'!K53*(1+MYP!$M$9)</f>
        <v>84.429708480000002</v>
      </c>
      <c r="L53" s="39">
        <f>+'FY24'!L53*(1+MYP!$M$9)</f>
        <v>84.429708480000002</v>
      </c>
      <c r="M53" s="39">
        <f>+'FY24'!M53*(1+MYP!$M$9)</f>
        <v>84.429708480000002</v>
      </c>
      <c r="N53" s="39">
        <f>+'FY24'!N53*(1+MYP!$M$9)</f>
        <v>84.429708480000002</v>
      </c>
      <c r="O53" s="39">
        <f>+'FY24'!O53*(1+MYP!$M$9)</f>
        <v>84.429708480000002</v>
      </c>
      <c r="P53" s="39">
        <f>+'FY24'!P53*(1+MYP!$M$9)</f>
        <v>84.429708480000002</v>
      </c>
      <c r="Q53" s="36"/>
      <c r="R53" s="41"/>
      <c r="S53" s="59">
        <f t="shared" si="17"/>
        <v>1013.1565017600002</v>
      </c>
      <c r="T53" s="41"/>
      <c r="U53" s="39">
        <f>'FY24'!S53</f>
        <v>993.29068800000005</v>
      </c>
      <c r="V53" s="39">
        <f t="shared" si="18"/>
        <v>-19.865813760000151</v>
      </c>
      <c r="W53" s="39"/>
    </row>
    <row r="54" spans="3:23" s="37" customFormat="1" ht="12" x14ac:dyDescent="0.2">
      <c r="C54" s="199">
        <v>6264</v>
      </c>
      <c r="D54" s="37" t="s">
        <v>209</v>
      </c>
      <c r="E54" s="39">
        <f>+'FY24'!E54*(1+MYP!$M$9)</f>
        <v>59.161682745</v>
      </c>
      <c r="F54" s="39">
        <f>+'FY24'!F54*(1+MYP!$M$9)</f>
        <v>59.161682745</v>
      </c>
      <c r="G54" s="39">
        <f>+'FY24'!G54*(1+MYP!$M$9)</f>
        <v>59.161682745</v>
      </c>
      <c r="H54" s="39">
        <f>+'FY24'!H54*(1+MYP!$M$9)</f>
        <v>59.161682745</v>
      </c>
      <c r="I54" s="39">
        <f>+'FY24'!I54*(1+MYP!$M$9)</f>
        <v>59.161682745</v>
      </c>
      <c r="J54" s="39">
        <f>+'FY24'!J54*(1+MYP!$M$9)</f>
        <v>59.161682745</v>
      </c>
      <c r="K54" s="39">
        <f>+'FY24'!K54*(1+MYP!$M$9)</f>
        <v>59.161682745</v>
      </c>
      <c r="L54" s="39">
        <f>+'FY24'!L54*(1+MYP!$M$9)</f>
        <v>59.161682745</v>
      </c>
      <c r="M54" s="39">
        <f>+'FY24'!M54*(1+MYP!$M$9)</f>
        <v>59.161682745</v>
      </c>
      <c r="N54" s="39">
        <f>+'FY24'!N54*(1+MYP!$M$9)</f>
        <v>59.161682745</v>
      </c>
      <c r="O54" s="39">
        <f>+'FY24'!O54*(1+MYP!$M$9)</f>
        <v>59.161682745</v>
      </c>
      <c r="P54" s="39">
        <f>+'FY24'!P54*(1+MYP!$M$9)</f>
        <v>59.161682745</v>
      </c>
      <c r="Q54" s="36"/>
      <c r="R54" s="41"/>
      <c r="S54" s="59">
        <f t="shared" si="17"/>
        <v>709.94019293999997</v>
      </c>
      <c r="T54" s="41"/>
      <c r="U54" s="39">
        <f>'FY24'!S54</f>
        <v>696.01979699999993</v>
      </c>
      <c r="V54" s="39">
        <f t="shared" si="18"/>
        <v>-13.920395940000049</v>
      </c>
      <c r="W54" s="39"/>
    </row>
    <row r="55" spans="3:23" s="37" customFormat="1" ht="12" x14ac:dyDescent="0.2">
      <c r="C55" s="199">
        <v>6267</v>
      </c>
      <c r="D55" s="37" t="s">
        <v>226</v>
      </c>
      <c r="E55" s="39">
        <f>+'FY24'!E55*(1+MYP!$M$9)</f>
        <v>112.57294464</v>
      </c>
      <c r="F55" s="39">
        <f>+'FY24'!F55*(1+MYP!$M$9)</f>
        <v>112.57294464</v>
      </c>
      <c r="G55" s="39">
        <f>+'FY24'!G55*(1+MYP!$M$9)</f>
        <v>112.57294464</v>
      </c>
      <c r="H55" s="39">
        <f>+'FY24'!H55*(1+MYP!$M$9)</f>
        <v>112.57294464</v>
      </c>
      <c r="I55" s="39">
        <f>+'FY24'!I55*(1+MYP!$M$9)</f>
        <v>112.57294464</v>
      </c>
      <c r="J55" s="39">
        <f>+'FY24'!J55*(1+MYP!$M$9)</f>
        <v>112.57294464</v>
      </c>
      <c r="K55" s="39">
        <f>+'FY24'!K55*(1+MYP!$M$9)</f>
        <v>112.57294464</v>
      </c>
      <c r="L55" s="39">
        <f>+'FY24'!L55*(1+MYP!$M$9)</f>
        <v>112.57294464</v>
      </c>
      <c r="M55" s="39">
        <f>+'FY24'!M55*(1+MYP!$M$9)</f>
        <v>112.57294464</v>
      </c>
      <c r="N55" s="39">
        <f>+'FY24'!N55*(1+MYP!$M$9)</f>
        <v>112.57294464</v>
      </c>
      <c r="O55" s="39">
        <f>+'FY24'!O55*(1+MYP!$M$9)</f>
        <v>112.57294464</v>
      </c>
      <c r="P55" s="39">
        <f>+'FY24'!P55*(1+MYP!$M$9)</f>
        <v>112.57294464</v>
      </c>
      <c r="Q55" s="36"/>
      <c r="R55" s="41"/>
      <c r="S55" s="59">
        <f t="shared" si="17"/>
        <v>1350.8753356800005</v>
      </c>
      <c r="T55" s="41"/>
      <c r="U55" s="39">
        <f>'FY24'!S55</f>
        <v>1324.3875840000001</v>
      </c>
      <c r="V55" s="39">
        <f t="shared" si="18"/>
        <v>-26.487751680000429</v>
      </c>
      <c r="W55" s="39"/>
    </row>
    <row r="56" spans="3:23" s="37" customFormat="1" ht="12" x14ac:dyDescent="0.2">
      <c r="C56" s="199">
        <v>6271</v>
      </c>
      <c r="D56" s="37" t="s">
        <v>210</v>
      </c>
      <c r="E56" s="39">
        <f>+'FY24'!E56*(1+MYP!$M$9)</f>
        <v>43.665196567030748</v>
      </c>
      <c r="F56" s="39">
        <f>+'FY24'!F56*(1+MYP!$M$9)</f>
        <v>43.665196567030748</v>
      </c>
      <c r="G56" s="39">
        <f>+'FY24'!G56*(1+MYP!$M$9)</f>
        <v>43.665196567030748</v>
      </c>
      <c r="H56" s="39">
        <f>+'FY24'!H56*(1+MYP!$M$9)</f>
        <v>43.665196567030748</v>
      </c>
      <c r="I56" s="39">
        <f>+'FY24'!I56*(1+MYP!$M$9)</f>
        <v>43.665196567030748</v>
      </c>
      <c r="J56" s="39">
        <f>+'FY24'!J56*(1+MYP!$M$9)</f>
        <v>43.665196567030748</v>
      </c>
      <c r="K56" s="39">
        <f>+'FY24'!K56*(1+MYP!$M$9)</f>
        <v>43.665196567030748</v>
      </c>
      <c r="L56" s="39">
        <f>+'FY24'!L56*(1+MYP!$M$9)</f>
        <v>43.665196567030748</v>
      </c>
      <c r="M56" s="39">
        <f>+'FY24'!M56*(1+MYP!$M$9)</f>
        <v>43.665196567030748</v>
      </c>
      <c r="N56" s="39">
        <f>+'FY24'!N56*(1+MYP!$M$9)</f>
        <v>43.665196567030748</v>
      </c>
      <c r="O56" s="39">
        <f>+'FY24'!O56*(1+MYP!$M$9)</f>
        <v>43.665196567030748</v>
      </c>
      <c r="P56" s="39">
        <f>+'FY24'!P56*(1+MYP!$M$9)</f>
        <v>43.665196567030748</v>
      </c>
      <c r="Q56" s="36"/>
      <c r="R56" s="41"/>
      <c r="S56" s="59">
        <f t="shared" si="17"/>
        <v>523.98235880436903</v>
      </c>
      <c r="T56" s="41"/>
      <c r="U56" s="39">
        <f>'FY24'!S56</f>
        <v>513.7081949062441</v>
      </c>
      <c r="V56" s="39">
        <f t="shared" si="18"/>
        <v>-10.274163898124925</v>
      </c>
      <c r="W56" s="39"/>
    </row>
    <row r="57" spans="3:23" s="37" customFormat="1" ht="12" x14ac:dyDescent="0.2">
      <c r="C57" s="199">
        <v>6274</v>
      </c>
      <c r="D57" s="37" t="s">
        <v>211</v>
      </c>
      <c r="E57" s="39">
        <f>+'FY24'!E57*(1+MYP!$M$9)</f>
        <v>13.750609292550001</v>
      </c>
      <c r="F57" s="39">
        <f>+'FY24'!F57*(1+MYP!$M$9)</f>
        <v>13.750609292550001</v>
      </c>
      <c r="G57" s="39">
        <f>+'FY24'!G57*(1+MYP!$M$9)</f>
        <v>13.750609292550001</v>
      </c>
      <c r="H57" s="39">
        <f>+'FY24'!H57*(1+MYP!$M$9)</f>
        <v>13.750609292550001</v>
      </c>
      <c r="I57" s="39">
        <f>+'FY24'!I57*(1+MYP!$M$9)</f>
        <v>13.750609292550001</v>
      </c>
      <c r="J57" s="39">
        <f>+'FY24'!J57*(1+MYP!$M$9)</f>
        <v>13.750609292550001</v>
      </c>
      <c r="K57" s="39">
        <f>+'FY24'!K57*(1+MYP!$M$9)</f>
        <v>13.750609292550001</v>
      </c>
      <c r="L57" s="39">
        <f>+'FY24'!L57*(1+MYP!$M$9)</f>
        <v>13.750609292550001</v>
      </c>
      <c r="M57" s="39">
        <f>+'FY24'!M57*(1+MYP!$M$9)</f>
        <v>13.750609292550001</v>
      </c>
      <c r="N57" s="39">
        <f>+'FY24'!N57*(1+MYP!$M$9)</f>
        <v>13.750609292550001</v>
      </c>
      <c r="O57" s="39">
        <f>+'FY24'!O57*(1+MYP!$M$9)</f>
        <v>13.750609292550001</v>
      </c>
      <c r="P57" s="39">
        <f>+'FY24'!P57*(1+MYP!$M$9)</f>
        <v>13.750609292550001</v>
      </c>
      <c r="Q57" s="36"/>
      <c r="R57" s="41"/>
      <c r="S57" s="59">
        <f t="shared" si="17"/>
        <v>165.00731151059998</v>
      </c>
      <c r="T57" s="41"/>
      <c r="U57" s="39">
        <f>'FY24'!S57</f>
        <v>161.77187402999996</v>
      </c>
      <c r="V57" s="39">
        <f t="shared" si="18"/>
        <v>-3.2354374806000123</v>
      </c>
      <c r="W57" s="39"/>
    </row>
    <row r="58" spans="3:23" s="37" customFormat="1" ht="12" x14ac:dyDescent="0.2">
      <c r="C58" s="199">
        <v>6277</v>
      </c>
      <c r="D58" s="37" t="s">
        <v>227</v>
      </c>
      <c r="E58" s="39">
        <f>+'FY24'!E58*(1+MYP!$M$9)</f>
        <v>31.497525872361898</v>
      </c>
      <c r="F58" s="39">
        <f>+'FY24'!F58*(1+MYP!$M$9)</f>
        <v>31.497525872361898</v>
      </c>
      <c r="G58" s="39">
        <f>+'FY24'!G58*(1+MYP!$M$9)</f>
        <v>31.497525872361898</v>
      </c>
      <c r="H58" s="39">
        <f>+'FY24'!H58*(1+MYP!$M$9)</f>
        <v>31.497525872361898</v>
      </c>
      <c r="I58" s="39">
        <f>+'FY24'!I58*(1+MYP!$M$9)</f>
        <v>31.497525872361898</v>
      </c>
      <c r="J58" s="39">
        <f>+'FY24'!J58*(1+MYP!$M$9)</f>
        <v>31.497525872361898</v>
      </c>
      <c r="K58" s="39">
        <f>+'FY24'!K58*(1+MYP!$M$9)</f>
        <v>31.497525872361898</v>
      </c>
      <c r="L58" s="39">
        <f>+'FY24'!L58*(1+MYP!$M$9)</f>
        <v>31.497525872361898</v>
      </c>
      <c r="M58" s="39">
        <f>+'FY24'!M58*(1+MYP!$M$9)</f>
        <v>31.497525872361898</v>
      </c>
      <c r="N58" s="39">
        <f>+'FY24'!N58*(1+MYP!$M$9)</f>
        <v>31.497525872361898</v>
      </c>
      <c r="O58" s="39">
        <f>+'FY24'!O58*(1+MYP!$M$9)</f>
        <v>31.497525872361898</v>
      </c>
      <c r="P58" s="39">
        <f>+'FY24'!P58*(1+MYP!$M$9)</f>
        <v>31.497525872361898</v>
      </c>
      <c r="Q58" s="36"/>
      <c r="R58" s="41"/>
      <c r="S58" s="59">
        <f t="shared" si="17"/>
        <v>377.9703104683428</v>
      </c>
      <c r="T58" s="41"/>
      <c r="U58" s="39">
        <f>'FY24'!S58</f>
        <v>370.55912791013998</v>
      </c>
      <c r="V58" s="39">
        <f t="shared" si="18"/>
        <v>-7.4111825582028246</v>
      </c>
      <c r="W58" s="39"/>
    </row>
    <row r="59" spans="3:23" s="37" customFormat="1" ht="12" x14ac:dyDescent="0.2">
      <c r="C59" s="199">
        <v>6281</v>
      </c>
      <c r="D59" s="37" t="s">
        <v>194</v>
      </c>
      <c r="E59" s="39">
        <f>+'FY24'!E59*(1+MYP!$M$9)</f>
        <v>438.3850248</v>
      </c>
      <c r="F59" s="39">
        <f>+'FY24'!F59*(1+MYP!$M$9)</f>
        <v>438.3850248</v>
      </c>
      <c r="G59" s="39">
        <f>+'FY24'!G59*(1+MYP!$M$9)</f>
        <v>438.3850248</v>
      </c>
      <c r="H59" s="39">
        <f>+'FY24'!H59*(1+MYP!$M$9)</f>
        <v>438.3850248</v>
      </c>
      <c r="I59" s="39">
        <f>+'FY24'!I59*(1+MYP!$M$9)</f>
        <v>438.3850248</v>
      </c>
      <c r="J59" s="39">
        <f>+'FY24'!J59*(1+MYP!$M$9)</f>
        <v>438.3850248</v>
      </c>
      <c r="K59" s="39">
        <f>+'FY24'!K59*(1+MYP!$M$9)</f>
        <v>438.3850248</v>
      </c>
      <c r="L59" s="39">
        <f>+'FY24'!L59*(1+MYP!$M$9)</f>
        <v>438.3850248</v>
      </c>
      <c r="M59" s="39">
        <f>+'FY24'!M59*(1+MYP!$M$9)</f>
        <v>438.3850248</v>
      </c>
      <c r="N59" s="39">
        <f>+'FY24'!N59*(1+MYP!$M$9)</f>
        <v>438.3850248</v>
      </c>
      <c r="O59" s="39">
        <f>+'FY24'!O59*(1+MYP!$M$9)</f>
        <v>438.3850248</v>
      </c>
      <c r="P59" s="39">
        <f>+'FY24'!P59*(1+MYP!$M$9)</f>
        <v>438.3850248</v>
      </c>
      <c r="Q59" s="36"/>
      <c r="R59" s="41"/>
      <c r="S59" s="59">
        <f t="shared" si="17"/>
        <v>5260.6202975999995</v>
      </c>
      <c r="T59" s="41"/>
      <c r="U59" s="39">
        <f>'FY24'!S59</f>
        <v>5157.4708799999999</v>
      </c>
      <c r="V59" s="39">
        <f t="shared" si="18"/>
        <v>-103.14941759999965</v>
      </c>
      <c r="W59" s="39"/>
    </row>
    <row r="60" spans="3:23" s="37" customFormat="1" ht="12" x14ac:dyDescent="0.2">
      <c r="C60" s="199">
        <v>6284</v>
      </c>
      <c r="D60" s="37" t="s">
        <v>195</v>
      </c>
      <c r="E60" s="39">
        <f>+'FY24'!E60*(1+MYP!$M$9)</f>
        <v>109.5962562</v>
      </c>
      <c r="F60" s="39">
        <f>+'FY24'!F60*(1+MYP!$M$9)</f>
        <v>109.5962562</v>
      </c>
      <c r="G60" s="39">
        <f>+'FY24'!G60*(1+MYP!$M$9)</f>
        <v>109.5962562</v>
      </c>
      <c r="H60" s="39">
        <f>+'FY24'!H60*(1+MYP!$M$9)</f>
        <v>109.5962562</v>
      </c>
      <c r="I60" s="39">
        <f>+'FY24'!I60*(1+MYP!$M$9)</f>
        <v>109.5962562</v>
      </c>
      <c r="J60" s="39">
        <f>+'FY24'!J60*(1+MYP!$M$9)</f>
        <v>109.5962562</v>
      </c>
      <c r="K60" s="39">
        <f>+'FY24'!K60*(1+MYP!$M$9)</f>
        <v>109.5962562</v>
      </c>
      <c r="L60" s="39">
        <f>+'FY24'!L60*(1+MYP!$M$9)</f>
        <v>109.5962562</v>
      </c>
      <c r="M60" s="39">
        <f>+'FY24'!M60*(1+MYP!$M$9)</f>
        <v>109.5962562</v>
      </c>
      <c r="N60" s="39">
        <f>+'FY24'!N60*(1+MYP!$M$9)</f>
        <v>109.5962562</v>
      </c>
      <c r="O60" s="39">
        <f>+'FY24'!O60*(1+MYP!$M$9)</f>
        <v>109.5962562</v>
      </c>
      <c r="P60" s="39">
        <f>+'FY24'!P60*(1+MYP!$M$9)</f>
        <v>109.5962562</v>
      </c>
      <c r="Q60" s="98"/>
      <c r="R60" s="41"/>
      <c r="S60" s="59">
        <f t="shared" si="17"/>
        <v>1315.1550743999999</v>
      </c>
      <c r="T60" s="41"/>
      <c r="U60" s="39">
        <f>'FY24'!S60</f>
        <v>1289.36772</v>
      </c>
      <c r="V60" s="39">
        <f t="shared" si="18"/>
        <v>-25.787354399999913</v>
      </c>
      <c r="W60" s="39"/>
    </row>
    <row r="61" spans="3:23" s="37" customFormat="1" ht="12" x14ac:dyDescent="0.2">
      <c r="C61" s="199">
        <v>6287</v>
      </c>
      <c r="D61" s="37" t="s">
        <v>228</v>
      </c>
      <c r="E61" s="39">
        <f>+'FY24'!E61*(1+MYP!$M$9)</f>
        <v>438.3850248</v>
      </c>
      <c r="F61" s="39">
        <f>+'FY24'!F61*(1+MYP!$M$9)</f>
        <v>438.3850248</v>
      </c>
      <c r="G61" s="39">
        <f>+'FY24'!G61*(1+MYP!$M$9)</f>
        <v>438.3850248</v>
      </c>
      <c r="H61" s="39">
        <f>+'FY24'!H61*(1+MYP!$M$9)</f>
        <v>438.3850248</v>
      </c>
      <c r="I61" s="39">
        <f>+'FY24'!I61*(1+MYP!$M$9)</f>
        <v>438.3850248</v>
      </c>
      <c r="J61" s="39">
        <f>+'FY24'!J61*(1+MYP!$M$9)</f>
        <v>438.3850248</v>
      </c>
      <c r="K61" s="39">
        <f>+'FY24'!K61*(1+MYP!$M$9)</f>
        <v>438.3850248</v>
      </c>
      <c r="L61" s="39">
        <f>+'FY24'!L61*(1+MYP!$M$9)</f>
        <v>438.3850248</v>
      </c>
      <c r="M61" s="39">
        <f>+'FY24'!M61*(1+MYP!$M$9)</f>
        <v>438.3850248</v>
      </c>
      <c r="N61" s="39">
        <f>+'FY24'!N61*(1+MYP!$M$9)</f>
        <v>438.3850248</v>
      </c>
      <c r="O61" s="39">
        <f>+'FY24'!O61*(1+MYP!$M$9)</f>
        <v>438.3850248</v>
      </c>
      <c r="P61" s="39">
        <f>+'FY24'!P61*(1+MYP!$M$9)</f>
        <v>438.3850248</v>
      </c>
      <c r="Q61" s="98"/>
      <c r="R61" s="41"/>
      <c r="S61" s="59">
        <f t="shared" si="17"/>
        <v>5260.6202975999995</v>
      </c>
      <c r="T61" s="41"/>
      <c r="U61" s="39">
        <f>'FY24'!S61</f>
        <v>5157.4708799999999</v>
      </c>
      <c r="V61" s="39">
        <f t="shared" si="18"/>
        <v>-103.14941759999965</v>
      </c>
      <c r="W61" s="39"/>
    </row>
    <row r="62" spans="3:23" s="37" customFormat="1" ht="12" x14ac:dyDescent="0.2">
      <c r="C62" s="38"/>
      <c r="E62" s="50">
        <f t="shared" ref="E62:P62" si="19">SUBTOTAL(9,E43:E61)</f>
        <v>3764.7229978638384</v>
      </c>
      <c r="F62" s="50">
        <f t="shared" si="19"/>
        <v>3789.6784713126381</v>
      </c>
      <c r="G62" s="50">
        <f t="shared" si="19"/>
        <v>3789.6784713126381</v>
      </c>
      <c r="H62" s="50">
        <f t="shared" si="19"/>
        <v>3777.9070215726383</v>
      </c>
      <c r="I62" s="50">
        <f t="shared" si="19"/>
        <v>3764.7229978638384</v>
      </c>
      <c r="J62" s="50">
        <f t="shared" si="19"/>
        <v>3764.7229978638384</v>
      </c>
      <c r="K62" s="50">
        <f t="shared" si="19"/>
        <v>3776.4944476038381</v>
      </c>
      <c r="L62" s="50">
        <f t="shared" si="19"/>
        <v>3789.6784713126381</v>
      </c>
      <c r="M62" s="50">
        <f t="shared" si="19"/>
        <v>3791.0910452814383</v>
      </c>
      <c r="N62" s="50">
        <f t="shared" si="19"/>
        <v>3764.7229978638384</v>
      </c>
      <c r="O62" s="50">
        <f t="shared" si="19"/>
        <v>3764.7229978638384</v>
      </c>
      <c r="P62" s="50">
        <f t="shared" si="19"/>
        <v>3776.4944476038381</v>
      </c>
      <c r="Q62" s="99"/>
      <c r="R62" s="41"/>
      <c r="S62" s="61">
        <f>SUBTOTAL(9,S43:S61)</f>
        <v>45314.637365318864</v>
      </c>
      <c r="T62" s="41"/>
      <c r="U62" s="50">
        <f>SUBTOTAL(9,U43:U61)</f>
        <v>44426.115064038102</v>
      </c>
      <c r="V62" s="50">
        <f>SUBTOTAL(9,V43:V61)</f>
        <v>-888.52230128076485</v>
      </c>
      <c r="W62" s="39"/>
    </row>
    <row r="63" spans="3:23" s="37" customFormat="1" ht="12" x14ac:dyDescent="0.2">
      <c r="C63" s="49" t="s">
        <v>9</v>
      </c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100"/>
      <c r="R63" s="41"/>
      <c r="S63" s="59"/>
      <c r="T63" s="41"/>
      <c r="U63" s="39"/>
      <c r="V63" s="39"/>
      <c r="W63" s="39"/>
    </row>
    <row r="64" spans="3:23" s="37" customFormat="1" ht="12" x14ac:dyDescent="0.2">
      <c r="C64" s="199">
        <v>6300</v>
      </c>
      <c r="D64" s="37" t="s">
        <v>9</v>
      </c>
      <c r="E64" s="39">
        <v>4321.5</v>
      </c>
      <c r="F64" s="39">
        <f>+'FY24'!F64*(1+MYP!$M$10)</f>
        <v>104.99591952000002</v>
      </c>
      <c r="G64" s="39">
        <f>+'FY24'!G64*(1+MYP!$M$10)</f>
        <v>104.99591952000002</v>
      </c>
      <c r="H64" s="39">
        <f>+'FY24'!H64*(1+MYP!$M$10)</f>
        <v>104.99591952000002</v>
      </c>
      <c r="I64" s="39">
        <f>+'FY24'!I64*(1+MYP!$M$10)</f>
        <v>104.99591952000002</v>
      </c>
      <c r="J64" s="39">
        <f>+'FY24'!J64*(1+MYP!$M$10)</f>
        <v>104.99591952000002</v>
      </c>
      <c r="K64" s="39">
        <f>+'FY24'!K64*(1+MYP!$M$10)</f>
        <v>104.99591952000002</v>
      </c>
      <c r="L64" s="39">
        <f>+'FY24'!L64*(1+MYP!$M$10)</f>
        <v>104.99591952000002</v>
      </c>
      <c r="M64" s="39">
        <f>+'FY24'!M64*(1+MYP!$M$10)</f>
        <v>104.99591952000002</v>
      </c>
      <c r="N64" s="39">
        <f>+'FY24'!N64*(1+MYP!$M$10)</f>
        <v>104.99591952000002</v>
      </c>
      <c r="O64" s="39">
        <f>+'FY24'!O64*(1+MYP!$M$10)</f>
        <v>104.99591952000002</v>
      </c>
      <c r="P64" s="39">
        <f>+'FY24'!P64*(1+MYP!$M$10)</f>
        <v>104.99591952000002</v>
      </c>
      <c r="Q64" s="100"/>
      <c r="R64" s="41"/>
      <c r="S64" s="59">
        <f t="shared" ref="S64:S73" si="20">SUM(E64:Q64)</f>
        <v>5476.4551147199991</v>
      </c>
      <c r="T64" s="41"/>
      <c r="U64" s="39">
        <f>'FY24'!S64</f>
        <v>5453.808936000004</v>
      </c>
      <c r="V64" s="39">
        <f t="shared" ref="V64:V73" si="21">U64-S64</f>
        <v>-22.646178719995078</v>
      </c>
      <c r="W64" s="39"/>
    </row>
    <row r="65" spans="3:23" s="37" customFormat="1" ht="12" x14ac:dyDescent="0.2">
      <c r="C65" s="199">
        <v>6320</v>
      </c>
      <c r="D65" s="37" t="s">
        <v>10</v>
      </c>
      <c r="E65" s="39">
        <f>+'FY24'!E65*(1+MYP!$M$10)</f>
        <v>90.202680000000001</v>
      </c>
      <c r="F65" s="39">
        <f>+'FY24'!F65*(1+MYP!$M$10)</f>
        <v>90.202680000000001</v>
      </c>
      <c r="G65" s="39">
        <f>+'FY24'!G65*(1+MYP!$M$10)</f>
        <v>90.202680000000001</v>
      </c>
      <c r="H65" s="39">
        <f>+'FY24'!H65*(1+MYP!$M$10)</f>
        <v>90.202680000000001</v>
      </c>
      <c r="I65" s="39">
        <f>+'FY24'!I65*(1+MYP!$M$10)</f>
        <v>90.202680000000001</v>
      </c>
      <c r="J65" s="39">
        <f>+'FY24'!J65*(1+MYP!$M$10)</f>
        <v>90.202680000000001</v>
      </c>
      <c r="K65" s="39">
        <f>+'FY24'!K65*(1+MYP!$M$10)</f>
        <v>90.202680000000001</v>
      </c>
      <c r="L65" s="39">
        <f>+'FY24'!L65*(1+MYP!$M$10)</f>
        <v>90.202680000000001</v>
      </c>
      <c r="M65" s="39">
        <f>+'FY24'!M65*(1+MYP!$M$10)</f>
        <v>90.202680000000001</v>
      </c>
      <c r="N65" s="39">
        <f>+'FY24'!N65*(1+MYP!$M$10)</f>
        <v>90.202680000000001</v>
      </c>
      <c r="O65" s="39">
        <f>+'FY24'!O65*(1+MYP!$M$10)</f>
        <v>90.202680000000001</v>
      </c>
      <c r="P65" s="39">
        <f>+'FY24'!P65*(1+MYP!$M$10)</f>
        <v>90.202680000000001</v>
      </c>
      <c r="Q65" s="100"/>
      <c r="R65" s="41"/>
      <c r="S65" s="59">
        <f t="shared" si="20"/>
        <v>1082.4321600000001</v>
      </c>
      <c r="T65" s="41"/>
      <c r="U65" s="39">
        <f>'FY24'!S65</f>
        <v>1061.2079999999999</v>
      </c>
      <c r="V65" s="39">
        <f t="shared" si="21"/>
        <v>-21.224160000000211</v>
      </c>
      <c r="W65" s="39"/>
    </row>
    <row r="66" spans="3:23" s="37" customFormat="1" ht="12" x14ac:dyDescent="0.2">
      <c r="C66" s="199">
        <v>6331</v>
      </c>
      <c r="D66" s="37" t="s">
        <v>11</v>
      </c>
      <c r="E66" s="39">
        <f>+'FY24'!E66*(1+MYP!$M$10)</f>
        <v>45.10134</v>
      </c>
      <c r="F66" s="39">
        <f>+'FY24'!F66*(1+MYP!$M$10)</f>
        <v>45.10134</v>
      </c>
      <c r="G66" s="39">
        <f>+'FY24'!G66*(1+MYP!$M$10)</f>
        <v>45.10134</v>
      </c>
      <c r="H66" s="39">
        <f>+'FY24'!H66*(1+MYP!$M$10)</f>
        <v>45.10134</v>
      </c>
      <c r="I66" s="39">
        <f>+'FY24'!I66*(1+MYP!$M$10)</f>
        <v>45.10134</v>
      </c>
      <c r="J66" s="39">
        <f>+'FY24'!J66*(1+MYP!$M$10)</f>
        <v>45.10134</v>
      </c>
      <c r="K66" s="39">
        <f>+'FY24'!K66*(1+MYP!$M$10)</f>
        <v>45.10134</v>
      </c>
      <c r="L66" s="39">
        <f>+'FY24'!L66*(1+MYP!$M$10)</f>
        <v>45.10134</v>
      </c>
      <c r="M66" s="39">
        <f>+'FY24'!M66*(1+MYP!$M$10)</f>
        <v>45.10134</v>
      </c>
      <c r="N66" s="39">
        <f>+'FY24'!N66*(1+MYP!$M$10)</f>
        <v>45.10134</v>
      </c>
      <c r="O66" s="39">
        <f>+'FY24'!O66*(1+MYP!$M$10)</f>
        <v>45.10134</v>
      </c>
      <c r="P66" s="39">
        <f>+'FY24'!P66*(1+MYP!$M$10)</f>
        <v>45.10134</v>
      </c>
      <c r="Q66" s="100"/>
      <c r="R66" s="41"/>
      <c r="S66" s="59">
        <f t="shared" si="20"/>
        <v>541.21608000000003</v>
      </c>
      <c r="T66" s="41"/>
      <c r="U66" s="39">
        <f>'FY24'!S66</f>
        <v>530.60399999999993</v>
      </c>
      <c r="V66" s="39">
        <f t="shared" si="21"/>
        <v>-10.612080000000105</v>
      </c>
      <c r="W66" s="39"/>
    </row>
    <row r="67" spans="3:23" s="37" customFormat="1" ht="12" x14ac:dyDescent="0.2">
      <c r="C67" s="199">
        <v>6334</v>
      </c>
      <c r="D67" s="37" t="s">
        <v>12</v>
      </c>
      <c r="E67" s="39">
        <f>+'FY24'!E67*(1+MYP!$M$10)</f>
        <v>0</v>
      </c>
      <c r="F67" s="39">
        <f>+'FY24'!F67*(1+MYP!$M$10)</f>
        <v>0</v>
      </c>
      <c r="G67" s="39">
        <f>+'FY24'!G67*(1+MYP!$M$10)</f>
        <v>0</v>
      </c>
      <c r="H67" s="39">
        <f>+'FY24'!H67*(1+MYP!$M$10)</f>
        <v>0</v>
      </c>
      <c r="I67" s="39">
        <f>+'FY24'!I67*(1+MYP!$M$10)</f>
        <v>0</v>
      </c>
      <c r="J67" s="39">
        <f>+'FY24'!J67*(1+MYP!$M$10)</f>
        <v>0</v>
      </c>
      <c r="K67" s="39">
        <f>+'FY24'!K67*(1+MYP!$M$10)</f>
        <v>0</v>
      </c>
      <c r="L67" s="39">
        <f>+'FY24'!L67*(1+MYP!$M$10)</f>
        <v>0</v>
      </c>
      <c r="M67" s="39">
        <f>+'FY24'!M67*(1+MYP!$M$10)</f>
        <v>0</v>
      </c>
      <c r="N67" s="39">
        <f>+'FY24'!N67*(1+MYP!$M$10)</f>
        <v>0</v>
      </c>
      <c r="O67" s="39">
        <f>+'FY24'!O67*(1+MYP!$M$10)</f>
        <v>0</v>
      </c>
      <c r="P67" s="39">
        <f>+'FY24'!P67*(1+MYP!$M$10)</f>
        <v>0</v>
      </c>
      <c r="Q67" s="100"/>
      <c r="R67" s="41"/>
      <c r="S67" s="59">
        <f t="shared" si="20"/>
        <v>0</v>
      </c>
      <c r="T67" s="41"/>
      <c r="U67" s="39">
        <f>'FY24'!S67</f>
        <v>0</v>
      </c>
      <c r="V67" s="39">
        <f t="shared" si="21"/>
        <v>0</v>
      </c>
      <c r="W67" s="39"/>
    </row>
    <row r="68" spans="3:23" s="37" customFormat="1" ht="12" x14ac:dyDescent="0.2">
      <c r="C68" s="199">
        <v>6336</v>
      </c>
      <c r="D68" s="37" t="s">
        <v>13</v>
      </c>
      <c r="E68" s="39">
        <f>+'FY24'!E68*(1+MYP!$M$10)</f>
        <v>0</v>
      </c>
      <c r="F68" s="39">
        <f>+'FY24'!F68*(1+MYP!$M$10)</f>
        <v>0</v>
      </c>
      <c r="G68" s="39">
        <f>+'FY24'!G68*(1+MYP!$M$10)</f>
        <v>0</v>
      </c>
      <c r="H68" s="39">
        <f>+'FY24'!H68*(1+MYP!$M$10)</f>
        <v>0</v>
      </c>
      <c r="I68" s="39">
        <f>+'FY24'!I68*(1+MYP!$M$10)</f>
        <v>0</v>
      </c>
      <c r="J68" s="39">
        <f>+'FY24'!J68*(1+MYP!$M$10)</f>
        <v>0</v>
      </c>
      <c r="K68" s="39">
        <f>+'FY24'!K68*(1+MYP!$M$10)</f>
        <v>0</v>
      </c>
      <c r="L68" s="39">
        <f>+'FY24'!L68*(1+MYP!$M$10)</f>
        <v>0</v>
      </c>
      <c r="M68" s="39">
        <f>+'FY24'!M68*(1+MYP!$M$10)</f>
        <v>0</v>
      </c>
      <c r="N68" s="39">
        <f>+'FY24'!N68*(1+MYP!$M$10)</f>
        <v>0</v>
      </c>
      <c r="O68" s="39">
        <f>+'FY24'!O68*(1+MYP!$M$10)</f>
        <v>0</v>
      </c>
      <c r="P68" s="39">
        <f>+'FY24'!P68*(1+MYP!$M$10)</f>
        <v>0</v>
      </c>
      <c r="Q68" s="100"/>
      <c r="R68" s="41"/>
      <c r="S68" s="59">
        <f t="shared" si="20"/>
        <v>0</v>
      </c>
      <c r="T68" s="41"/>
      <c r="U68" s="39">
        <f>'FY24'!S68</f>
        <v>0</v>
      </c>
      <c r="V68" s="39">
        <f t="shared" si="21"/>
        <v>0</v>
      </c>
      <c r="W68" s="39"/>
    </row>
    <row r="69" spans="3:23" s="37" customFormat="1" ht="12" x14ac:dyDescent="0.2">
      <c r="C69" s="199">
        <v>6337</v>
      </c>
      <c r="D69" s="37" t="s">
        <v>14</v>
      </c>
      <c r="E69" s="39">
        <f>+'FY24'!E69*(1+MYP!$M$10)</f>
        <v>45.10134</v>
      </c>
      <c r="F69" s="39">
        <f>+'FY24'!F69*(1+MYP!$M$10)</f>
        <v>45.10134</v>
      </c>
      <c r="G69" s="39">
        <f>+'FY24'!G69*(1+MYP!$M$10)</f>
        <v>45.10134</v>
      </c>
      <c r="H69" s="39">
        <f>+'FY24'!H69*(1+MYP!$M$10)</f>
        <v>45.10134</v>
      </c>
      <c r="I69" s="39">
        <f>+'FY24'!I69*(1+MYP!$M$10)</f>
        <v>45.10134</v>
      </c>
      <c r="J69" s="39">
        <f>+'FY24'!J69*(1+MYP!$M$10)</f>
        <v>45.10134</v>
      </c>
      <c r="K69" s="39">
        <f>+'FY24'!K69*(1+MYP!$M$10)</f>
        <v>45.10134</v>
      </c>
      <c r="L69" s="39">
        <f>+'FY24'!L69*(1+MYP!$M$10)</f>
        <v>45.10134</v>
      </c>
      <c r="M69" s="39">
        <f>+'FY24'!M69*(1+MYP!$M$10)</f>
        <v>45.10134</v>
      </c>
      <c r="N69" s="39">
        <f>+'FY24'!N69*(1+MYP!$M$10)</f>
        <v>45.10134</v>
      </c>
      <c r="O69" s="39">
        <f>+'FY24'!O69*(1+MYP!$M$10)</f>
        <v>45.10134</v>
      </c>
      <c r="P69" s="39">
        <f>+'FY24'!P69*(1+MYP!$M$10)</f>
        <v>45.10134</v>
      </c>
      <c r="Q69" s="100"/>
      <c r="R69" s="41"/>
      <c r="S69" s="59">
        <f t="shared" si="20"/>
        <v>541.21608000000003</v>
      </c>
      <c r="T69" s="41"/>
      <c r="U69" s="39">
        <f>'FY24'!S69</f>
        <v>530.60399999999993</v>
      </c>
      <c r="V69" s="39">
        <f t="shared" si="21"/>
        <v>-10.612080000000105</v>
      </c>
      <c r="W69" s="39"/>
    </row>
    <row r="70" spans="3:23" s="37" customFormat="1" ht="12" x14ac:dyDescent="0.2">
      <c r="C70" s="199">
        <v>6340</v>
      </c>
      <c r="D70" s="37" t="s">
        <v>15</v>
      </c>
      <c r="E70" s="39">
        <f>+'FY24'!E70*(1+MYP!$M$10)</f>
        <v>857.28627072000006</v>
      </c>
      <c r="F70" s="39">
        <f>+'FY24'!F70*(1+MYP!$M$10)</f>
        <v>857.28627072000006</v>
      </c>
      <c r="G70" s="39">
        <f>+'FY24'!G70*(1+MYP!$M$10)</f>
        <v>857.28627072000006</v>
      </c>
      <c r="H70" s="39">
        <f>+'FY24'!H70*(1+MYP!$M$10)</f>
        <v>857.28627072000006</v>
      </c>
      <c r="I70" s="39">
        <f>+'FY24'!I70*(1+MYP!$M$10)</f>
        <v>857.28627072000006</v>
      </c>
      <c r="J70" s="39">
        <f>+'FY24'!J70*(1+MYP!$M$10)</f>
        <v>857.28627072000006</v>
      </c>
      <c r="K70" s="39">
        <f>+'FY24'!K70*(1+MYP!$M$10)</f>
        <v>857.28627072000006</v>
      </c>
      <c r="L70" s="39">
        <f>+'FY24'!L70*(1+MYP!$M$10)</f>
        <v>857.28627072000006</v>
      </c>
      <c r="M70" s="39">
        <f>+'FY24'!M70*(1+MYP!$M$10)</f>
        <v>857.28627072000006</v>
      </c>
      <c r="N70" s="39">
        <f>+'FY24'!N70*(1+MYP!$M$10)</f>
        <v>857.28627072000006</v>
      </c>
      <c r="O70" s="39">
        <f>+'FY24'!O70*(1+MYP!$M$10)</f>
        <v>857.28627072000006</v>
      </c>
      <c r="P70" s="39">
        <f>+'FY24'!P70*(1+MYP!$M$10)</f>
        <v>857.28627072000006</v>
      </c>
      <c r="Q70" s="100"/>
      <c r="R70" s="41"/>
      <c r="S70" s="59">
        <f t="shared" si="20"/>
        <v>10287.43524864</v>
      </c>
      <c r="T70" s="41"/>
      <c r="U70" s="39">
        <f>'FY24'!S70</f>
        <v>10085.720832000005</v>
      </c>
      <c r="V70" s="39">
        <f t="shared" si="21"/>
        <v>-201.71441663999576</v>
      </c>
      <c r="W70" s="39"/>
    </row>
    <row r="71" spans="3:23" s="37" customFormat="1" ht="12" x14ac:dyDescent="0.2">
      <c r="C71" s="199">
        <v>6345</v>
      </c>
      <c r="D71" s="37" t="s">
        <v>16</v>
      </c>
      <c r="E71" s="39">
        <f>+'FY24'!E71*(1+MYP!$M$10)</f>
        <v>0</v>
      </c>
      <c r="F71" s="39">
        <f>+'FY24'!F71*(1+MYP!$M$10)</f>
        <v>0</v>
      </c>
      <c r="G71" s="39">
        <f>+'FY24'!G71*(1+MYP!$M$10)</f>
        <v>0</v>
      </c>
      <c r="H71" s="39">
        <f>+'FY24'!H71*(1+MYP!$M$10)</f>
        <v>0</v>
      </c>
      <c r="I71" s="39">
        <f>+'FY24'!I71*(1+MYP!$M$10)</f>
        <v>0</v>
      </c>
      <c r="J71" s="39">
        <f>+'FY24'!J71*(1+MYP!$M$10)</f>
        <v>0</v>
      </c>
      <c r="K71" s="39">
        <f>+'FY24'!K71*(1+MYP!$M$10)</f>
        <v>0</v>
      </c>
      <c r="L71" s="39">
        <f>+'FY24'!L71*(1+MYP!$M$10)</f>
        <v>0</v>
      </c>
      <c r="M71" s="39">
        <f>+'FY24'!M71*(1+MYP!$M$10)</f>
        <v>0</v>
      </c>
      <c r="N71" s="39">
        <f>+'FY24'!N71*(1+MYP!$M$10)</f>
        <v>0</v>
      </c>
      <c r="O71" s="39">
        <f>+'FY24'!O71*(1+MYP!$M$10)</f>
        <v>0</v>
      </c>
      <c r="P71" s="39">
        <f>+'FY24'!P71*(1+MYP!$M$10)</f>
        <v>0</v>
      </c>
      <c r="Q71" s="100"/>
      <c r="R71" s="41"/>
      <c r="S71" s="59">
        <f t="shared" si="20"/>
        <v>0</v>
      </c>
      <c r="T71" s="41"/>
      <c r="U71" s="39">
        <f>'FY24'!S71</f>
        <v>0</v>
      </c>
      <c r="V71" s="39">
        <f t="shared" si="21"/>
        <v>0</v>
      </c>
      <c r="W71" s="39"/>
    </row>
    <row r="72" spans="3:23" s="37" customFormat="1" ht="12" x14ac:dyDescent="0.2">
      <c r="C72" s="199">
        <v>6350</v>
      </c>
      <c r="D72" s="37" t="s">
        <v>17</v>
      </c>
      <c r="E72" s="39">
        <f>+'FY24'!E72*(1+MYP!$M$10)</f>
        <v>45.10134</v>
      </c>
      <c r="F72" s="39">
        <f>+'FY24'!F72*(1+MYP!$M$10)</f>
        <v>45.10134</v>
      </c>
      <c r="G72" s="39">
        <f>+'FY24'!G72*(1+MYP!$M$10)</f>
        <v>45.10134</v>
      </c>
      <c r="H72" s="39">
        <f>+'FY24'!H72*(1+MYP!$M$10)</f>
        <v>45.10134</v>
      </c>
      <c r="I72" s="39">
        <f>+'FY24'!I72*(1+MYP!$M$10)</f>
        <v>45.10134</v>
      </c>
      <c r="J72" s="39">
        <f>+'FY24'!J72*(1+MYP!$M$10)</f>
        <v>45.10134</v>
      </c>
      <c r="K72" s="39">
        <f>+'FY24'!K72*(1+MYP!$M$10)</f>
        <v>45.10134</v>
      </c>
      <c r="L72" s="39">
        <f>+'FY24'!L72*(1+MYP!$M$10)</f>
        <v>45.10134</v>
      </c>
      <c r="M72" s="39">
        <f>+'FY24'!M72*(1+MYP!$M$10)</f>
        <v>45.10134</v>
      </c>
      <c r="N72" s="39">
        <f>+'FY24'!N72*(1+MYP!$M$10)</f>
        <v>45.10134</v>
      </c>
      <c r="O72" s="39">
        <f>+'FY24'!O72*(1+MYP!$M$10)</f>
        <v>45.10134</v>
      </c>
      <c r="P72" s="39">
        <f>+'FY24'!P72*(1+MYP!$M$10)</f>
        <v>45.10134</v>
      </c>
      <c r="Q72" s="100"/>
      <c r="R72" s="41"/>
      <c r="S72" s="59">
        <f t="shared" si="20"/>
        <v>541.21608000000003</v>
      </c>
      <c r="T72" s="41"/>
      <c r="U72" s="39">
        <f>'FY24'!S72</f>
        <v>530.60399999999993</v>
      </c>
      <c r="V72" s="39">
        <f t="shared" si="21"/>
        <v>-10.612080000000105</v>
      </c>
      <c r="W72" s="39"/>
    </row>
    <row r="73" spans="3:23" s="37" customFormat="1" ht="12" x14ac:dyDescent="0.2">
      <c r="C73" s="199">
        <v>6351</v>
      </c>
      <c r="D73" s="37" t="s">
        <v>18</v>
      </c>
      <c r="E73" s="39">
        <f>+'FY24'!E73*(1+MYP!$M$10)</f>
        <v>0</v>
      </c>
      <c r="F73" s="39">
        <f>+'FY24'!F73*(1+MYP!$M$10)</f>
        <v>0</v>
      </c>
      <c r="G73" s="39">
        <f>+'FY24'!G73*(1+MYP!$M$10)</f>
        <v>0</v>
      </c>
      <c r="H73" s="39">
        <f>+'FY24'!H73*(1+MYP!$M$10)</f>
        <v>0</v>
      </c>
      <c r="I73" s="39">
        <f>+'FY24'!I73*(1+MYP!$M$10)</f>
        <v>0</v>
      </c>
      <c r="J73" s="39">
        <f>+'FY24'!J73*(1+MYP!$M$10)</f>
        <v>0</v>
      </c>
      <c r="K73" s="39">
        <f>+'FY24'!K73*(1+MYP!$M$10)</f>
        <v>0</v>
      </c>
      <c r="L73" s="39">
        <f>+'FY24'!L73*(1+MYP!$M$10)</f>
        <v>0</v>
      </c>
      <c r="M73" s="39">
        <f>+'FY24'!M73*(1+MYP!$M$10)</f>
        <v>0</v>
      </c>
      <c r="N73" s="39">
        <f>+'FY24'!N73*(1+MYP!$M$10)</f>
        <v>0</v>
      </c>
      <c r="O73" s="39">
        <f>+'FY24'!O73*(1+MYP!$M$10)</f>
        <v>0</v>
      </c>
      <c r="P73" s="39">
        <f>+'FY24'!P73*(1+MYP!$M$10)</f>
        <v>0</v>
      </c>
      <c r="Q73" s="100"/>
      <c r="R73" s="41"/>
      <c r="S73" s="59">
        <f t="shared" si="20"/>
        <v>0</v>
      </c>
      <c r="T73" s="41"/>
      <c r="U73" s="39">
        <f>'FY24'!S73</f>
        <v>0</v>
      </c>
      <c r="V73" s="39">
        <f t="shared" si="21"/>
        <v>0</v>
      </c>
      <c r="W73" s="39"/>
    </row>
    <row r="74" spans="3:23" s="37" customFormat="1" ht="12" x14ac:dyDescent="0.2">
      <c r="C74" s="38"/>
      <c r="E74" s="50">
        <f>SUBTOTAL(9,E64:E73)</f>
        <v>5404.292970720001</v>
      </c>
      <c r="F74" s="50">
        <f t="shared" ref="F74:V74" si="22">SUBTOTAL(9,F64:F73)</f>
        <v>1187.78889024</v>
      </c>
      <c r="G74" s="50">
        <f t="shared" si="22"/>
        <v>1187.78889024</v>
      </c>
      <c r="H74" s="50">
        <f t="shared" si="22"/>
        <v>1187.78889024</v>
      </c>
      <c r="I74" s="50">
        <f t="shared" si="22"/>
        <v>1187.78889024</v>
      </c>
      <c r="J74" s="50">
        <f t="shared" si="22"/>
        <v>1187.78889024</v>
      </c>
      <c r="K74" s="50">
        <f t="shared" si="22"/>
        <v>1187.78889024</v>
      </c>
      <c r="L74" s="50">
        <f t="shared" si="22"/>
        <v>1187.78889024</v>
      </c>
      <c r="M74" s="50">
        <f t="shared" si="22"/>
        <v>1187.78889024</v>
      </c>
      <c r="N74" s="50">
        <f t="shared" si="22"/>
        <v>1187.78889024</v>
      </c>
      <c r="O74" s="50">
        <f t="shared" si="22"/>
        <v>1187.78889024</v>
      </c>
      <c r="P74" s="50">
        <f t="shared" si="22"/>
        <v>1187.78889024</v>
      </c>
      <c r="Q74" s="99"/>
      <c r="R74" s="41"/>
      <c r="S74" s="61">
        <f t="shared" si="22"/>
        <v>18469.970763359997</v>
      </c>
      <c r="T74" s="41"/>
      <c r="U74" s="50">
        <f t="shared" si="22"/>
        <v>18192.549768000008</v>
      </c>
      <c r="V74" s="50">
        <f t="shared" si="22"/>
        <v>-277.42099535999137</v>
      </c>
      <c r="W74" s="39"/>
    </row>
    <row r="75" spans="3:23" s="37" customFormat="1" ht="12" x14ac:dyDescent="0.2">
      <c r="C75" s="49" t="s">
        <v>100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100"/>
      <c r="R75" s="41"/>
      <c r="S75" s="59"/>
      <c r="T75" s="41"/>
      <c r="U75" s="39"/>
      <c r="V75" s="39"/>
      <c r="W75" s="39"/>
    </row>
    <row r="76" spans="3:23" s="37" customFormat="1" ht="12" x14ac:dyDescent="0.2">
      <c r="C76" s="199">
        <v>6410</v>
      </c>
      <c r="D76" s="37" t="s">
        <v>19</v>
      </c>
      <c r="E76" s="39">
        <f>+'FY24'!E76*(1+MYP!$M$10)</f>
        <v>54.121608000000002</v>
      </c>
      <c r="F76" s="39">
        <f>+'FY24'!F76*(1+MYP!$M$10)</f>
        <v>54.121608000000002</v>
      </c>
      <c r="G76" s="39">
        <f>+'FY24'!G76*(1+MYP!$M$10)</f>
        <v>54.121608000000002</v>
      </c>
      <c r="H76" s="39">
        <f>+'FY24'!H76*(1+MYP!$M$10)</f>
        <v>54.121608000000002</v>
      </c>
      <c r="I76" s="39">
        <f>+'FY24'!I76*(1+MYP!$M$10)</f>
        <v>54.121608000000002</v>
      </c>
      <c r="J76" s="39">
        <f>+'FY24'!J76*(1+MYP!$M$10)</f>
        <v>54.121608000000002</v>
      </c>
      <c r="K76" s="39">
        <f>+'FY24'!K76*(1+MYP!$M$10)</f>
        <v>54.121608000000002</v>
      </c>
      <c r="L76" s="39">
        <f>+'FY24'!L76*(1+MYP!$M$10)</f>
        <v>54.121608000000002</v>
      </c>
      <c r="M76" s="39">
        <f>+'FY24'!M76*(1+MYP!$M$10)</f>
        <v>54.121608000000002</v>
      </c>
      <c r="N76" s="39">
        <f>+'FY24'!N76*(1+MYP!$M$10)</f>
        <v>54.121608000000002</v>
      </c>
      <c r="O76" s="39">
        <f>+'FY24'!O76*(1+MYP!$M$10)</f>
        <v>54.121608000000002</v>
      </c>
      <c r="P76" s="39">
        <f>+'FY24'!P76*(1+MYP!$M$10)</f>
        <v>54.121608000000002</v>
      </c>
      <c r="Q76" s="100"/>
      <c r="R76" s="41"/>
      <c r="S76" s="59">
        <f t="shared" ref="S76:S79" si="23">SUM(E76:Q76)</f>
        <v>649.45929599999999</v>
      </c>
      <c r="T76" s="41"/>
      <c r="U76" s="39">
        <f>'FY24'!S76</f>
        <v>636.72479999999996</v>
      </c>
      <c r="V76" s="39">
        <f t="shared" ref="V76:V79" si="24">U76-S76</f>
        <v>-12.734496000000036</v>
      </c>
      <c r="W76" s="39"/>
    </row>
    <row r="77" spans="3:23" s="37" customFormat="1" ht="12" x14ac:dyDescent="0.2">
      <c r="C77" s="199">
        <v>6420</v>
      </c>
      <c r="D77" s="37" t="s">
        <v>20</v>
      </c>
      <c r="E77" s="39">
        <f>+'FY24'!E77*(1+MYP!$M$10)</f>
        <v>108.243216</v>
      </c>
      <c r="F77" s="39">
        <f>+'FY24'!F77*(1+MYP!$M$10)</f>
        <v>108.243216</v>
      </c>
      <c r="G77" s="39">
        <f>+'FY24'!G77*(1+MYP!$M$10)</f>
        <v>216.48643200000001</v>
      </c>
      <c r="H77" s="39">
        <f>+'FY24'!H77*(1+MYP!$M$10)</f>
        <v>108.243216</v>
      </c>
      <c r="I77" s="39">
        <f>+'FY24'!I77*(1+MYP!$M$10)</f>
        <v>108.243216</v>
      </c>
      <c r="J77" s="39">
        <f>+'FY24'!J77*(1+MYP!$M$10)</f>
        <v>216.48643200000001</v>
      </c>
      <c r="K77" s="39">
        <f>+'FY24'!K77*(1+MYP!$M$10)</f>
        <v>108.243216</v>
      </c>
      <c r="L77" s="39">
        <f>+'FY24'!L77*(1+MYP!$M$10)</f>
        <v>108.243216</v>
      </c>
      <c r="M77" s="39">
        <f>+'FY24'!M77*(1+MYP!$M$10)</f>
        <v>216.48643200000001</v>
      </c>
      <c r="N77" s="39">
        <f>+'FY24'!N77*(1+MYP!$M$10)</f>
        <v>108.243216</v>
      </c>
      <c r="O77" s="39">
        <f>+'FY24'!O77*(1+MYP!$M$10)</f>
        <v>108.243216</v>
      </c>
      <c r="P77" s="39">
        <f>+'FY24'!P77*(1+MYP!$M$10)</f>
        <v>216.48643200000001</v>
      </c>
      <c r="Q77" s="100"/>
      <c r="R77" s="41"/>
      <c r="S77" s="59">
        <f t="shared" si="23"/>
        <v>1731.8914560000001</v>
      </c>
      <c r="T77" s="41"/>
      <c r="U77" s="39">
        <f>'FY24'!S77</f>
        <v>1697.9328</v>
      </c>
      <c r="V77" s="39">
        <f t="shared" si="24"/>
        <v>-33.958656000000019</v>
      </c>
      <c r="W77" s="39"/>
    </row>
    <row r="78" spans="3:23" s="37" customFormat="1" ht="12" x14ac:dyDescent="0.2">
      <c r="C78" s="199">
        <v>6430</v>
      </c>
      <c r="D78" s="37" t="s">
        <v>21</v>
      </c>
      <c r="E78" s="39">
        <f>+'FY24'!E78*(1+MYP!$M$10)</f>
        <v>0</v>
      </c>
      <c r="F78" s="39">
        <f>+'FY24'!F78*(1+MYP!$M$10)</f>
        <v>0</v>
      </c>
      <c r="G78" s="39">
        <f>+'FY24'!G78*(1+MYP!$M$10)</f>
        <v>0</v>
      </c>
      <c r="H78" s="39">
        <f>+'FY24'!H78*(1+MYP!$M$10)</f>
        <v>0</v>
      </c>
      <c r="I78" s="39">
        <f>+'FY24'!I78*(1+MYP!$M$10)</f>
        <v>2955.0397967999997</v>
      </c>
      <c r="J78" s="39">
        <f>+'FY24'!J78*(1+MYP!$M$10)</f>
        <v>0</v>
      </c>
      <c r="K78" s="39">
        <f>+'FY24'!K78*(1+MYP!$M$10)</f>
        <v>0</v>
      </c>
      <c r="L78" s="39">
        <f>+'FY24'!L78*(1+MYP!$M$10)</f>
        <v>0</v>
      </c>
      <c r="M78" s="39">
        <f>+'FY24'!M78*(1+MYP!$M$10)</f>
        <v>0</v>
      </c>
      <c r="N78" s="39">
        <f>+'FY24'!N78*(1+MYP!$M$10)</f>
        <v>135.30402000000001</v>
      </c>
      <c r="O78" s="39">
        <f>+'FY24'!O78*(1+MYP!$M$10)</f>
        <v>0</v>
      </c>
      <c r="P78" s="39">
        <f>+'FY24'!P78*(1+MYP!$M$10)</f>
        <v>0</v>
      </c>
      <c r="Q78" s="100"/>
      <c r="R78" s="41"/>
      <c r="S78" s="59">
        <f t="shared" si="23"/>
        <v>3090.3438167999998</v>
      </c>
      <c r="T78" s="41"/>
      <c r="U78" s="39">
        <f>'FY24'!S78</f>
        <v>3029.7488399999997</v>
      </c>
      <c r="V78" s="39">
        <f t="shared" si="24"/>
        <v>-60.59497680000004</v>
      </c>
      <c r="W78" s="39"/>
    </row>
    <row r="79" spans="3:23" s="37" customFormat="1" ht="12" x14ac:dyDescent="0.2">
      <c r="C79" s="199">
        <v>6441</v>
      </c>
      <c r="D79" s="37" t="s">
        <v>22</v>
      </c>
      <c r="E79" s="39">
        <f>+'FY24'!E79*(1+MYP!$M$10)</f>
        <v>2955.0397967999997</v>
      </c>
      <c r="F79" s="39">
        <f>+'FY24'!F79*(1+MYP!$M$10)</f>
        <v>2955.0397967999997</v>
      </c>
      <c r="G79" s="39">
        <f>+'FY24'!G79*(1+MYP!$M$10)</f>
        <v>2955.0397967999997</v>
      </c>
      <c r="H79" s="39">
        <f>+'FY24'!H79*(1+MYP!$M$10)</f>
        <v>2955.0397967999997</v>
      </c>
      <c r="I79" s="39">
        <f>+'FY24'!I79*(1+MYP!$M$10)</f>
        <v>2955.0397967999997</v>
      </c>
      <c r="J79" s="39">
        <f>+'FY24'!J79*(1+MYP!$M$10)</f>
        <v>2955.0397967999997</v>
      </c>
      <c r="K79" s="39">
        <f>+'FY24'!K79*(1+MYP!$M$10)</f>
        <v>2955.0397967999997</v>
      </c>
      <c r="L79" s="39">
        <f>+'FY24'!L79*(1+MYP!$M$10)</f>
        <v>2955.0397967999997</v>
      </c>
      <c r="M79" s="39">
        <f>+'FY24'!M79*(1+MYP!$M$10)</f>
        <v>2955.0397967999997</v>
      </c>
      <c r="N79" s="39">
        <f>+'FY24'!N79*(1+MYP!$M$10)</f>
        <v>2955.0397967999997</v>
      </c>
      <c r="O79" s="39">
        <f>+'FY24'!O79*(1+MYP!$M$10)</f>
        <v>4037.4719568</v>
      </c>
      <c r="P79" s="39">
        <f>+'FY24'!P79*(1+MYP!$M$10)</f>
        <v>2955.0397967999997</v>
      </c>
      <c r="Q79" s="100"/>
      <c r="R79" s="41"/>
      <c r="S79" s="59">
        <f t="shared" si="23"/>
        <v>36542.909721599994</v>
      </c>
      <c r="T79" s="41"/>
      <c r="U79" s="39">
        <f>'FY24'!S79</f>
        <v>35826.382079999996</v>
      </c>
      <c r="V79" s="39">
        <f t="shared" si="24"/>
        <v>-716.52764159999788</v>
      </c>
      <c r="W79" s="39"/>
    </row>
    <row r="80" spans="3:23" s="37" customFormat="1" ht="12" x14ac:dyDescent="0.2">
      <c r="C80" s="38"/>
      <c r="E80" s="50">
        <f>SUBTOTAL(9,E76:E79)</f>
        <v>3117.4046208</v>
      </c>
      <c r="F80" s="50">
        <f t="shared" ref="F80:V80" si="25">SUBTOTAL(9,F76:F79)</f>
        <v>3117.4046208</v>
      </c>
      <c r="G80" s="50">
        <f t="shared" si="25"/>
        <v>3225.6478367999998</v>
      </c>
      <c r="H80" s="50">
        <f t="shared" si="25"/>
        <v>3117.4046208</v>
      </c>
      <c r="I80" s="50">
        <f t="shared" si="25"/>
        <v>6072.4444175999997</v>
      </c>
      <c r="J80" s="50">
        <f t="shared" si="25"/>
        <v>3225.6478367999998</v>
      </c>
      <c r="K80" s="50">
        <f t="shared" si="25"/>
        <v>3117.4046208</v>
      </c>
      <c r="L80" s="50">
        <f t="shared" si="25"/>
        <v>3117.4046208</v>
      </c>
      <c r="M80" s="50">
        <f t="shared" si="25"/>
        <v>3225.6478367999998</v>
      </c>
      <c r="N80" s="50">
        <f t="shared" si="25"/>
        <v>3252.7086407999996</v>
      </c>
      <c r="O80" s="50">
        <f t="shared" si="25"/>
        <v>4199.8367808000003</v>
      </c>
      <c r="P80" s="50">
        <f t="shared" si="25"/>
        <v>3225.6478367999998</v>
      </c>
      <c r="Q80" s="99"/>
      <c r="R80" s="41"/>
      <c r="S80" s="61">
        <f t="shared" si="25"/>
        <v>42014.604290399991</v>
      </c>
      <c r="T80" s="41"/>
      <c r="U80" s="50">
        <f t="shared" si="25"/>
        <v>41190.788519999995</v>
      </c>
      <c r="V80" s="50">
        <f t="shared" si="25"/>
        <v>-823.81577039999797</v>
      </c>
      <c r="W80" s="39"/>
    </row>
    <row r="81" spans="3:23" s="37" customFormat="1" ht="12" x14ac:dyDescent="0.2">
      <c r="C81" s="49" t="s">
        <v>101</v>
      </c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100"/>
      <c r="R81" s="41"/>
      <c r="S81" s="59"/>
      <c r="T81" s="41"/>
      <c r="U81" s="39"/>
      <c r="V81" s="39"/>
      <c r="W81" s="39"/>
    </row>
    <row r="82" spans="3:23" s="37" customFormat="1" ht="12" x14ac:dyDescent="0.2">
      <c r="C82" s="199">
        <v>6519</v>
      </c>
      <c r="D82" s="37" t="s">
        <v>235</v>
      </c>
      <c r="E82" s="39">
        <f>+'FY24'!E82*(1+MYP!$M$10)</f>
        <v>0</v>
      </c>
      <c r="F82" s="39">
        <f>+'FY24'!F82*(1+MYP!$M$10)</f>
        <v>0</v>
      </c>
      <c r="G82" s="39">
        <f>+'FY24'!G82*(1+MYP!$M$10)</f>
        <v>0</v>
      </c>
      <c r="H82" s="39">
        <f>+'FY24'!H82*(1+MYP!$M$10)</f>
        <v>0</v>
      </c>
      <c r="I82" s="39">
        <f>+'FY24'!I82*(1+MYP!$M$10)</f>
        <v>0</v>
      </c>
      <c r="J82" s="39">
        <f>+'FY24'!J82*(1+MYP!$M$10)</f>
        <v>0</v>
      </c>
      <c r="K82" s="39">
        <f>+'FY24'!K82*(1+MYP!$M$10)</f>
        <v>0</v>
      </c>
      <c r="L82" s="39">
        <f>+'FY24'!L82*(1+MYP!$M$10)</f>
        <v>0</v>
      </c>
      <c r="M82" s="39">
        <f>+'FY24'!M82*(1+MYP!$M$10)</f>
        <v>0</v>
      </c>
      <c r="N82" s="39">
        <f>+'FY24'!N82*(1+MYP!$M$10)</f>
        <v>0</v>
      </c>
      <c r="O82" s="39">
        <f>+'FY24'!O82*(1+MYP!$M$10)</f>
        <v>0</v>
      </c>
      <c r="P82" s="39">
        <f>+'FY24'!P82*(1+MYP!$M$10)</f>
        <v>0</v>
      </c>
      <c r="Q82" s="100"/>
      <c r="R82" s="41"/>
      <c r="S82" s="59">
        <f t="shared" ref="S82:S93" si="26">SUM(E82:Q82)</f>
        <v>0</v>
      </c>
      <c r="T82" s="41"/>
      <c r="U82" s="39">
        <f>'FY24'!S82</f>
        <v>0</v>
      </c>
      <c r="V82" s="39">
        <f t="shared" ref="V82:V93" si="27">U82-S82</f>
        <v>0</v>
      </c>
      <c r="W82" s="39"/>
    </row>
    <row r="83" spans="3:23" s="37" customFormat="1" ht="12" x14ac:dyDescent="0.2">
      <c r="C83" s="199">
        <v>6521</v>
      </c>
      <c r="D83" s="37" t="s">
        <v>24</v>
      </c>
      <c r="E83" s="39">
        <f>+'FY24'!E83*(1+MYP!$M$10)</f>
        <v>0</v>
      </c>
      <c r="F83" s="39">
        <f>+'FY24'!F83*(1+MYP!$M$10)</f>
        <v>0</v>
      </c>
      <c r="G83" s="39">
        <f>+'FY24'!G83*(1+MYP!$M$10)</f>
        <v>0</v>
      </c>
      <c r="H83" s="39">
        <f>+'FY24'!H83*(1+MYP!$M$10)</f>
        <v>0</v>
      </c>
      <c r="I83" s="39">
        <f>+'FY24'!I83*(1+MYP!$M$10)</f>
        <v>0</v>
      </c>
      <c r="J83" s="39">
        <f>+'FY24'!J83*(1+MYP!$M$10)</f>
        <v>0</v>
      </c>
      <c r="K83" s="39">
        <f>+'FY24'!K83*(1+MYP!$M$10)</f>
        <v>0</v>
      </c>
      <c r="L83" s="39">
        <f>+'FY24'!L83*(1+MYP!$M$10)</f>
        <v>0</v>
      </c>
      <c r="M83" s="39">
        <f>+'FY24'!M83*(1+MYP!$M$10)</f>
        <v>0</v>
      </c>
      <c r="N83" s="39">
        <f>+'FY24'!N83*(1+MYP!$M$10)</f>
        <v>0</v>
      </c>
      <c r="O83" s="39">
        <f>+'FY24'!O83*(1+MYP!$M$10)</f>
        <v>0</v>
      </c>
      <c r="P83" s="39">
        <f>+'FY24'!P83*(1+MYP!$M$10)</f>
        <v>0</v>
      </c>
      <c r="Q83" s="100"/>
      <c r="R83" s="41"/>
      <c r="S83" s="59">
        <f t="shared" si="26"/>
        <v>0</v>
      </c>
      <c r="T83" s="41"/>
      <c r="U83" s="39">
        <f>'FY24'!S83</f>
        <v>0</v>
      </c>
      <c r="V83" s="39">
        <f t="shared" si="27"/>
        <v>0</v>
      </c>
      <c r="W83" s="39"/>
    </row>
    <row r="84" spans="3:23" s="37" customFormat="1" ht="12" x14ac:dyDescent="0.2">
      <c r="C84" s="199">
        <v>6522</v>
      </c>
      <c r="D84" s="37" t="s">
        <v>25</v>
      </c>
      <c r="E84" s="39">
        <f>+'FY24'!E84*(1+MYP!$M$10)</f>
        <v>0</v>
      </c>
      <c r="F84" s="39">
        <f>+'FY24'!F84*(1+MYP!$M$10)</f>
        <v>0</v>
      </c>
      <c r="G84" s="39">
        <f>+'FY24'!G84*(1+MYP!$M$10)</f>
        <v>0</v>
      </c>
      <c r="H84" s="39">
        <f>+'FY24'!H84*(1+MYP!$M$10)</f>
        <v>0</v>
      </c>
      <c r="I84" s="39">
        <f>+'FY24'!I84*(1+MYP!$M$10)</f>
        <v>0</v>
      </c>
      <c r="J84" s="39">
        <f>+'FY24'!J84*(1+MYP!$M$10)</f>
        <v>0</v>
      </c>
      <c r="K84" s="39">
        <f>+'FY24'!K84*(1+MYP!$M$10)</f>
        <v>0</v>
      </c>
      <c r="L84" s="39">
        <f>+'FY24'!L84*(1+MYP!$M$10)</f>
        <v>0</v>
      </c>
      <c r="M84" s="39">
        <f>+'FY24'!M84*(1+MYP!$M$10)</f>
        <v>0</v>
      </c>
      <c r="N84" s="39">
        <f>+'FY24'!N84*(1+MYP!$M$10)</f>
        <v>0</v>
      </c>
      <c r="O84" s="39">
        <f>+'FY24'!O84*(1+MYP!$M$10)</f>
        <v>0</v>
      </c>
      <c r="P84" s="39">
        <f>+'FY24'!P84*(1+MYP!$M$10)</f>
        <v>0</v>
      </c>
      <c r="Q84" s="100"/>
      <c r="R84" s="41"/>
      <c r="S84" s="59">
        <f t="shared" si="26"/>
        <v>0</v>
      </c>
      <c r="T84" s="41"/>
      <c r="U84" s="39">
        <f>'FY24'!S84</f>
        <v>0</v>
      </c>
      <c r="V84" s="39">
        <f t="shared" si="27"/>
        <v>0</v>
      </c>
      <c r="W84" s="39"/>
    </row>
    <row r="85" spans="3:23" s="37" customFormat="1" ht="12" x14ac:dyDescent="0.2">
      <c r="C85" s="199">
        <v>6523</v>
      </c>
      <c r="D85" s="37" t="s">
        <v>26</v>
      </c>
      <c r="E85" s="39">
        <f>+'FY24'!E85*(1+MYP!$M$10)</f>
        <v>0</v>
      </c>
      <c r="F85" s="39">
        <f>+'FY24'!F85*(1+MYP!$M$10)</f>
        <v>0</v>
      </c>
      <c r="G85" s="39">
        <f>+'FY24'!G85*(1+MYP!$M$10)</f>
        <v>0</v>
      </c>
      <c r="H85" s="39">
        <f>+'FY24'!H85*(1+MYP!$M$10)</f>
        <v>0</v>
      </c>
      <c r="I85" s="39">
        <f>+'FY24'!I85*(1+MYP!$M$10)</f>
        <v>0</v>
      </c>
      <c r="J85" s="39">
        <f>+'FY24'!J85*(1+MYP!$M$10)</f>
        <v>0</v>
      </c>
      <c r="K85" s="39">
        <f>+'FY24'!K85*(1+MYP!$M$10)</f>
        <v>0</v>
      </c>
      <c r="L85" s="39">
        <f>+'FY24'!L85*(1+MYP!$M$10)</f>
        <v>0</v>
      </c>
      <c r="M85" s="39">
        <f>+'FY24'!M85*(1+MYP!$M$10)</f>
        <v>0</v>
      </c>
      <c r="N85" s="39">
        <f>+'FY24'!N85*(1+MYP!$M$10)</f>
        <v>0</v>
      </c>
      <c r="O85" s="39">
        <f>+'FY24'!O85*(1+MYP!$M$10)</f>
        <v>0</v>
      </c>
      <c r="P85" s="39">
        <f>+'FY24'!P85*(1+MYP!$M$10)</f>
        <v>0</v>
      </c>
      <c r="Q85" s="100"/>
      <c r="R85" s="41"/>
      <c r="S85" s="59">
        <f t="shared" si="26"/>
        <v>0</v>
      </c>
      <c r="T85" s="41"/>
      <c r="U85" s="39">
        <f>'FY24'!S85</f>
        <v>0</v>
      </c>
      <c r="V85" s="39">
        <f t="shared" si="27"/>
        <v>0</v>
      </c>
      <c r="W85" s="39"/>
    </row>
    <row r="86" spans="3:23" s="37" customFormat="1" ht="12" x14ac:dyDescent="0.2">
      <c r="C86" s="199">
        <v>6531</v>
      </c>
      <c r="D86" s="37" t="s">
        <v>27</v>
      </c>
      <c r="E86" s="39">
        <f>+'FY24'!E86*(1+MYP!$M$10)</f>
        <v>0</v>
      </c>
      <c r="F86" s="39">
        <f>+'FY24'!F86*(1+MYP!$M$10)</f>
        <v>0</v>
      </c>
      <c r="G86" s="39">
        <f>+'FY24'!G86*(1+MYP!$M$10)</f>
        <v>0</v>
      </c>
      <c r="H86" s="39">
        <f>+'FY24'!H86*(1+MYP!$M$10)</f>
        <v>0</v>
      </c>
      <c r="I86" s="39">
        <f>+'FY24'!I86*(1+MYP!$M$10)</f>
        <v>0</v>
      </c>
      <c r="J86" s="39">
        <f>+'FY24'!J86*(1+MYP!$M$10)</f>
        <v>0</v>
      </c>
      <c r="K86" s="39">
        <f>+'FY24'!K86*(1+MYP!$M$10)</f>
        <v>0</v>
      </c>
      <c r="L86" s="39">
        <f>+'FY24'!L86*(1+MYP!$M$10)</f>
        <v>0</v>
      </c>
      <c r="M86" s="39">
        <f>+'FY24'!M86*(1+MYP!$M$10)</f>
        <v>0</v>
      </c>
      <c r="N86" s="39">
        <f>+'FY24'!N86*(1+MYP!$M$10)</f>
        <v>0</v>
      </c>
      <c r="O86" s="39">
        <f>+'FY24'!O86*(1+MYP!$M$10)</f>
        <v>0</v>
      </c>
      <c r="P86" s="39">
        <f>+'FY24'!P86*(1+MYP!$M$10)</f>
        <v>0</v>
      </c>
      <c r="Q86" s="100"/>
      <c r="R86" s="41"/>
      <c r="S86" s="59">
        <f t="shared" si="26"/>
        <v>0</v>
      </c>
      <c r="T86" s="41"/>
      <c r="U86" s="39">
        <f>'FY24'!S86</f>
        <v>0</v>
      </c>
      <c r="V86" s="39">
        <f t="shared" si="27"/>
        <v>0</v>
      </c>
      <c r="W86" s="39"/>
    </row>
    <row r="87" spans="3:23" s="37" customFormat="1" ht="12" x14ac:dyDescent="0.2">
      <c r="C87" s="199">
        <v>6534</v>
      </c>
      <c r="D87" s="37" t="s">
        <v>28</v>
      </c>
      <c r="E87" s="39">
        <f>+'FY24'!E87*(1+MYP!$M$10)</f>
        <v>0</v>
      </c>
      <c r="F87" s="39">
        <f>+'FY24'!F87*(1+MYP!$M$10)</f>
        <v>0</v>
      </c>
      <c r="G87" s="39">
        <f>+'FY24'!G87*(1+MYP!$M$10)</f>
        <v>0</v>
      </c>
      <c r="H87" s="39">
        <f>+'FY24'!H87*(1+MYP!$M$10)</f>
        <v>0</v>
      </c>
      <c r="I87" s="39">
        <f>+'FY24'!I87*(1+MYP!$M$10)</f>
        <v>0</v>
      </c>
      <c r="J87" s="39">
        <f>+'FY24'!J87*(1+MYP!$M$10)</f>
        <v>0</v>
      </c>
      <c r="K87" s="39">
        <f>+'FY24'!K87*(1+MYP!$M$10)</f>
        <v>0</v>
      </c>
      <c r="L87" s="39">
        <f>+'FY24'!L87*(1+MYP!$M$10)</f>
        <v>0</v>
      </c>
      <c r="M87" s="39">
        <f>+'FY24'!M87*(1+MYP!$M$10)</f>
        <v>0</v>
      </c>
      <c r="N87" s="39">
        <f>+'FY24'!N87*(1+MYP!$M$10)</f>
        <v>0</v>
      </c>
      <c r="O87" s="39">
        <f>+'FY24'!O87*(1+MYP!$M$10)</f>
        <v>0</v>
      </c>
      <c r="P87" s="39">
        <f>+'FY24'!P87*(1+MYP!$M$10)</f>
        <v>0</v>
      </c>
      <c r="Q87" s="100"/>
      <c r="R87" s="41"/>
      <c r="S87" s="59">
        <f t="shared" si="26"/>
        <v>0</v>
      </c>
      <c r="T87" s="41"/>
      <c r="U87" s="39">
        <f>'FY24'!S87</f>
        <v>0</v>
      </c>
      <c r="V87" s="39">
        <f t="shared" si="27"/>
        <v>0</v>
      </c>
      <c r="W87" s="39"/>
    </row>
    <row r="88" spans="3:23" s="37" customFormat="1" ht="12" x14ac:dyDescent="0.2">
      <c r="C88" s="199">
        <v>6535</v>
      </c>
      <c r="D88" s="37" t="s">
        <v>236</v>
      </c>
      <c r="E88" s="39">
        <f>+'FY24'!E88*(1+MYP!$M$10)</f>
        <v>326.89451232000005</v>
      </c>
      <c r="F88" s="39">
        <f>+'FY24'!F88*(1+MYP!$M$10)</f>
        <v>326.89451232000005</v>
      </c>
      <c r="G88" s="39">
        <f>+'FY24'!G88*(1+MYP!$M$10)</f>
        <v>326.89451232000005</v>
      </c>
      <c r="H88" s="39">
        <f>+'FY24'!H88*(1+MYP!$M$10)</f>
        <v>326.89451232000005</v>
      </c>
      <c r="I88" s="39">
        <f>+'FY24'!I88*(1+MYP!$M$10)</f>
        <v>326.89451232000005</v>
      </c>
      <c r="J88" s="39">
        <f>+'FY24'!J88*(1+MYP!$M$10)</f>
        <v>326.89451232000005</v>
      </c>
      <c r="K88" s="39">
        <f>+'FY24'!K88*(1+MYP!$M$10)</f>
        <v>326.89451232000005</v>
      </c>
      <c r="L88" s="39">
        <f>+'FY24'!L88*(1+MYP!$M$10)</f>
        <v>326.89451232000005</v>
      </c>
      <c r="M88" s="39">
        <f>+'FY24'!M88*(1+MYP!$M$10)</f>
        <v>326.89451232000005</v>
      </c>
      <c r="N88" s="39">
        <f>+'FY24'!N88*(1+MYP!$M$10)</f>
        <v>326.89451232000005</v>
      </c>
      <c r="O88" s="39">
        <f>+'FY24'!O88*(1+MYP!$M$10)</f>
        <v>326.89451232000005</v>
      </c>
      <c r="P88" s="39">
        <f>+'FY24'!P88*(1+MYP!$M$10)</f>
        <v>326.89451232000005</v>
      </c>
      <c r="Q88" s="100"/>
      <c r="R88" s="41"/>
      <c r="S88" s="59">
        <f t="shared" si="26"/>
        <v>3922.7341478400008</v>
      </c>
      <c r="T88" s="41"/>
      <c r="U88" s="39">
        <f>'FY24'!S88</f>
        <v>3845.8177920000012</v>
      </c>
      <c r="V88" s="39">
        <f t="shared" si="27"/>
        <v>-76.916355839999596</v>
      </c>
      <c r="W88" s="39"/>
    </row>
    <row r="89" spans="3:23" s="37" customFormat="1" ht="12" x14ac:dyDescent="0.2">
      <c r="C89" s="199">
        <v>6540</v>
      </c>
      <c r="D89" s="37" t="s">
        <v>30</v>
      </c>
      <c r="E89" s="39">
        <f>+'FY24'!E89*(1+MYP!$M$10)</f>
        <v>0</v>
      </c>
      <c r="F89" s="39">
        <f>+'FY24'!F89*(1+MYP!$M$10)</f>
        <v>0</v>
      </c>
      <c r="G89" s="39">
        <f>+'FY24'!G89*(1+MYP!$M$10)</f>
        <v>0</v>
      </c>
      <c r="H89" s="39">
        <f>+'FY24'!H89*(1+MYP!$M$10)</f>
        <v>0</v>
      </c>
      <c r="I89" s="39">
        <f>+'FY24'!I89*(1+MYP!$M$10)</f>
        <v>0</v>
      </c>
      <c r="J89" s="39">
        <f>+'FY24'!J89*(1+MYP!$M$10)</f>
        <v>0</v>
      </c>
      <c r="K89" s="39">
        <f>+'FY24'!K89*(1+MYP!$M$10)</f>
        <v>0</v>
      </c>
      <c r="L89" s="39">
        <f>+'FY24'!L89*(1+MYP!$M$10)</f>
        <v>0</v>
      </c>
      <c r="M89" s="39">
        <f>+'FY24'!M89*(1+MYP!$M$10)</f>
        <v>0</v>
      </c>
      <c r="N89" s="39">
        <f>+'FY24'!N89*(1+MYP!$M$10)</f>
        <v>0</v>
      </c>
      <c r="O89" s="39">
        <f>+'FY24'!O89*(1+MYP!$M$10)</f>
        <v>0</v>
      </c>
      <c r="P89" s="39">
        <f>+'FY24'!P89*(1+MYP!$M$10)</f>
        <v>0</v>
      </c>
      <c r="Q89" s="100"/>
      <c r="R89" s="41"/>
      <c r="S89" s="59">
        <f t="shared" si="26"/>
        <v>0</v>
      </c>
      <c r="T89" s="41"/>
      <c r="U89" s="39">
        <f>'FY24'!S89</f>
        <v>0</v>
      </c>
      <c r="V89" s="39">
        <f t="shared" si="27"/>
        <v>0</v>
      </c>
      <c r="W89" s="39"/>
    </row>
    <row r="90" spans="3:23" s="37" customFormat="1" ht="12" x14ac:dyDescent="0.2">
      <c r="C90" s="199">
        <v>6550</v>
      </c>
      <c r="D90" s="37" t="s">
        <v>31</v>
      </c>
      <c r="E90" s="39">
        <f>+'FY24'!E90*(1+MYP!$M$10)</f>
        <v>0</v>
      </c>
      <c r="F90" s="39">
        <f>+'FY24'!F90*(1+MYP!$M$10)</f>
        <v>0</v>
      </c>
      <c r="G90" s="39">
        <f>+'FY24'!G90*(1+MYP!$M$10)</f>
        <v>0</v>
      </c>
      <c r="H90" s="39">
        <f>+'FY24'!H90*(1+MYP!$M$10)</f>
        <v>0</v>
      </c>
      <c r="I90" s="39">
        <f>+'FY24'!I90*(1+MYP!$M$10)</f>
        <v>0</v>
      </c>
      <c r="J90" s="39">
        <f>+'FY24'!J90*(1+MYP!$M$10)</f>
        <v>0</v>
      </c>
      <c r="K90" s="39">
        <f>+'FY24'!K90*(1+MYP!$M$10)</f>
        <v>0</v>
      </c>
      <c r="L90" s="39">
        <f>+'FY24'!L90*(1+MYP!$M$10)</f>
        <v>0</v>
      </c>
      <c r="M90" s="39">
        <f>+'FY24'!M90*(1+MYP!$M$10)</f>
        <v>0</v>
      </c>
      <c r="N90" s="39">
        <f>+'FY24'!N90*(1+MYP!$M$10)</f>
        <v>0</v>
      </c>
      <c r="O90" s="39">
        <f>+'FY24'!O90*(1+MYP!$M$10)</f>
        <v>0</v>
      </c>
      <c r="P90" s="39">
        <f>+'FY24'!P90*(1+MYP!$M$10)</f>
        <v>0</v>
      </c>
      <c r="Q90" s="100"/>
      <c r="R90" s="41"/>
      <c r="S90" s="59">
        <f t="shared" si="26"/>
        <v>0</v>
      </c>
      <c r="T90" s="41"/>
      <c r="U90" s="39">
        <f>'FY24'!S90</f>
        <v>0</v>
      </c>
      <c r="V90" s="39">
        <f t="shared" si="27"/>
        <v>0</v>
      </c>
      <c r="W90" s="39"/>
    </row>
    <row r="91" spans="3:23" s="37" customFormat="1" ht="12" x14ac:dyDescent="0.2">
      <c r="C91" s="206">
        <v>6568</v>
      </c>
      <c r="D91" s="37" t="s">
        <v>187</v>
      </c>
      <c r="E91" s="39">
        <f>+'FY24'!E91*(1+MYP!$G$8)</f>
        <v>0</v>
      </c>
      <c r="F91" s="39">
        <f>+'FY24'!F91*(1+MYP!$G$8)</f>
        <v>0</v>
      </c>
      <c r="G91" s="39">
        <f>+'FY24'!G91*(1+MYP!$G$8)</f>
        <v>0</v>
      </c>
      <c r="H91" s="39">
        <f>+'FY24'!H91*(1+MYP!$G$8)</f>
        <v>0</v>
      </c>
      <c r="I91" s="39">
        <f>+'FY24'!I91*(1+MYP!$G$8)</f>
        <v>0</v>
      </c>
      <c r="J91" s="39">
        <f>+'FY24'!J91*(1+MYP!$G$8)</f>
        <v>0</v>
      </c>
      <c r="K91" s="39">
        <f>+'FY24'!K91*(1+MYP!$G$8)</f>
        <v>0</v>
      </c>
      <c r="L91" s="39">
        <f>+'FY24'!L91*(1+MYP!$G$8)</f>
        <v>0</v>
      </c>
      <c r="M91" s="39">
        <f>+'FY24'!M91*(1+MYP!$G$8)</f>
        <v>0</v>
      </c>
      <c r="N91" s="39">
        <f>+'FY24'!N91*(1+MYP!$G$8)</f>
        <v>0</v>
      </c>
      <c r="O91" s="39">
        <f>+'FY24'!O91*(1+MYP!$G$8)</f>
        <v>0</v>
      </c>
      <c r="P91" s="39">
        <f>+'FY24'!P91*(1+MYP!$G$8)</f>
        <v>0</v>
      </c>
      <c r="Q91" s="100"/>
      <c r="R91" s="41"/>
      <c r="S91" s="59">
        <f t="shared" ref="S91" si="28">SUM(E91:Q91)</f>
        <v>0</v>
      </c>
      <c r="T91" s="41"/>
      <c r="U91" s="39">
        <f>'FY24'!S91</f>
        <v>0</v>
      </c>
      <c r="V91" s="39">
        <f t="shared" ref="V91" si="29">U91-S91</f>
        <v>0</v>
      </c>
      <c r="W91" s="39"/>
    </row>
    <row r="92" spans="3:23" s="37" customFormat="1" ht="12" x14ac:dyDescent="0.2">
      <c r="C92" s="199">
        <v>6569</v>
      </c>
      <c r="D92" s="37" t="s">
        <v>32</v>
      </c>
      <c r="E92" s="39">
        <f>+'FY24'!E92*(1+MYP!$G$8)</f>
        <v>0</v>
      </c>
      <c r="F92" s="39">
        <f>+'FY24'!F92*(1+MYP!$G$8)</f>
        <v>0</v>
      </c>
      <c r="G92" s="39">
        <f>+'FY24'!G92*(1+MYP!$G$8)</f>
        <v>0</v>
      </c>
      <c r="H92" s="39">
        <f>+'FY24'!H92*(1+MYP!$G$8)</f>
        <v>64232.254531249979</v>
      </c>
      <c r="I92" s="39">
        <f>+'FY24'!I92*(1+MYP!$G$8)</f>
        <v>85482.680468749953</v>
      </c>
      <c r="J92" s="39">
        <f>+'FY24'!J92*(1+MYP!$G$8)</f>
        <v>-1749.0062499999997</v>
      </c>
      <c r="K92" s="39">
        <f>+'FY24'!K92*(1+MYP!$G$8)</f>
        <v>0</v>
      </c>
      <c r="L92" s="39">
        <f>+'FY24'!L92*(1+MYP!$G$8)</f>
        <v>0</v>
      </c>
      <c r="M92" s="39">
        <f>+'FY24'!M92*(1+MYP!$G$8)</f>
        <v>73545.712812499973</v>
      </c>
      <c r="N92" s="39">
        <f>+'FY24'!N92*(1+MYP!$G$8)</f>
        <v>114122.65781249998</v>
      </c>
      <c r="O92" s="39">
        <f>+'FY24'!O92*(1+MYP!$G$8)</f>
        <v>-1749.0062499999997</v>
      </c>
      <c r="P92" s="39">
        <f>+'FY24'!P92*(1+MYP!$G$8)</f>
        <v>0</v>
      </c>
      <c r="Q92" s="100"/>
      <c r="R92" s="41"/>
      <c r="S92" s="59">
        <f t="shared" si="26"/>
        <v>333885.29312499991</v>
      </c>
      <c r="T92" s="41"/>
      <c r="U92" s="39">
        <f>'FY24'!S92</f>
        <v>290335.03749999992</v>
      </c>
      <c r="V92" s="39">
        <f t="shared" si="27"/>
        <v>-43550.255624999991</v>
      </c>
      <c r="W92" s="39"/>
    </row>
    <row r="93" spans="3:23" s="37" customFormat="1" ht="12" x14ac:dyDescent="0.2">
      <c r="C93" s="199">
        <v>6580</v>
      </c>
      <c r="D93" s="37" t="s">
        <v>33</v>
      </c>
      <c r="E93" s="39">
        <f>+'FY24'!E93*(1+MYP!$M$10)</f>
        <v>0</v>
      </c>
      <c r="F93" s="39">
        <f>+'FY24'!F93*(1+MYP!$M$10)</f>
        <v>0</v>
      </c>
      <c r="G93" s="39">
        <f>+'FY24'!G93*(1+MYP!$M$10)</f>
        <v>0</v>
      </c>
      <c r="H93" s="39">
        <f>+'FY24'!H93*(1+MYP!$M$10)</f>
        <v>0</v>
      </c>
      <c r="I93" s="39">
        <f>+'FY24'!I93*(1+MYP!$M$10)</f>
        <v>0</v>
      </c>
      <c r="J93" s="39">
        <f>+'FY24'!J93*(1+MYP!$M$10)</f>
        <v>0</v>
      </c>
      <c r="K93" s="39">
        <f>+'FY24'!K93*(1+MYP!$M$10)</f>
        <v>0</v>
      </c>
      <c r="L93" s="39">
        <f>+'FY24'!L93*(1+MYP!$M$10)</f>
        <v>0</v>
      </c>
      <c r="M93" s="39">
        <f>+'FY24'!M93*(1+MYP!$M$10)</f>
        <v>0</v>
      </c>
      <c r="N93" s="39">
        <f>+'FY24'!N93*(1+MYP!$M$10)</f>
        <v>0</v>
      </c>
      <c r="O93" s="39">
        <f>+'FY24'!O93*(1+MYP!$M$10)</f>
        <v>0</v>
      </c>
      <c r="P93" s="39">
        <f>+'FY24'!P93*(1+MYP!$M$10)</f>
        <v>0</v>
      </c>
      <c r="Q93" s="100"/>
      <c r="R93" s="41"/>
      <c r="S93" s="59">
        <f t="shared" si="26"/>
        <v>0</v>
      </c>
      <c r="T93" s="41"/>
      <c r="U93" s="39">
        <f>'FY24'!S93</f>
        <v>0</v>
      </c>
      <c r="V93" s="39">
        <f t="shared" si="27"/>
        <v>0</v>
      </c>
      <c r="W93" s="39"/>
    </row>
    <row r="94" spans="3:23" s="37" customFormat="1" ht="12" x14ac:dyDescent="0.2">
      <c r="C94" s="38"/>
      <c r="E94" s="50">
        <f>SUBTOTAL(9,E82:E93)</f>
        <v>326.89451232000005</v>
      </c>
      <c r="F94" s="50">
        <f t="shared" ref="F94:V94" si="30">SUBTOTAL(9,F82:F93)</f>
        <v>326.89451232000005</v>
      </c>
      <c r="G94" s="50">
        <f t="shared" si="30"/>
        <v>326.89451232000005</v>
      </c>
      <c r="H94" s="50">
        <f t="shared" si="30"/>
        <v>64559.149043569982</v>
      </c>
      <c r="I94" s="50">
        <f t="shared" si="30"/>
        <v>85809.574981069949</v>
      </c>
      <c r="J94" s="50">
        <f t="shared" si="30"/>
        <v>-1422.1117376799996</v>
      </c>
      <c r="K94" s="50">
        <f t="shared" si="30"/>
        <v>326.89451232000005</v>
      </c>
      <c r="L94" s="50">
        <f t="shared" si="30"/>
        <v>326.89451232000005</v>
      </c>
      <c r="M94" s="50">
        <f t="shared" si="30"/>
        <v>73872.607324819968</v>
      </c>
      <c r="N94" s="50">
        <f t="shared" si="30"/>
        <v>114449.55232481998</v>
      </c>
      <c r="O94" s="50">
        <f t="shared" si="30"/>
        <v>-1422.1117376799996</v>
      </c>
      <c r="P94" s="50">
        <f t="shared" si="30"/>
        <v>326.89451232000005</v>
      </c>
      <c r="Q94" s="99"/>
      <c r="R94" s="41"/>
      <c r="S94" s="61">
        <f t="shared" si="30"/>
        <v>337808.02727283991</v>
      </c>
      <c r="T94" s="41"/>
      <c r="U94" s="50">
        <f t="shared" si="30"/>
        <v>294180.85529199993</v>
      </c>
      <c r="V94" s="50">
        <f t="shared" si="30"/>
        <v>-43627.171980839994</v>
      </c>
      <c r="W94" s="39"/>
    </row>
    <row r="95" spans="3:23" s="37" customFormat="1" ht="12" x14ac:dyDescent="0.2">
      <c r="C95" s="49" t="s">
        <v>102</v>
      </c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100"/>
      <c r="R95" s="41"/>
      <c r="S95" s="59"/>
      <c r="T95" s="41"/>
      <c r="U95" s="39"/>
      <c r="V95" s="39"/>
      <c r="W95" s="39"/>
    </row>
    <row r="96" spans="3:23" s="37" customFormat="1" ht="12" x14ac:dyDescent="0.2">
      <c r="C96" s="199">
        <v>6610</v>
      </c>
      <c r="D96" s="37" t="s">
        <v>34</v>
      </c>
      <c r="E96" s="39">
        <f>+'FY24'!E96*(1+MYP!$M$10)</f>
        <v>189.42562799999999</v>
      </c>
      <c r="F96" s="39">
        <f>+'FY24'!F96*(1+MYP!$M$10)</f>
        <v>189.42562799999999</v>
      </c>
      <c r="G96" s="39">
        <f>+'FY24'!G96*(1+MYP!$M$10)</f>
        <v>189.42562799999999</v>
      </c>
      <c r="H96" s="39">
        <f>+'FY24'!H96*(1+MYP!$M$10)</f>
        <v>397.25260272000008</v>
      </c>
      <c r="I96" s="39">
        <f>+'FY24'!I96*(1+MYP!$M$10)</f>
        <v>189.42562799999999</v>
      </c>
      <c r="J96" s="39">
        <f>+'FY24'!J96*(1+MYP!$M$10)</f>
        <v>189.42562799999999</v>
      </c>
      <c r="K96" s="39">
        <f>+'FY24'!K96*(1+MYP!$M$10)</f>
        <v>189.42562799999999</v>
      </c>
      <c r="L96" s="39">
        <f>+'FY24'!L96*(1+MYP!$M$10)</f>
        <v>189.42562799999999</v>
      </c>
      <c r="M96" s="39">
        <f>+'FY24'!M96*(1+MYP!$M$10)</f>
        <v>189.42562799999999</v>
      </c>
      <c r="N96" s="39">
        <f>+'FY24'!N96*(1+MYP!$M$10)</f>
        <v>189.42562799999999</v>
      </c>
      <c r="O96" s="39">
        <f>+'FY24'!O96*(1+MYP!$M$10)</f>
        <v>189.42562799999999</v>
      </c>
      <c r="P96" s="39">
        <f>+'FY24'!P96*(1+MYP!$M$10)</f>
        <v>189.42562799999999</v>
      </c>
      <c r="Q96" s="100"/>
      <c r="R96" s="41"/>
      <c r="S96" s="59">
        <f t="shared" ref="S96:S102" si="31">SUM(E96:Q96)</f>
        <v>2480.9345107199997</v>
      </c>
      <c r="T96" s="41"/>
      <c r="U96" s="39">
        <f>'FY24'!S96</f>
        <v>2432.288736</v>
      </c>
      <c r="V96" s="39">
        <f t="shared" ref="V96:V102" si="32">U96-S96</f>
        <v>-48.645774719999736</v>
      </c>
      <c r="W96" s="39"/>
    </row>
    <row r="97" spans="3:23" s="37" customFormat="1" ht="12" x14ac:dyDescent="0.2">
      <c r="C97" s="199">
        <v>6612</v>
      </c>
      <c r="D97" s="37" t="s">
        <v>35</v>
      </c>
      <c r="E97" s="39">
        <f>+'FY24'!E97*(1+MYP!$M$10)</f>
        <v>0</v>
      </c>
      <c r="F97" s="39">
        <f>+'FY24'!F97*(1+MYP!$M$10)</f>
        <v>0</v>
      </c>
      <c r="G97" s="39">
        <f>+'FY24'!G97*(1+MYP!$M$10)</f>
        <v>0</v>
      </c>
      <c r="H97" s="39">
        <f>+'FY24'!H97*(1+MYP!$M$10)</f>
        <v>0</v>
      </c>
      <c r="I97" s="39">
        <f>+'FY24'!I97*(1+MYP!$M$10)</f>
        <v>0</v>
      </c>
      <c r="J97" s="39">
        <f>+'FY24'!J97*(1+MYP!$M$10)</f>
        <v>0</v>
      </c>
      <c r="K97" s="39">
        <f>+'FY24'!K97*(1+MYP!$M$10)</f>
        <v>0</v>
      </c>
      <c r="L97" s="39">
        <f>+'FY24'!L97*(1+MYP!$M$10)</f>
        <v>0</v>
      </c>
      <c r="M97" s="39">
        <f>+'FY24'!M97*(1+MYP!$M$10)</f>
        <v>0</v>
      </c>
      <c r="N97" s="39">
        <f>+'FY24'!N97*(1+MYP!$M$10)</f>
        <v>0</v>
      </c>
      <c r="O97" s="39">
        <f>+'FY24'!O97*(1+MYP!$M$10)</f>
        <v>0</v>
      </c>
      <c r="P97" s="39">
        <f>+'FY24'!P97*(1+MYP!$M$10)</f>
        <v>0</v>
      </c>
      <c r="Q97" s="100"/>
      <c r="R97" s="41"/>
      <c r="S97" s="59">
        <f t="shared" si="31"/>
        <v>0</v>
      </c>
      <c r="T97" s="41"/>
      <c r="U97" s="39">
        <f>'FY24'!S97</f>
        <v>0</v>
      </c>
      <c r="V97" s="39">
        <f t="shared" si="32"/>
        <v>0</v>
      </c>
      <c r="W97" s="39"/>
    </row>
    <row r="98" spans="3:23" s="37" customFormat="1" ht="12" x14ac:dyDescent="0.2">
      <c r="C98" s="199">
        <v>6622</v>
      </c>
      <c r="D98" s="37" t="s">
        <v>36</v>
      </c>
      <c r="E98" s="39">
        <f>+'FY24'!E98*(1+MYP!$M$10)</f>
        <v>108.243216</v>
      </c>
      <c r="F98" s="39">
        <f>+'FY24'!F98*(1+MYP!$M$10)</f>
        <v>108.243216</v>
      </c>
      <c r="G98" s="39">
        <f>+'FY24'!G98*(1+MYP!$M$10)</f>
        <v>108.243216</v>
      </c>
      <c r="H98" s="39">
        <f>+'FY24'!H98*(1+MYP!$M$10)</f>
        <v>108.243216</v>
      </c>
      <c r="I98" s="39">
        <f>+'FY24'!I98*(1+MYP!$M$10)</f>
        <v>108.243216</v>
      </c>
      <c r="J98" s="39">
        <f>+'FY24'!J98*(1+MYP!$M$10)</f>
        <v>108.243216</v>
      </c>
      <c r="K98" s="39">
        <f>+'FY24'!K98*(1+MYP!$M$10)</f>
        <v>108.243216</v>
      </c>
      <c r="L98" s="39">
        <f>+'FY24'!L98*(1+MYP!$M$10)</f>
        <v>108.243216</v>
      </c>
      <c r="M98" s="39">
        <f>+'FY24'!M98*(1+MYP!$M$10)</f>
        <v>108.243216</v>
      </c>
      <c r="N98" s="39">
        <f>+'FY24'!N98*(1+MYP!$M$10)</f>
        <v>108.243216</v>
      </c>
      <c r="O98" s="39">
        <f>+'FY24'!O98*(1+MYP!$M$10)</f>
        <v>108.243216</v>
      </c>
      <c r="P98" s="39">
        <f>+'FY24'!P98*(1+MYP!$M$10)</f>
        <v>108.243216</v>
      </c>
      <c r="Q98" s="100"/>
      <c r="R98" s="41"/>
      <c r="S98" s="59">
        <f t="shared" si="31"/>
        <v>1298.918592</v>
      </c>
      <c r="T98" s="41"/>
      <c r="U98" s="39">
        <f>'FY24'!S98</f>
        <v>1273.4495999999999</v>
      </c>
      <c r="V98" s="39">
        <f t="shared" si="32"/>
        <v>-25.468992000000071</v>
      </c>
      <c r="W98" s="39"/>
    </row>
    <row r="99" spans="3:23" s="37" customFormat="1" ht="12" x14ac:dyDescent="0.2">
      <c r="C99" s="199">
        <v>6641</v>
      </c>
      <c r="D99" s="37" t="s">
        <v>37</v>
      </c>
      <c r="E99" s="39">
        <f>+'FY24'!E99*(1+MYP!$G$8)</f>
        <v>0</v>
      </c>
      <c r="F99" s="39">
        <f>+'FY24'!F99*(1+MYP!$G$8)</f>
        <v>0</v>
      </c>
      <c r="G99" s="39">
        <f>+'FY24'!G99*(1+MYP!$G$8)</f>
        <v>0</v>
      </c>
      <c r="H99" s="39">
        <f>+'FY24'!H99*(1+MYP!$G$8)</f>
        <v>12374.219218749997</v>
      </c>
      <c r="I99" s="39">
        <f>+'FY24'!I99*(1+MYP!$G$8)</f>
        <v>6077.796718749998</v>
      </c>
      <c r="J99" s="39">
        <f>+'FY24'!J99*(1+MYP!$G$8)</f>
        <v>0</v>
      </c>
      <c r="K99" s="39">
        <f>+'FY24'!K99*(1+MYP!$G$8)</f>
        <v>0</v>
      </c>
      <c r="L99" s="39">
        <f>+'FY24'!L99*(1+MYP!$G$8)</f>
        <v>0</v>
      </c>
      <c r="M99" s="39">
        <f>+'FY24'!M99*(1+MYP!$G$8)</f>
        <v>0</v>
      </c>
      <c r="N99" s="39">
        <f>+'FY24'!N99*(1+MYP!$G$8)</f>
        <v>7455.1391406249986</v>
      </c>
      <c r="O99" s="39">
        <f>+'FY24'!O99*(1+MYP!$G$8)</f>
        <v>4035.8319218749994</v>
      </c>
      <c r="P99" s="39">
        <f>+'FY24'!P99*(1+MYP!$G$8)</f>
        <v>0</v>
      </c>
      <c r="Q99" s="100"/>
      <c r="R99" s="41"/>
      <c r="S99" s="59">
        <f t="shared" si="31"/>
        <v>29942.98699999999</v>
      </c>
      <c r="T99" s="41"/>
      <c r="U99" s="39">
        <f>'FY24'!S99</f>
        <v>26037.379999999997</v>
      </c>
      <c r="V99" s="39">
        <f t="shared" si="32"/>
        <v>-3905.6069999999927</v>
      </c>
      <c r="W99" s="39"/>
    </row>
    <row r="100" spans="3:23" s="37" customFormat="1" ht="12" x14ac:dyDescent="0.2">
      <c r="C100" s="199">
        <v>6642</v>
      </c>
      <c r="D100" s="37" t="s">
        <v>38</v>
      </c>
      <c r="E100" s="39">
        <f>+'FY24'!E100*(1+MYP!$G$8)</f>
        <v>0</v>
      </c>
      <c r="F100" s="39">
        <f>+'FY24'!F100*(1+MYP!$G$8)</f>
        <v>0</v>
      </c>
      <c r="G100" s="39">
        <f>+'FY24'!G100*(1+MYP!$G$8)</f>
        <v>0</v>
      </c>
      <c r="H100" s="39">
        <f>+'FY24'!H100*(1+MYP!$G$8)</f>
        <v>6208.9721874999987</v>
      </c>
      <c r="I100" s="39">
        <f>+'FY24'!I100*(1+MYP!$G$8)</f>
        <v>9182.282812499996</v>
      </c>
      <c r="J100" s="39">
        <f>+'FY24'!J100*(1+MYP!$G$8)</f>
        <v>0</v>
      </c>
      <c r="K100" s="39">
        <f>+'FY24'!K100*(1+MYP!$G$8)</f>
        <v>0</v>
      </c>
      <c r="L100" s="39">
        <f>+'FY24'!L100*(1+MYP!$G$8)</f>
        <v>0</v>
      </c>
      <c r="M100" s="39">
        <f>+'FY24'!M100*(1+MYP!$G$8)</f>
        <v>0</v>
      </c>
      <c r="N100" s="39">
        <f>+'FY24'!N100*(1+MYP!$G$8)</f>
        <v>12396.081796874996</v>
      </c>
      <c r="O100" s="39">
        <f>+'FY24'!O100*(1+MYP!$G$8)</f>
        <v>8382.112453124997</v>
      </c>
      <c r="P100" s="39">
        <f>+'FY24'!P100*(1+MYP!$G$8)</f>
        <v>0</v>
      </c>
      <c r="Q100" s="100"/>
      <c r="R100" s="41"/>
      <c r="S100" s="59">
        <f t="shared" si="31"/>
        <v>36169.449249999983</v>
      </c>
      <c r="T100" s="41"/>
      <c r="U100" s="39">
        <f>'FY24'!S100</f>
        <v>31451.694999999992</v>
      </c>
      <c r="V100" s="39">
        <f t="shared" si="32"/>
        <v>-4717.7542499999909</v>
      </c>
      <c r="W100" s="39"/>
    </row>
    <row r="101" spans="3:23" s="37" customFormat="1" ht="12" x14ac:dyDescent="0.2">
      <c r="C101" s="199">
        <v>6651</v>
      </c>
      <c r="D101" s="37" t="s">
        <v>39</v>
      </c>
      <c r="E101" s="39">
        <f>+'FY24'!E101*(1+MYP!$M$10)</f>
        <v>0</v>
      </c>
      <c r="F101" s="39">
        <f>+'FY24'!F101*(1+MYP!$M$10)</f>
        <v>0</v>
      </c>
      <c r="G101" s="39">
        <f>+'FY24'!G101*(1+MYP!$M$10)</f>
        <v>0</v>
      </c>
      <c r="H101" s="39">
        <f>+'FY24'!H101*(1+MYP!$M$10)</f>
        <v>0</v>
      </c>
      <c r="I101" s="39">
        <f>+'FY24'!I101*(1+MYP!$M$10)</f>
        <v>0</v>
      </c>
      <c r="J101" s="39">
        <f>+'FY24'!J101*(1+MYP!$M$10)</f>
        <v>0</v>
      </c>
      <c r="K101" s="39">
        <f>+'FY24'!K101*(1+MYP!$M$10)</f>
        <v>0</v>
      </c>
      <c r="L101" s="39">
        <f>+'FY24'!L101*(1+MYP!$M$10)</f>
        <v>0</v>
      </c>
      <c r="M101" s="39">
        <f>+'FY24'!M101*(1+MYP!$M$10)</f>
        <v>0</v>
      </c>
      <c r="N101" s="39">
        <f>+'FY24'!N101*(1+MYP!$M$10)</f>
        <v>0</v>
      </c>
      <c r="O101" s="39">
        <f>+'FY24'!O101*(1+MYP!$M$10)</f>
        <v>0</v>
      </c>
      <c r="P101" s="39">
        <f>+'FY24'!P101*(1+MYP!$M$10)</f>
        <v>0</v>
      </c>
      <c r="Q101" s="100"/>
      <c r="R101" s="41"/>
      <c r="S101" s="59">
        <f t="shared" si="31"/>
        <v>0</v>
      </c>
      <c r="T101" s="41"/>
      <c r="U101" s="39">
        <f>'FY24'!S101</f>
        <v>0</v>
      </c>
      <c r="V101" s="39">
        <f t="shared" si="32"/>
        <v>0</v>
      </c>
      <c r="W101" s="39"/>
    </row>
    <row r="102" spans="3:23" s="37" customFormat="1" ht="12" x14ac:dyDescent="0.2">
      <c r="C102" s="199">
        <v>6652</v>
      </c>
      <c r="D102" s="37" t="s">
        <v>40</v>
      </c>
      <c r="E102" s="39">
        <f>+'FY24'!E102*(1+MYP!$M$10)</f>
        <v>0</v>
      </c>
      <c r="F102" s="39">
        <f>+'FY24'!F102*(1+MYP!$M$10)</f>
        <v>0</v>
      </c>
      <c r="G102" s="39">
        <f>+'FY24'!G102*(1+MYP!$M$10)</f>
        <v>0</v>
      </c>
      <c r="H102" s="39">
        <f>+'FY24'!H102*(1+MYP!$M$10)</f>
        <v>0</v>
      </c>
      <c r="I102" s="39">
        <f>+'FY24'!I102*(1+MYP!$M$10)</f>
        <v>0</v>
      </c>
      <c r="J102" s="39">
        <f>+'FY24'!J102*(1+MYP!$M$10)</f>
        <v>0</v>
      </c>
      <c r="K102" s="39">
        <f>+'FY24'!K102*(1+MYP!$M$10)</f>
        <v>0</v>
      </c>
      <c r="L102" s="39">
        <f>+'FY24'!L102*(1+MYP!$M$10)</f>
        <v>0</v>
      </c>
      <c r="M102" s="39">
        <f>+'FY24'!M102*(1+MYP!$M$10)</f>
        <v>0</v>
      </c>
      <c r="N102" s="39">
        <f>+'FY24'!N102*(1+MYP!$M$10)</f>
        <v>0</v>
      </c>
      <c r="O102" s="39">
        <f>+'FY24'!O102*(1+MYP!$M$10)</f>
        <v>0</v>
      </c>
      <c r="P102" s="39">
        <f>+'FY24'!P102*(1+MYP!$M$10)</f>
        <v>0</v>
      </c>
      <c r="Q102" s="100"/>
      <c r="R102" s="41"/>
      <c r="S102" s="59">
        <f t="shared" si="31"/>
        <v>0</v>
      </c>
      <c r="T102" s="41"/>
      <c r="U102" s="39">
        <f>'FY24'!S102</f>
        <v>0</v>
      </c>
      <c r="V102" s="39">
        <f t="shared" si="32"/>
        <v>0</v>
      </c>
      <c r="W102" s="39"/>
    </row>
    <row r="103" spans="3:23" s="37" customFormat="1" ht="12" x14ac:dyDescent="0.2">
      <c r="C103" s="38"/>
      <c r="E103" s="50">
        <f>SUBTOTAL(9,E96:E102)</f>
        <v>297.66884399999998</v>
      </c>
      <c r="F103" s="50">
        <f t="shared" ref="F103:V103" si="33">SUBTOTAL(9,F96:F102)</f>
        <v>297.66884399999998</v>
      </c>
      <c r="G103" s="50">
        <f t="shared" si="33"/>
        <v>297.66884399999998</v>
      </c>
      <c r="H103" s="50">
        <f t="shared" si="33"/>
        <v>19088.687224969995</v>
      </c>
      <c r="I103" s="50">
        <f t="shared" si="33"/>
        <v>15557.748375249994</v>
      </c>
      <c r="J103" s="50">
        <f t="shared" si="33"/>
        <v>297.66884399999998</v>
      </c>
      <c r="K103" s="50">
        <f t="shared" si="33"/>
        <v>297.66884399999998</v>
      </c>
      <c r="L103" s="50">
        <f t="shared" si="33"/>
        <v>297.66884399999998</v>
      </c>
      <c r="M103" s="50">
        <f t="shared" si="33"/>
        <v>297.66884399999998</v>
      </c>
      <c r="N103" s="50">
        <f t="shared" si="33"/>
        <v>20148.889781499995</v>
      </c>
      <c r="O103" s="50">
        <f t="shared" si="33"/>
        <v>12715.613218999995</v>
      </c>
      <c r="P103" s="50">
        <f t="shared" si="33"/>
        <v>297.66884399999998</v>
      </c>
      <c r="Q103" s="99"/>
      <c r="R103" s="41"/>
      <c r="S103" s="61">
        <f t="shared" si="33"/>
        <v>69892.289352719963</v>
      </c>
      <c r="T103" s="41"/>
      <c r="U103" s="50">
        <f t="shared" si="33"/>
        <v>61194.813335999992</v>
      </c>
      <c r="V103" s="50">
        <f t="shared" si="33"/>
        <v>-8697.4760167199838</v>
      </c>
      <c r="W103" s="39"/>
    </row>
    <row r="104" spans="3:23" s="37" customFormat="1" ht="12" x14ac:dyDescent="0.2">
      <c r="C104" s="49" t="s">
        <v>103</v>
      </c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100"/>
      <c r="R104" s="41"/>
      <c r="S104" s="59"/>
      <c r="T104" s="41"/>
      <c r="U104" s="39"/>
      <c r="V104" s="39"/>
      <c r="W104" s="39"/>
    </row>
    <row r="105" spans="3:23" s="37" customFormat="1" ht="12" x14ac:dyDescent="0.2">
      <c r="C105" s="199">
        <v>6734</v>
      </c>
      <c r="D105" s="37" t="s">
        <v>41</v>
      </c>
      <c r="E105" s="39">
        <f>+'FY24'!E105*(1+MYP!$M$10)</f>
        <v>0</v>
      </c>
      <c r="F105" s="39">
        <f>+'FY24'!F105*(1+MYP!$M$10)</f>
        <v>0</v>
      </c>
      <c r="G105" s="39">
        <f>+'FY24'!G105*(1+MYP!$M$10)</f>
        <v>0</v>
      </c>
      <c r="H105" s="39">
        <f>+'FY24'!H105*(1+MYP!$M$10)</f>
        <v>0</v>
      </c>
      <c r="I105" s="39">
        <f>+'FY24'!I105*(1+MYP!$M$10)</f>
        <v>0</v>
      </c>
      <c r="J105" s="39">
        <f>+'FY24'!J105*(1+MYP!$M$10)</f>
        <v>0</v>
      </c>
      <c r="K105" s="39">
        <f>+'FY24'!K105*(1+MYP!$M$10)</f>
        <v>0</v>
      </c>
      <c r="L105" s="39">
        <f>+'FY24'!L105*(1+MYP!$M$10)</f>
        <v>0</v>
      </c>
      <c r="M105" s="39">
        <f>+'FY24'!M105*(1+MYP!$M$10)</f>
        <v>0</v>
      </c>
      <c r="N105" s="39">
        <f>+'FY24'!N105*(1+MYP!$M$10)</f>
        <v>0</v>
      </c>
      <c r="O105" s="39">
        <f>+'FY24'!O105*(1+MYP!$M$10)</f>
        <v>0</v>
      </c>
      <c r="P105" s="39">
        <f>+'FY24'!P105*(1+MYP!$M$10)</f>
        <v>0</v>
      </c>
      <c r="Q105" s="100"/>
      <c r="R105" s="41"/>
      <c r="S105" s="59">
        <f t="shared" ref="S105" si="34">SUM(E105:Q105)</f>
        <v>0</v>
      </c>
      <c r="T105" s="41"/>
      <c r="U105" s="39">
        <f>'FY24'!S105</f>
        <v>0</v>
      </c>
      <c r="V105" s="39">
        <f t="shared" ref="V105" si="35">U105-S105</f>
        <v>0</v>
      </c>
      <c r="W105" s="39"/>
    </row>
    <row r="106" spans="3:23" s="37" customFormat="1" ht="12" x14ac:dyDescent="0.2">
      <c r="C106" s="38"/>
      <c r="E106" s="50">
        <f>SUBTOTAL(9,E105)</f>
        <v>0</v>
      </c>
      <c r="F106" s="50">
        <f t="shared" ref="F106:V106" si="36">SUBTOTAL(9,F105)</f>
        <v>0</v>
      </c>
      <c r="G106" s="50">
        <f t="shared" si="36"/>
        <v>0</v>
      </c>
      <c r="H106" s="50">
        <f t="shared" si="36"/>
        <v>0</v>
      </c>
      <c r="I106" s="50">
        <f t="shared" si="36"/>
        <v>0</v>
      </c>
      <c r="J106" s="50">
        <f t="shared" si="36"/>
        <v>0</v>
      </c>
      <c r="K106" s="50">
        <f t="shared" si="36"/>
        <v>0</v>
      </c>
      <c r="L106" s="50">
        <f t="shared" si="36"/>
        <v>0</v>
      </c>
      <c r="M106" s="50">
        <f t="shared" si="36"/>
        <v>0</v>
      </c>
      <c r="N106" s="50">
        <f t="shared" si="36"/>
        <v>0</v>
      </c>
      <c r="O106" s="50">
        <f t="shared" si="36"/>
        <v>0</v>
      </c>
      <c r="P106" s="50">
        <f t="shared" si="36"/>
        <v>0</v>
      </c>
      <c r="Q106" s="99"/>
      <c r="R106" s="41"/>
      <c r="S106" s="61">
        <f t="shared" si="36"/>
        <v>0</v>
      </c>
      <c r="T106" s="41"/>
      <c r="U106" s="50">
        <f t="shared" si="36"/>
        <v>0</v>
      </c>
      <c r="V106" s="50">
        <f t="shared" si="36"/>
        <v>0</v>
      </c>
      <c r="W106" s="39"/>
    </row>
    <row r="107" spans="3:23" s="37" customFormat="1" ht="12" x14ac:dyDescent="0.2">
      <c r="C107" s="49" t="s">
        <v>104</v>
      </c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100"/>
      <c r="R107" s="41"/>
      <c r="S107" s="59"/>
      <c r="T107" s="41"/>
      <c r="U107" s="39"/>
      <c r="V107" s="39"/>
      <c r="W107" s="39"/>
    </row>
    <row r="108" spans="3:23" s="37" customFormat="1" ht="12" x14ac:dyDescent="0.2">
      <c r="C108" s="199">
        <v>6810</v>
      </c>
      <c r="D108" s="37" t="s">
        <v>42</v>
      </c>
      <c r="E108" s="39">
        <f>+'FY24'!E108*(1+MYP!$M$10)</f>
        <v>10.824321600000001</v>
      </c>
      <c r="F108" s="39">
        <f>+'FY24'!F108*(1+MYP!$M$10)</f>
        <v>75.770251200000004</v>
      </c>
      <c r="G108" s="39">
        <f>+'FY24'!G108*(1+MYP!$M$10)</f>
        <v>389.6755776</v>
      </c>
      <c r="H108" s="39">
        <f>+'FY24'!H108*(1+MYP!$M$10)</f>
        <v>10.824321600000001</v>
      </c>
      <c r="I108" s="39">
        <f>+'FY24'!I108*(1+MYP!$M$10)</f>
        <v>10.824321600000001</v>
      </c>
      <c r="J108" s="39">
        <f>+'FY24'!J108*(1+MYP!$M$10)</f>
        <v>75.770251200000004</v>
      </c>
      <c r="K108" s="39">
        <f>+'FY24'!K108*(1+MYP!$M$10)</f>
        <v>10.824321600000001</v>
      </c>
      <c r="L108" s="39">
        <f>+'FY24'!L108*(1+MYP!$M$10)</f>
        <v>108.243216</v>
      </c>
      <c r="M108" s="39">
        <f>+'FY24'!M108*(1+MYP!$M$10)</f>
        <v>10.824321600000001</v>
      </c>
      <c r="N108" s="39">
        <f>+'FY24'!N108*(1+MYP!$M$10)</f>
        <v>10.824321600000001</v>
      </c>
      <c r="O108" s="39">
        <f>+'FY24'!O108*(1+MYP!$M$10)</f>
        <v>10.824321600000001</v>
      </c>
      <c r="P108" s="39">
        <f>+'FY24'!P108*(1+MYP!$M$10)</f>
        <v>10.824321600000001</v>
      </c>
      <c r="Q108" s="100"/>
      <c r="R108" s="41"/>
      <c r="S108" s="59">
        <f t="shared" ref="S108" si="37">SUM(E108:Q108)</f>
        <v>736.0538687999998</v>
      </c>
      <c r="T108" s="41"/>
      <c r="U108" s="39">
        <f>'FY24'!S108</f>
        <v>721.62143999999989</v>
      </c>
      <c r="V108" s="39">
        <f t="shared" ref="V108" si="38">U108-S108</f>
        <v>-14.432428799999911</v>
      </c>
      <c r="W108" s="39"/>
    </row>
    <row r="109" spans="3:23" s="37" customFormat="1" ht="12" x14ac:dyDescent="0.2">
      <c r="C109" s="38"/>
      <c r="E109" s="50">
        <f>SUBTOTAL(9,E108)</f>
        <v>10.824321600000001</v>
      </c>
      <c r="F109" s="50">
        <f t="shared" ref="F109:P109" si="39">SUBTOTAL(9,F108)</f>
        <v>75.770251200000004</v>
      </c>
      <c r="G109" s="50">
        <f t="shared" si="39"/>
        <v>389.6755776</v>
      </c>
      <c r="H109" s="50">
        <f t="shared" si="39"/>
        <v>10.824321600000001</v>
      </c>
      <c r="I109" s="50">
        <f t="shared" si="39"/>
        <v>10.824321600000001</v>
      </c>
      <c r="J109" s="50">
        <f t="shared" si="39"/>
        <v>75.770251200000004</v>
      </c>
      <c r="K109" s="50">
        <f t="shared" si="39"/>
        <v>10.824321600000001</v>
      </c>
      <c r="L109" s="50">
        <f t="shared" si="39"/>
        <v>108.243216</v>
      </c>
      <c r="M109" s="50">
        <f t="shared" si="39"/>
        <v>10.824321600000001</v>
      </c>
      <c r="N109" s="50">
        <f t="shared" si="39"/>
        <v>10.824321600000001</v>
      </c>
      <c r="O109" s="50">
        <f t="shared" si="39"/>
        <v>10.824321600000001</v>
      </c>
      <c r="P109" s="50">
        <f t="shared" si="39"/>
        <v>10.824321600000001</v>
      </c>
      <c r="Q109" s="99"/>
      <c r="R109" s="41"/>
      <c r="S109" s="61">
        <f t="shared" ref="S109" si="40">SUBTOTAL(9,S108)</f>
        <v>736.0538687999998</v>
      </c>
      <c r="T109" s="41"/>
      <c r="U109" s="50">
        <f t="shared" ref="U109:V109" si="41">SUBTOTAL(9,U108)</f>
        <v>721.62143999999989</v>
      </c>
      <c r="V109" s="50">
        <f t="shared" si="41"/>
        <v>-14.432428799999911</v>
      </c>
      <c r="W109" s="39"/>
    </row>
    <row r="110" spans="3:23" s="45" customFormat="1" ht="12" x14ac:dyDescent="0.2">
      <c r="C110" s="49" t="s">
        <v>43</v>
      </c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101"/>
      <c r="R110" s="48"/>
      <c r="S110" s="62"/>
      <c r="T110" s="48"/>
      <c r="U110" s="48"/>
      <c r="V110" s="48"/>
      <c r="W110" s="40"/>
    </row>
    <row r="111" spans="3:23" s="37" customFormat="1" ht="12" x14ac:dyDescent="0.2">
      <c r="C111" s="199">
        <v>7306</v>
      </c>
      <c r="D111" s="37" t="s">
        <v>43</v>
      </c>
      <c r="E111" s="39">
        <f>+'FY24'!E111*(1+MYP!$M$10)</f>
        <v>0</v>
      </c>
      <c r="F111" s="39">
        <f>+'FY24'!F111*(1+MYP!$M$10)</f>
        <v>0</v>
      </c>
      <c r="G111" s="39">
        <f>+'FY24'!G111*(1+MYP!$M$10)</f>
        <v>0</v>
      </c>
      <c r="H111" s="39">
        <f>+'FY24'!H111*(1+MYP!$M$10)</f>
        <v>0</v>
      </c>
      <c r="I111" s="39">
        <f>+'FY24'!I111*(1+MYP!$M$10)</f>
        <v>0</v>
      </c>
      <c r="J111" s="39">
        <f>+'FY24'!J111*(1+MYP!$M$10)</f>
        <v>0</v>
      </c>
      <c r="K111" s="39">
        <f>+'FY24'!K111*(1+MYP!$M$10)</f>
        <v>0</v>
      </c>
      <c r="L111" s="39">
        <f>+'FY24'!L111*(1+MYP!$M$10)</f>
        <v>0</v>
      </c>
      <c r="M111" s="39">
        <f>+'FY24'!M111*(1+MYP!$M$10)</f>
        <v>0</v>
      </c>
      <c r="N111" s="39">
        <f>+'FY24'!N111*(1+MYP!$M$10)</f>
        <v>0</v>
      </c>
      <c r="O111" s="39">
        <f>+'FY24'!O111*(1+MYP!$M$10)</f>
        <v>0</v>
      </c>
      <c r="P111" s="39">
        <f>+'FY24'!P111*(1+MYP!$M$10)</f>
        <v>0</v>
      </c>
      <c r="Q111" s="100"/>
      <c r="R111" s="41"/>
      <c r="S111" s="62">
        <f t="shared" ref="S111:S112" si="42">SUM(E111:Q111)</f>
        <v>0</v>
      </c>
      <c r="T111" s="41"/>
      <c r="U111" s="41">
        <f>'FY24'!S111</f>
        <v>0</v>
      </c>
      <c r="V111" s="41">
        <f t="shared" ref="V111" si="43">U111-S111</f>
        <v>0</v>
      </c>
      <c r="W111" s="39"/>
    </row>
    <row r="112" spans="3:23" s="37" customFormat="1" ht="12" x14ac:dyDescent="0.2">
      <c r="C112" s="38">
        <v>7901</v>
      </c>
      <c r="D112" s="37" t="s">
        <v>178</v>
      </c>
      <c r="E112" s="39">
        <f>+'FY24'!E112*(1+MYP!$M$10)</f>
        <v>0</v>
      </c>
      <c r="F112" s="39">
        <f>+'FY24'!F112*(1+MYP!$M$10)</f>
        <v>0</v>
      </c>
      <c r="G112" s="39">
        <f>+'FY24'!G112*(1+MYP!$M$10)</f>
        <v>0</v>
      </c>
      <c r="H112" s="39">
        <f>+'FY24'!H112*(1+MYP!$M$10)</f>
        <v>0</v>
      </c>
      <c r="I112" s="39">
        <f>+'FY24'!I112*(1+MYP!$M$10)</f>
        <v>0</v>
      </c>
      <c r="J112" s="39">
        <f>+'FY24'!J112*(1+MYP!$M$10)</f>
        <v>0</v>
      </c>
      <c r="K112" s="39">
        <f>+'FY24'!K112*(1+MYP!$M$10)</f>
        <v>0</v>
      </c>
      <c r="L112" s="39">
        <f>+'FY24'!L112*(1+MYP!$M$10)</f>
        <v>0</v>
      </c>
      <c r="M112" s="39">
        <f>+'FY24'!M112*(1+MYP!$M$10)</f>
        <v>0</v>
      </c>
      <c r="N112" s="39">
        <f>+'FY24'!N112*(1+MYP!$M$10)</f>
        <v>0</v>
      </c>
      <c r="O112" s="39">
        <f>+'FY24'!O112*(1+MYP!$M$10)</f>
        <v>0</v>
      </c>
      <c r="P112" s="39">
        <f>+'FY24'!P112*(1+MYP!$M$10)</f>
        <v>0</v>
      </c>
      <c r="Q112" s="100"/>
      <c r="R112" s="41"/>
      <c r="S112" s="62">
        <f t="shared" si="42"/>
        <v>0</v>
      </c>
      <c r="T112" s="41"/>
      <c r="U112" s="41">
        <f>'FY24'!S112</f>
        <v>0</v>
      </c>
      <c r="V112" s="41">
        <f t="shared" ref="V112" si="44">U112-S112</f>
        <v>0</v>
      </c>
      <c r="W112" s="39"/>
    </row>
    <row r="113" spans="1:23" s="37" customFormat="1" ht="12" x14ac:dyDescent="0.2">
      <c r="C113" s="38"/>
      <c r="E113" s="50">
        <f>SUBTOTAL(9,E111:E112)</f>
        <v>0</v>
      </c>
      <c r="F113" s="50">
        <f t="shared" ref="F113:P113" si="45">SUBTOTAL(9,F111:F112)</f>
        <v>0</v>
      </c>
      <c r="G113" s="50">
        <f t="shared" si="45"/>
        <v>0</v>
      </c>
      <c r="H113" s="50">
        <f t="shared" si="45"/>
        <v>0</v>
      </c>
      <c r="I113" s="50">
        <f t="shared" si="45"/>
        <v>0</v>
      </c>
      <c r="J113" s="50">
        <f t="shared" si="45"/>
        <v>0</v>
      </c>
      <c r="K113" s="50">
        <f t="shared" si="45"/>
        <v>0</v>
      </c>
      <c r="L113" s="50">
        <f t="shared" si="45"/>
        <v>0</v>
      </c>
      <c r="M113" s="50">
        <f t="shared" si="45"/>
        <v>0</v>
      </c>
      <c r="N113" s="50">
        <f t="shared" si="45"/>
        <v>0</v>
      </c>
      <c r="O113" s="50">
        <f t="shared" si="45"/>
        <v>0</v>
      </c>
      <c r="P113" s="50">
        <f t="shared" si="45"/>
        <v>0</v>
      </c>
      <c r="Q113" s="99"/>
      <c r="R113" s="41"/>
      <c r="S113" s="61">
        <f>SUBTOTAL(9,S111:S112)</f>
        <v>0</v>
      </c>
      <c r="T113" s="41"/>
      <c r="U113" s="50">
        <f>SUBTOTAL(9,U111:U112)</f>
        <v>0</v>
      </c>
      <c r="V113" s="50">
        <f>SUBTOTAL(9,V111:V112)</f>
        <v>0</v>
      </c>
      <c r="W113" s="39"/>
    </row>
    <row r="114" spans="1:23" s="37" customFormat="1" ht="9" customHeight="1" x14ac:dyDescent="0.2">
      <c r="C114" s="38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100"/>
      <c r="R114" s="41"/>
      <c r="S114" s="59"/>
      <c r="T114" s="41"/>
      <c r="U114" s="39"/>
      <c r="V114" s="39"/>
      <c r="W114" s="39"/>
    </row>
    <row r="115" spans="1:23" s="45" customFormat="1" ht="12" x14ac:dyDescent="0.2">
      <c r="A115" s="45" t="s">
        <v>107</v>
      </c>
      <c r="C115" s="46"/>
      <c r="E115" s="43">
        <f t="shared" ref="E115:P115" si="46">SUBTOTAL(9,E30:E114)</f>
        <v>25807.900822710402</v>
      </c>
      <c r="F115" s="43">
        <f t="shared" si="46"/>
        <v>23402.365279679201</v>
      </c>
      <c r="G115" s="43">
        <f t="shared" si="46"/>
        <v>23824.513822079203</v>
      </c>
      <c r="H115" s="43">
        <f t="shared" si="46"/>
        <v>105537.09669255918</v>
      </c>
      <c r="I115" s="43">
        <f t="shared" si="46"/>
        <v>125289.19653903035</v>
      </c>
      <c r="J115" s="43">
        <f t="shared" si="46"/>
        <v>20015.579637830404</v>
      </c>
      <c r="K115" s="43">
        <f t="shared" si="46"/>
        <v>22414.992311970404</v>
      </c>
      <c r="L115" s="43">
        <f t="shared" si="46"/>
        <v>23434.838244479201</v>
      </c>
      <c r="M115" s="43">
        <f t="shared" si="46"/>
        <v>97090.206846947971</v>
      </c>
      <c r="N115" s="43">
        <f t="shared" si="46"/>
        <v>155700.57951223035</v>
      </c>
      <c r="O115" s="43">
        <f t="shared" si="46"/>
        <v>33342.767027230395</v>
      </c>
      <c r="P115" s="43">
        <f t="shared" si="46"/>
        <v>22523.235527970402</v>
      </c>
      <c r="Q115" s="47"/>
      <c r="R115" s="48"/>
      <c r="S115" s="60">
        <f>SUBTOTAL(9,S30:S114)</f>
        <v>678383.2722647175</v>
      </c>
      <c r="T115" s="48"/>
      <c r="U115" s="43">
        <f>SUBTOTAL(9,U30:U114)</f>
        <v>620835.85062717414</v>
      </c>
      <c r="V115" s="43">
        <f>SUBTOTAL(9,V30:V114)</f>
        <v>-57547.421637543463</v>
      </c>
      <c r="W115" s="40"/>
    </row>
    <row r="116" spans="1:23" s="37" customFormat="1" ht="12" x14ac:dyDescent="0.2">
      <c r="C116" s="38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44"/>
      <c r="R116" s="41"/>
      <c r="S116" s="59"/>
      <c r="T116" s="41"/>
      <c r="U116" s="39"/>
      <c r="V116" s="39"/>
      <c r="W116" s="39"/>
    </row>
    <row r="117" spans="1:23" s="45" customFormat="1" ht="12.75" thickBot="1" x14ac:dyDescent="0.25">
      <c r="A117" s="45" t="s">
        <v>108</v>
      </c>
      <c r="C117" s="46"/>
      <c r="E117" s="181">
        <f t="shared" ref="E117:P117" si="47">E27-E115</f>
        <v>33336.415177289586</v>
      </c>
      <c r="F117" s="181">
        <f t="shared" si="47"/>
        <v>35741.950720320783</v>
      </c>
      <c r="G117" s="181">
        <f t="shared" si="47"/>
        <v>35319.802177920777</v>
      </c>
      <c r="H117" s="181">
        <f t="shared" si="47"/>
        <v>-46392.780692559194</v>
      </c>
      <c r="I117" s="181">
        <f t="shared" si="47"/>
        <v>-66144.880539030361</v>
      </c>
      <c r="J117" s="181">
        <f t="shared" si="47"/>
        <v>39128.736362169584</v>
      </c>
      <c r="K117" s="181">
        <f t="shared" si="47"/>
        <v>36729.323688029581</v>
      </c>
      <c r="L117" s="181">
        <f t="shared" si="47"/>
        <v>35709.477755520784</v>
      </c>
      <c r="M117" s="181">
        <f t="shared" si="47"/>
        <v>-37945.890846947987</v>
      </c>
      <c r="N117" s="181">
        <f t="shared" si="47"/>
        <v>-96556.263512230362</v>
      </c>
      <c r="O117" s="181">
        <f t="shared" si="47"/>
        <v>25801.548972769589</v>
      </c>
      <c r="P117" s="181">
        <f t="shared" si="47"/>
        <v>36621.080472029586</v>
      </c>
      <c r="Q117" s="190"/>
      <c r="R117" s="191"/>
      <c r="S117" s="192">
        <f>S27-S115</f>
        <v>31348.519735282403</v>
      </c>
      <c r="T117" s="191"/>
      <c r="U117" s="181">
        <f>U27-U115</f>
        <v>24374.86937282572</v>
      </c>
      <c r="V117" s="181">
        <f>V27+V115</f>
        <v>6973.6503624565667</v>
      </c>
      <c r="W117" s="40"/>
    </row>
    <row r="118" spans="1:23" s="37" customFormat="1" ht="12.75" thickTop="1" x14ac:dyDescent="0.2">
      <c r="C118" s="38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44"/>
      <c r="R118" s="41"/>
      <c r="S118" s="59"/>
      <c r="T118" s="41"/>
      <c r="U118" s="39"/>
      <c r="V118" s="39"/>
      <c r="W118" s="39"/>
    </row>
    <row r="119" spans="1:23" s="37" customFormat="1" ht="12" x14ac:dyDescent="0.2">
      <c r="A119" s="53" t="s">
        <v>109</v>
      </c>
      <c r="B119" s="54"/>
      <c r="C119" s="54"/>
      <c r="D119" s="54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44"/>
      <c r="R119" s="41"/>
      <c r="S119" s="59"/>
      <c r="T119" s="41"/>
      <c r="U119" s="39"/>
      <c r="V119" s="39"/>
      <c r="W119" s="39"/>
    </row>
    <row r="120" spans="1:23" s="37" customFormat="1" ht="12" x14ac:dyDescent="0.2">
      <c r="A120" s="53"/>
      <c r="B120" s="53"/>
      <c r="C120" s="54" t="s">
        <v>110</v>
      </c>
      <c r="D120" s="54"/>
      <c r="E120" s="39">
        <f>E117</f>
        <v>33336.415177289586</v>
      </c>
      <c r="F120" s="39">
        <f t="shared" ref="F120:P120" si="48">F117</f>
        <v>35741.950720320783</v>
      </c>
      <c r="G120" s="39">
        <f t="shared" si="48"/>
        <v>35319.802177920777</v>
      </c>
      <c r="H120" s="39">
        <f t="shared" si="48"/>
        <v>-46392.780692559194</v>
      </c>
      <c r="I120" s="39">
        <f t="shared" si="48"/>
        <v>-66144.880539030361</v>
      </c>
      <c r="J120" s="39">
        <f t="shared" si="48"/>
        <v>39128.736362169584</v>
      </c>
      <c r="K120" s="39">
        <f t="shared" si="48"/>
        <v>36729.323688029581</v>
      </c>
      <c r="L120" s="39">
        <f t="shared" si="48"/>
        <v>35709.477755520784</v>
      </c>
      <c r="M120" s="39">
        <f t="shared" si="48"/>
        <v>-37945.890846947987</v>
      </c>
      <c r="N120" s="39">
        <f t="shared" si="48"/>
        <v>-96556.263512230362</v>
      </c>
      <c r="O120" s="39">
        <f t="shared" si="48"/>
        <v>25801.548972769589</v>
      </c>
      <c r="P120" s="39">
        <f t="shared" si="48"/>
        <v>36621.080472029586</v>
      </c>
      <c r="Q120" s="44"/>
      <c r="R120" s="41"/>
      <c r="S120" s="59">
        <f t="shared" ref="S120:S136" si="49">SUM(E120:Q120)</f>
        <v>31348.519735282374</v>
      </c>
      <c r="T120" s="41"/>
      <c r="U120" s="39"/>
      <c r="V120" s="39"/>
      <c r="W120" s="39"/>
    </row>
    <row r="121" spans="1:23" s="37" customFormat="1" ht="12" x14ac:dyDescent="0.2">
      <c r="A121" s="54"/>
      <c r="B121" s="54" t="s">
        <v>111</v>
      </c>
      <c r="C121" s="54" t="s">
        <v>112</v>
      </c>
      <c r="D121" s="54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44"/>
      <c r="R121" s="41"/>
      <c r="S121" s="59"/>
      <c r="T121" s="41"/>
      <c r="U121" s="39"/>
      <c r="V121" s="39"/>
      <c r="W121" s="39"/>
    </row>
    <row r="122" spans="1:23" s="37" customFormat="1" ht="12" x14ac:dyDescent="0.2">
      <c r="A122" s="54"/>
      <c r="B122" s="54" t="s">
        <v>111</v>
      </c>
      <c r="C122" s="54"/>
      <c r="D122" s="55" t="s">
        <v>113</v>
      </c>
      <c r="E122" s="39">
        <f>E112</f>
        <v>0</v>
      </c>
      <c r="F122" s="39">
        <f t="shared" ref="F122:P122" si="50">F112</f>
        <v>0</v>
      </c>
      <c r="G122" s="39">
        <f t="shared" si="50"/>
        <v>0</v>
      </c>
      <c r="H122" s="39">
        <f t="shared" si="50"/>
        <v>0</v>
      </c>
      <c r="I122" s="39">
        <f t="shared" si="50"/>
        <v>0</v>
      </c>
      <c r="J122" s="39">
        <f t="shared" si="50"/>
        <v>0</v>
      </c>
      <c r="K122" s="39">
        <f t="shared" si="50"/>
        <v>0</v>
      </c>
      <c r="L122" s="39">
        <f t="shared" si="50"/>
        <v>0</v>
      </c>
      <c r="M122" s="39">
        <f t="shared" si="50"/>
        <v>0</v>
      </c>
      <c r="N122" s="39">
        <f t="shared" si="50"/>
        <v>0</v>
      </c>
      <c r="O122" s="39">
        <f t="shared" si="50"/>
        <v>0</v>
      </c>
      <c r="P122" s="39">
        <f t="shared" si="50"/>
        <v>0</v>
      </c>
      <c r="Q122" s="44"/>
      <c r="R122" s="41"/>
      <c r="S122" s="59">
        <f t="shared" si="49"/>
        <v>0</v>
      </c>
      <c r="T122" s="41"/>
      <c r="U122" s="39"/>
      <c r="V122" s="39"/>
      <c r="W122" s="39"/>
    </row>
    <row r="123" spans="1:23" s="37" customFormat="1" ht="12" x14ac:dyDescent="0.2">
      <c r="A123" s="54"/>
      <c r="B123" s="54" t="s">
        <v>111</v>
      </c>
      <c r="C123" s="54"/>
      <c r="D123" s="55" t="s">
        <v>114</v>
      </c>
      <c r="E123" s="39">
        <f>-'FY24'!Q123</f>
        <v>0</v>
      </c>
      <c r="F123" s="39">
        <v>0</v>
      </c>
      <c r="G123" s="39">
        <v>0</v>
      </c>
      <c r="H123" s="39">
        <v>0</v>
      </c>
      <c r="I123" s="39">
        <v>0</v>
      </c>
      <c r="J123" s="39">
        <v>0</v>
      </c>
      <c r="K123" s="39">
        <v>0</v>
      </c>
      <c r="L123" s="39">
        <v>0</v>
      </c>
      <c r="M123" s="39">
        <v>0</v>
      </c>
      <c r="N123" s="39">
        <v>0</v>
      </c>
      <c r="O123" s="39">
        <v>0</v>
      </c>
      <c r="P123" s="39">
        <v>0</v>
      </c>
      <c r="Q123" s="44"/>
      <c r="R123" s="41"/>
      <c r="S123" s="59">
        <f t="shared" si="49"/>
        <v>0</v>
      </c>
      <c r="T123" s="41"/>
      <c r="U123" s="39"/>
      <c r="V123" s="39"/>
      <c r="W123" s="39"/>
    </row>
    <row r="124" spans="1:23" s="37" customFormat="1" ht="12" x14ac:dyDescent="0.2">
      <c r="A124" s="54"/>
      <c r="B124" s="54" t="s">
        <v>111</v>
      </c>
      <c r="C124" s="54"/>
      <c r="D124" s="55" t="s">
        <v>115</v>
      </c>
      <c r="E124" s="39">
        <v>0</v>
      </c>
      <c r="F124" s="39">
        <v>0</v>
      </c>
      <c r="G124" s="39">
        <v>0</v>
      </c>
      <c r="H124" s="39">
        <v>0</v>
      </c>
      <c r="I124" s="39">
        <v>0</v>
      </c>
      <c r="J124" s="39">
        <v>0</v>
      </c>
      <c r="K124" s="39">
        <v>0</v>
      </c>
      <c r="L124" s="39">
        <v>0</v>
      </c>
      <c r="M124" s="39">
        <v>0</v>
      </c>
      <c r="N124" s="39">
        <v>0</v>
      </c>
      <c r="O124" s="39">
        <v>0</v>
      </c>
      <c r="P124" s="39">
        <v>0</v>
      </c>
      <c r="Q124" s="44"/>
      <c r="R124" s="41"/>
      <c r="S124" s="59">
        <f t="shared" si="49"/>
        <v>0</v>
      </c>
      <c r="T124" s="41"/>
      <c r="U124" s="39"/>
      <c r="V124" s="39"/>
      <c r="W124" s="39"/>
    </row>
    <row r="125" spans="1:23" s="37" customFormat="1" ht="12" x14ac:dyDescent="0.2">
      <c r="A125" s="54"/>
      <c r="B125" s="54" t="s">
        <v>111</v>
      </c>
      <c r="C125" s="54"/>
      <c r="D125" s="55" t="s">
        <v>116</v>
      </c>
      <c r="E125" s="39">
        <v>0</v>
      </c>
      <c r="F125" s="39">
        <v>0</v>
      </c>
      <c r="G125" s="39">
        <v>0</v>
      </c>
      <c r="H125" s="39">
        <v>0</v>
      </c>
      <c r="I125" s="39">
        <v>0</v>
      </c>
      <c r="J125" s="39">
        <v>0</v>
      </c>
      <c r="K125" s="39">
        <v>0</v>
      </c>
      <c r="L125" s="39">
        <v>0</v>
      </c>
      <c r="M125" s="39">
        <v>0</v>
      </c>
      <c r="N125" s="39">
        <v>0</v>
      </c>
      <c r="O125" s="39">
        <v>0</v>
      </c>
      <c r="P125" s="39">
        <v>0</v>
      </c>
      <c r="Q125" s="44"/>
      <c r="R125" s="41"/>
      <c r="S125" s="59">
        <f t="shared" si="49"/>
        <v>0</v>
      </c>
      <c r="T125" s="41"/>
      <c r="U125" s="39"/>
      <c r="V125" s="39"/>
      <c r="W125" s="39"/>
    </row>
    <row r="126" spans="1:23" s="37" customFormat="1" ht="12" x14ac:dyDescent="0.2">
      <c r="A126" s="54"/>
      <c r="B126" s="54" t="s">
        <v>111</v>
      </c>
      <c r="C126" s="54"/>
      <c r="D126" s="55" t="s">
        <v>117</v>
      </c>
      <c r="E126" s="39">
        <v>0</v>
      </c>
      <c r="F126" s="39">
        <v>0</v>
      </c>
      <c r="G126" s="39">
        <v>0</v>
      </c>
      <c r="H126" s="39">
        <v>0</v>
      </c>
      <c r="I126" s="39">
        <v>0</v>
      </c>
      <c r="J126" s="39">
        <v>0</v>
      </c>
      <c r="K126" s="39">
        <v>0</v>
      </c>
      <c r="L126" s="39">
        <v>0</v>
      </c>
      <c r="M126" s="39">
        <v>0</v>
      </c>
      <c r="N126" s="39">
        <v>0</v>
      </c>
      <c r="O126" s="39">
        <v>0</v>
      </c>
      <c r="P126" s="39">
        <v>0</v>
      </c>
      <c r="Q126" s="44"/>
      <c r="R126" s="41"/>
      <c r="S126" s="59">
        <f t="shared" si="49"/>
        <v>0</v>
      </c>
      <c r="T126" s="41"/>
      <c r="U126" s="39"/>
      <c r="V126" s="39"/>
      <c r="W126" s="39"/>
    </row>
    <row r="127" spans="1:23" s="37" customFormat="1" ht="12" x14ac:dyDescent="0.2">
      <c r="A127" s="54"/>
      <c r="B127" s="54" t="s">
        <v>111</v>
      </c>
      <c r="C127" s="54"/>
      <c r="D127" s="55" t="s">
        <v>118</v>
      </c>
      <c r="E127" s="39">
        <v>0</v>
      </c>
      <c r="F127" s="39">
        <v>0</v>
      </c>
      <c r="G127" s="39">
        <v>0</v>
      </c>
      <c r="H127" s="39">
        <v>0</v>
      </c>
      <c r="I127" s="39">
        <v>0</v>
      </c>
      <c r="J127" s="39">
        <v>0</v>
      </c>
      <c r="K127" s="39">
        <v>0</v>
      </c>
      <c r="L127" s="39">
        <v>0</v>
      </c>
      <c r="M127" s="39">
        <v>0</v>
      </c>
      <c r="N127" s="39">
        <v>0</v>
      </c>
      <c r="O127" s="39">
        <v>0</v>
      </c>
      <c r="P127" s="39">
        <v>0</v>
      </c>
      <c r="Q127" s="44"/>
      <c r="R127" s="41"/>
      <c r="S127" s="59">
        <f t="shared" si="49"/>
        <v>0</v>
      </c>
      <c r="T127" s="41"/>
      <c r="U127" s="39"/>
      <c r="V127" s="39"/>
      <c r="W127" s="39"/>
    </row>
    <row r="128" spans="1:23" s="37" customFormat="1" ht="12" x14ac:dyDescent="0.2">
      <c r="A128" s="54"/>
      <c r="B128" s="54" t="s">
        <v>111</v>
      </c>
      <c r="C128" s="54"/>
      <c r="D128" s="55" t="s">
        <v>119</v>
      </c>
      <c r="E128" s="39">
        <f>-'FY24'!Q128</f>
        <v>0</v>
      </c>
      <c r="F128" s="39">
        <v>0</v>
      </c>
      <c r="G128" s="39">
        <v>0</v>
      </c>
      <c r="H128" s="39">
        <v>0</v>
      </c>
      <c r="I128" s="39">
        <v>0</v>
      </c>
      <c r="J128" s="39">
        <v>0</v>
      </c>
      <c r="K128" s="39">
        <v>0</v>
      </c>
      <c r="L128" s="39">
        <v>0</v>
      </c>
      <c r="M128" s="39">
        <v>0</v>
      </c>
      <c r="N128" s="39">
        <v>0</v>
      </c>
      <c r="O128" s="39">
        <v>0</v>
      </c>
      <c r="P128" s="39">
        <v>0</v>
      </c>
      <c r="Q128" s="44"/>
      <c r="R128" s="41"/>
      <c r="S128" s="59">
        <f t="shared" si="49"/>
        <v>0</v>
      </c>
      <c r="T128" s="41"/>
      <c r="U128" s="39"/>
      <c r="V128" s="39"/>
      <c r="W128" s="39"/>
    </row>
    <row r="129" spans="1:23" s="37" customFormat="1" ht="12" x14ac:dyDescent="0.2">
      <c r="A129" s="54"/>
      <c r="B129" s="54" t="s">
        <v>111</v>
      </c>
      <c r="C129" s="54"/>
      <c r="D129" s="55" t="s">
        <v>120</v>
      </c>
      <c r="E129" s="39">
        <v>0</v>
      </c>
      <c r="F129" s="39">
        <v>0</v>
      </c>
      <c r="G129" s="39">
        <v>0</v>
      </c>
      <c r="H129" s="39">
        <v>0</v>
      </c>
      <c r="I129" s="39">
        <v>0</v>
      </c>
      <c r="J129" s="39">
        <v>0</v>
      </c>
      <c r="K129" s="39">
        <v>0</v>
      </c>
      <c r="L129" s="39">
        <v>0</v>
      </c>
      <c r="M129" s="39">
        <v>0</v>
      </c>
      <c r="N129" s="39">
        <v>0</v>
      </c>
      <c r="O129" s="39">
        <v>0</v>
      </c>
      <c r="P129" s="39">
        <v>0</v>
      </c>
      <c r="Q129" s="44"/>
      <c r="R129" s="41"/>
      <c r="S129" s="59">
        <f t="shared" si="49"/>
        <v>0</v>
      </c>
      <c r="T129" s="41"/>
      <c r="U129" s="39"/>
      <c r="V129" s="39"/>
      <c r="W129" s="39"/>
    </row>
    <row r="130" spans="1:23" s="37" customFormat="1" ht="12" x14ac:dyDescent="0.2">
      <c r="A130" s="54"/>
      <c r="B130" s="54" t="s">
        <v>111</v>
      </c>
      <c r="C130" s="54"/>
      <c r="D130" s="55" t="s">
        <v>121</v>
      </c>
      <c r="E130" s="39">
        <v>0</v>
      </c>
      <c r="F130" s="39">
        <v>0</v>
      </c>
      <c r="G130" s="39">
        <v>0</v>
      </c>
      <c r="H130" s="39">
        <v>0</v>
      </c>
      <c r="I130" s="39">
        <v>0</v>
      </c>
      <c r="J130" s="39">
        <v>0</v>
      </c>
      <c r="K130" s="39">
        <v>0</v>
      </c>
      <c r="L130" s="39">
        <v>0</v>
      </c>
      <c r="M130" s="39">
        <v>0</v>
      </c>
      <c r="N130" s="39">
        <v>0</v>
      </c>
      <c r="O130" s="39">
        <v>0</v>
      </c>
      <c r="P130" s="39">
        <v>0</v>
      </c>
      <c r="Q130" s="44"/>
      <c r="R130" s="41"/>
      <c r="S130" s="59">
        <f t="shared" si="49"/>
        <v>0</v>
      </c>
      <c r="T130" s="41"/>
      <c r="U130" s="39"/>
      <c r="V130" s="39"/>
      <c r="W130" s="39"/>
    </row>
    <row r="131" spans="1:23" s="37" customFormat="1" ht="12" x14ac:dyDescent="0.2">
      <c r="A131" s="54"/>
      <c r="B131" s="54" t="s">
        <v>111</v>
      </c>
      <c r="C131" s="54" t="s">
        <v>122</v>
      </c>
      <c r="D131" s="55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44"/>
      <c r="R131" s="41"/>
      <c r="S131" s="59"/>
      <c r="T131" s="41"/>
      <c r="U131" s="39"/>
      <c r="V131" s="39"/>
      <c r="W131" s="39"/>
    </row>
    <row r="132" spans="1:23" s="37" customFormat="1" ht="12" x14ac:dyDescent="0.2">
      <c r="A132" s="54"/>
      <c r="B132" s="54" t="s">
        <v>111</v>
      </c>
      <c r="C132" s="54"/>
      <c r="D132" s="55" t="s">
        <v>123</v>
      </c>
      <c r="E132" s="39">
        <v>0</v>
      </c>
      <c r="F132" s="39">
        <v>0</v>
      </c>
      <c r="G132" s="39">
        <v>0</v>
      </c>
      <c r="H132" s="39">
        <v>0</v>
      </c>
      <c r="I132" s="39">
        <v>0</v>
      </c>
      <c r="J132" s="39">
        <v>0</v>
      </c>
      <c r="K132" s="39">
        <v>0</v>
      </c>
      <c r="L132" s="39">
        <v>0</v>
      </c>
      <c r="M132" s="39">
        <v>0</v>
      </c>
      <c r="N132" s="39">
        <v>0</v>
      </c>
      <c r="O132" s="39">
        <v>0</v>
      </c>
      <c r="P132" s="39">
        <v>0</v>
      </c>
      <c r="Q132" s="44"/>
      <c r="R132" s="41"/>
      <c r="S132" s="59">
        <f t="shared" si="49"/>
        <v>0</v>
      </c>
      <c r="T132" s="41"/>
      <c r="U132" s="39"/>
      <c r="V132" s="39"/>
      <c r="W132" s="39"/>
    </row>
    <row r="133" spans="1:23" s="37" customFormat="1" ht="12" x14ac:dyDescent="0.2">
      <c r="A133" s="54"/>
      <c r="B133" s="54"/>
      <c r="C133" s="54"/>
      <c r="D133" s="54" t="s">
        <v>124</v>
      </c>
      <c r="E133" s="39">
        <v>0</v>
      </c>
      <c r="F133" s="39">
        <v>0</v>
      </c>
      <c r="G133" s="39">
        <v>0</v>
      </c>
      <c r="H133" s="39">
        <v>0</v>
      </c>
      <c r="I133" s="39">
        <v>0</v>
      </c>
      <c r="J133" s="39">
        <v>0</v>
      </c>
      <c r="K133" s="39">
        <v>0</v>
      </c>
      <c r="L133" s="39">
        <v>0</v>
      </c>
      <c r="M133" s="39">
        <v>0</v>
      </c>
      <c r="N133" s="39">
        <v>0</v>
      </c>
      <c r="O133" s="39">
        <v>0</v>
      </c>
      <c r="P133" s="39">
        <v>0</v>
      </c>
      <c r="Q133" s="44"/>
      <c r="R133" s="41"/>
      <c r="S133" s="59">
        <f t="shared" si="49"/>
        <v>0</v>
      </c>
      <c r="T133" s="41"/>
      <c r="U133" s="39"/>
      <c r="V133" s="39"/>
      <c r="W133" s="39"/>
    </row>
    <row r="134" spans="1:23" s="37" customFormat="1" ht="12" x14ac:dyDescent="0.2">
      <c r="A134" s="54"/>
      <c r="B134" s="54"/>
      <c r="C134" s="54" t="s">
        <v>125</v>
      </c>
      <c r="D134" s="54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44"/>
      <c r="R134" s="41"/>
      <c r="S134" s="59"/>
      <c r="T134" s="41"/>
      <c r="U134" s="39"/>
      <c r="V134" s="39"/>
      <c r="W134" s="39"/>
    </row>
    <row r="135" spans="1:23" s="37" customFormat="1" ht="12" x14ac:dyDescent="0.2">
      <c r="A135" s="54"/>
      <c r="B135" s="54"/>
      <c r="C135" s="54"/>
      <c r="D135" s="54" t="s">
        <v>129</v>
      </c>
      <c r="E135" s="39">
        <v>0</v>
      </c>
      <c r="F135" s="39">
        <v>0</v>
      </c>
      <c r="G135" s="39">
        <v>0</v>
      </c>
      <c r="H135" s="39">
        <v>0</v>
      </c>
      <c r="I135" s="39">
        <v>0</v>
      </c>
      <c r="J135" s="39">
        <v>0</v>
      </c>
      <c r="K135" s="39">
        <v>0</v>
      </c>
      <c r="L135" s="39">
        <v>0</v>
      </c>
      <c r="M135" s="39">
        <v>0</v>
      </c>
      <c r="N135" s="39">
        <v>0</v>
      </c>
      <c r="O135" s="39">
        <v>0</v>
      </c>
      <c r="P135" s="39">
        <v>0</v>
      </c>
      <c r="Q135" s="44"/>
      <c r="R135" s="41"/>
      <c r="S135" s="59">
        <f t="shared" si="49"/>
        <v>0</v>
      </c>
      <c r="T135" s="41"/>
      <c r="U135" s="39"/>
      <c r="V135" s="39"/>
      <c r="W135" s="39"/>
    </row>
    <row r="136" spans="1:23" s="37" customFormat="1" ht="12" x14ac:dyDescent="0.2">
      <c r="A136" s="54"/>
      <c r="B136" s="54"/>
      <c r="C136" s="54"/>
      <c r="D136" s="54" t="s">
        <v>130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  <c r="P136" s="42">
        <v>0</v>
      </c>
      <c r="Q136" s="47"/>
      <c r="R136" s="41"/>
      <c r="S136" s="59">
        <f t="shared" si="49"/>
        <v>0</v>
      </c>
      <c r="T136" s="41"/>
      <c r="U136" s="39"/>
      <c r="V136" s="39"/>
      <c r="W136" s="39"/>
    </row>
    <row r="137" spans="1:23" s="37" customFormat="1" ht="12" x14ac:dyDescent="0.2">
      <c r="A137" s="54"/>
      <c r="B137" s="54"/>
      <c r="C137" s="54"/>
      <c r="D137" s="54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41"/>
      <c r="S137" s="40"/>
      <c r="T137" s="41"/>
      <c r="U137" s="39"/>
      <c r="V137" s="39"/>
      <c r="W137" s="39"/>
    </row>
    <row r="138" spans="1:23" s="37" customFormat="1" ht="12" x14ac:dyDescent="0.2">
      <c r="A138" s="54"/>
      <c r="B138" s="54" t="s">
        <v>126</v>
      </c>
      <c r="C138" s="54"/>
      <c r="D138" s="54"/>
      <c r="E138" s="39">
        <f>SUM(E120:E136)</f>
        <v>33336.415177289586</v>
      </c>
      <c r="F138" s="39">
        <f>SUM(F120:F136)</f>
        <v>35741.950720320783</v>
      </c>
      <c r="G138" s="39">
        <f t="shared" ref="G138:P138" si="51">SUM(G120:G136)</f>
        <v>35319.802177920777</v>
      </c>
      <c r="H138" s="39">
        <f t="shared" si="51"/>
        <v>-46392.780692559194</v>
      </c>
      <c r="I138" s="39">
        <f t="shared" si="51"/>
        <v>-66144.880539030361</v>
      </c>
      <c r="J138" s="39">
        <f t="shared" si="51"/>
        <v>39128.736362169584</v>
      </c>
      <c r="K138" s="39">
        <f t="shared" si="51"/>
        <v>36729.323688029581</v>
      </c>
      <c r="L138" s="39">
        <f t="shared" si="51"/>
        <v>35709.477755520784</v>
      </c>
      <c r="M138" s="39">
        <f t="shared" si="51"/>
        <v>-37945.890846947987</v>
      </c>
      <c r="N138" s="39">
        <f t="shared" si="51"/>
        <v>-96556.263512230362</v>
      </c>
      <c r="O138" s="39">
        <f t="shared" si="51"/>
        <v>25801.548972769589</v>
      </c>
      <c r="P138" s="39">
        <f t="shared" si="51"/>
        <v>36621.080472029586</v>
      </c>
      <c r="Q138" s="39"/>
      <c r="R138" s="41"/>
      <c r="S138" s="40"/>
      <c r="T138" s="41"/>
      <c r="U138" s="39"/>
      <c r="V138" s="39"/>
      <c r="W138" s="39"/>
    </row>
    <row r="139" spans="1:23" s="37" customFormat="1" ht="12" x14ac:dyDescent="0.2">
      <c r="A139" s="54"/>
      <c r="B139" s="54" t="s">
        <v>127</v>
      </c>
      <c r="C139" s="54"/>
      <c r="D139" s="54"/>
      <c r="E139" s="42">
        <f>'FY24'!P141</f>
        <v>40648.036114120696</v>
      </c>
      <c r="F139" s="42">
        <f>E141</f>
        <v>73984.451291410282</v>
      </c>
      <c r="G139" s="42">
        <f t="shared" ref="G139:P139" si="52">F141</f>
        <v>109726.40201173106</v>
      </c>
      <c r="H139" s="42">
        <f t="shared" si="52"/>
        <v>145046.20418965182</v>
      </c>
      <c r="I139" s="42">
        <f t="shared" si="52"/>
        <v>98653.423497092619</v>
      </c>
      <c r="J139" s="42">
        <f t="shared" si="52"/>
        <v>32508.542958062259</v>
      </c>
      <c r="K139" s="42">
        <f t="shared" si="52"/>
        <v>71637.279320231843</v>
      </c>
      <c r="L139" s="42">
        <f t="shared" si="52"/>
        <v>108366.60300826142</v>
      </c>
      <c r="M139" s="42">
        <f t="shared" si="52"/>
        <v>144076.0807637822</v>
      </c>
      <c r="N139" s="42">
        <f t="shared" si="52"/>
        <v>106130.18991683421</v>
      </c>
      <c r="O139" s="42">
        <f t="shared" si="52"/>
        <v>9573.9264046038443</v>
      </c>
      <c r="P139" s="42">
        <f t="shared" si="52"/>
        <v>35375.475377373434</v>
      </c>
      <c r="Q139" s="39"/>
      <c r="R139" s="41"/>
      <c r="S139" s="40"/>
      <c r="T139" s="41"/>
      <c r="U139" s="39"/>
      <c r="V139" s="39"/>
      <c r="W139" s="39"/>
    </row>
    <row r="140" spans="1:23" s="37" customFormat="1" ht="12" x14ac:dyDescent="0.2">
      <c r="A140" s="54"/>
      <c r="B140" s="54"/>
      <c r="C140" s="54"/>
      <c r="D140" s="54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41"/>
      <c r="S140" s="40"/>
      <c r="T140" s="41"/>
      <c r="U140" s="39"/>
      <c r="V140" s="39"/>
      <c r="W140" s="39"/>
    </row>
    <row r="141" spans="1:23" s="37" customFormat="1" ht="12.75" thickBot="1" x14ac:dyDescent="0.25">
      <c r="A141" s="53"/>
      <c r="B141" s="53" t="s">
        <v>128</v>
      </c>
      <c r="C141" s="53"/>
      <c r="D141" s="53"/>
      <c r="E141" s="194">
        <f>SUM(E138:E140)</f>
        <v>73984.451291410282</v>
      </c>
      <c r="F141" s="194">
        <f>SUM(F138:F140)</f>
        <v>109726.40201173106</v>
      </c>
      <c r="G141" s="194">
        <f t="shared" ref="G141:P141" si="53">SUM(G138:G140)</f>
        <v>145046.20418965182</v>
      </c>
      <c r="H141" s="194">
        <f t="shared" si="53"/>
        <v>98653.423497092619</v>
      </c>
      <c r="I141" s="194">
        <f t="shared" si="53"/>
        <v>32508.542958062259</v>
      </c>
      <c r="J141" s="194">
        <f t="shared" si="53"/>
        <v>71637.279320231843</v>
      </c>
      <c r="K141" s="194">
        <f t="shared" si="53"/>
        <v>108366.60300826142</v>
      </c>
      <c r="L141" s="194">
        <f t="shared" si="53"/>
        <v>144076.0807637822</v>
      </c>
      <c r="M141" s="194">
        <f t="shared" si="53"/>
        <v>106130.18991683421</v>
      </c>
      <c r="N141" s="194">
        <f t="shared" si="53"/>
        <v>9573.9264046038443</v>
      </c>
      <c r="O141" s="194">
        <f t="shared" si="53"/>
        <v>35375.475377373434</v>
      </c>
      <c r="P141" s="194">
        <f t="shared" si="53"/>
        <v>71996.555849403027</v>
      </c>
      <c r="Q141" s="39"/>
      <c r="R141" s="41"/>
      <c r="S141" s="40"/>
      <c r="T141" s="41"/>
      <c r="U141" s="39"/>
      <c r="V141" s="39"/>
      <c r="W141" s="39"/>
    </row>
    <row r="142" spans="1:23" s="37" customFormat="1" ht="12.75" thickTop="1" x14ac:dyDescent="0.2">
      <c r="C142" s="38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41"/>
      <c r="S142" s="40"/>
      <c r="T142" s="41"/>
      <c r="U142" s="39"/>
      <c r="V142" s="39"/>
      <c r="W142" s="39"/>
    </row>
    <row r="143" spans="1:23" s="37" customFormat="1" ht="12" x14ac:dyDescent="0.2">
      <c r="C143" s="38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41"/>
      <c r="S143" s="40"/>
      <c r="T143" s="41"/>
      <c r="U143" s="39"/>
      <c r="V143" s="39"/>
      <c r="W143" s="39"/>
    </row>
    <row r="144" spans="1:23" s="37" customFormat="1" ht="12" x14ac:dyDescent="0.2">
      <c r="C144" s="38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41"/>
      <c r="S144" s="40"/>
      <c r="T144" s="41"/>
      <c r="U144" s="39"/>
      <c r="V144" s="39"/>
      <c r="W144" s="39"/>
    </row>
    <row r="145" spans="3:23" s="37" customFormat="1" ht="12" x14ac:dyDescent="0.2">
      <c r="C145" s="38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41"/>
      <c r="S145" s="40"/>
      <c r="T145" s="41"/>
      <c r="U145" s="39"/>
      <c r="V145" s="39"/>
      <c r="W145" s="39"/>
    </row>
    <row r="146" spans="3:23" s="37" customFormat="1" ht="12" x14ac:dyDescent="0.2">
      <c r="C146" s="38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41"/>
      <c r="S146" s="40"/>
      <c r="T146" s="41"/>
      <c r="U146" s="39"/>
      <c r="V146" s="39"/>
      <c r="W146" s="39"/>
    </row>
    <row r="147" spans="3:23" s="37" customFormat="1" ht="12" x14ac:dyDescent="0.2">
      <c r="C147" s="38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41"/>
      <c r="S147" s="40"/>
      <c r="T147" s="41"/>
      <c r="U147" s="39"/>
      <c r="V147" s="39"/>
      <c r="W147" s="39"/>
    </row>
    <row r="148" spans="3:23" s="37" customFormat="1" ht="12" x14ac:dyDescent="0.2">
      <c r="C148" s="38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41"/>
      <c r="S148" s="40"/>
      <c r="T148" s="41"/>
      <c r="U148" s="39"/>
      <c r="V148" s="39"/>
      <c r="W148" s="39"/>
    </row>
    <row r="149" spans="3:23" s="37" customFormat="1" ht="12" x14ac:dyDescent="0.2">
      <c r="C149" s="38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41"/>
      <c r="S149" s="40"/>
      <c r="T149" s="41"/>
      <c r="U149" s="39"/>
      <c r="V149" s="39"/>
      <c r="W149" s="39"/>
    </row>
    <row r="150" spans="3:23" s="37" customFormat="1" ht="12" x14ac:dyDescent="0.2">
      <c r="C150" s="38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41"/>
      <c r="S150" s="40"/>
      <c r="T150" s="41"/>
      <c r="U150" s="39"/>
      <c r="V150" s="39"/>
      <c r="W150" s="39"/>
    </row>
    <row r="151" spans="3:23" s="37" customFormat="1" ht="12" x14ac:dyDescent="0.2">
      <c r="C151" s="38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41"/>
      <c r="S151" s="40"/>
      <c r="T151" s="41"/>
      <c r="U151" s="39"/>
      <c r="V151" s="39"/>
      <c r="W151" s="39"/>
    </row>
    <row r="152" spans="3:23" s="37" customFormat="1" ht="12" x14ac:dyDescent="0.2">
      <c r="C152" s="38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41"/>
      <c r="S152" s="40"/>
      <c r="T152" s="41"/>
      <c r="U152" s="39"/>
      <c r="V152" s="39"/>
      <c r="W152" s="39"/>
    </row>
    <row r="153" spans="3:23" s="37" customFormat="1" ht="12" x14ac:dyDescent="0.2">
      <c r="C153" s="38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41"/>
      <c r="S153" s="40"/>
      <c r="T153" s="41"/>
      <c r="U153" s="39"/>
      <c r="V153" s="39"/>
      <c r="W153" s="39"/>
    </row>
    <row r="154" spans="3:23" s="37" customFormat="1" ht="12" x14ac:dyDescent="0.2">
      <c r="C154" s="38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41"/>
      <c r="S154" s="40"/>
      <c r="T154" s="41"/>
      <c r="U154" s="39"/>
      <c r="V154" s="39"/>
      <c r="W154" s="39"/>
    </row>
    <row r="155" spans="3:23" s="37" customFormat="1" ht="12" x14ac:dyDescent="0.2">
      <c r="C155" s="38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41"/>
      <c r="S155" s="40"/>
      <c r="T155" s="41"/>
      <c r="U155" s="39"/>
      <c r="V155" s="39"/>
      <c r="W155" s="39"/>
    </row>
    <row r="156" spans="3:23" s="37" customFormat="1" ht="12" x14ac:dyDescent="0.2">
      <c r="C156" s="38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41"/>
      <c r="S156" s="40"/>
      <c r="T156" s="41"/>
      <c r="U156" s="39"/>
      <c r="V156" s="39"/>
      <c r="W156" s="39"/>
    </row>
    <row r="157" spans="3:23" s="37" customFormat="1" ht="12" x14ac:dyDescent="0.2">
      <c r="C157" s="38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41"/>
      <c r="S157" s="40"/>
      <c r="T157" s="41"/>
      <c r="U157" s="39"/>
      <c r="V157" s="39"/>
      <c r="W157" s="39"/>
    </row>
    <row r="158" spans="3:23" s="37" customFormat="1" ht="12" x14ac:dyDescent="0.2">
      <c r="C158" s="38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41"/>
      <c r="S158" s="40"/>
      <c r="T158" s="41"/>
      <c r="U158" s="39"/>
      <c r="V158" s="39"/>
      <c r="W158" s="39"/>
    </row>
    <row r="159" spans="3:23" s="37" customFormat="1" ht="12" x14ac:dyDescent="0.2">
      <c r="C159" s="38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41"/>
      <c r="S159" s="40"/>
      <c r="T159" s="41"/>
      <c r="U159" s="39"/>
      <c r="V159" s="39"/>
      <c r="W159" s="39"/>
    </row>
    <row r="160" spans="3:23" s="37" customFormat="1" ht="12" x14ac:dyDescent="0.2">
      <c r="C160" s="38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41"/>
      <c r="S160" s="40"/>
      <c r="T160" s="41"/>
      <c r="U160" s="39"/>
      <c r="V160" s="39"/>
      <c r="W160" s="39"/>
    </row>
    <row r="161" spans="3:23" s="37" customFormat="1" ht="12" x14ac:dyDescent="0.2">
      <c r="C161" s="38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41"/>
      <c r="S161" s="40"/>
      <c r="T161" s="41"/>
      <c r="U161" s="39"/>
      <c r="V161" s="39"/>
      <c r="W161" s="39"/>
    </row>
    <row r="162" spans="3:23" s="37" customFormat="1" ht="12" x14ac:dyDescent="0.2">
      <c r="C162" s="38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41"/>
      <c r="S162" s="40"/>
      <c r="T162" s="41"/>
      <c r="U162" s="39"/>
      <c r="V162" s="39"/>
      <c r="W162" s="39"/>
    </row>
    <row r="163" spans="3:23" s="37" customFormat="1" ht="12" x14ac:dyDescent="0.2">
      <c r="C163" s="38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41"/>
      <c r="S163" s="40"/>
      <c r="T163" s="41"/>
      <c r="U163" s="39"/>
      <c r="V163" s="39"/>
      <c r="W163" s="39"/>
    </row>
    <row r="164" spans="3:23" s="37" customFormat="1" ht="12" x14ac:dyDescent="0.2">
      <c r="C164" s="38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41"/>
      <c r="S164" s="40"/>
      <c r="T164" s="41"/>
      <c r="U164" s="39"/>
      <c r="V164" s="39"/>
      <c r="W164" s="39"/>
    </row>
    <row r="165" spans="3:23" s="37" customFormat="1" ht="12" x14ac:dyDescent="0.2">
      <c r="C165" s="38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41"/>
      <c r="S165" s="40"/>
      <c r="T165" s="41"/>
      <c r="U165" s="39"/>
      <c r="V165" s="39"/>
      <c r="W165" s="39"/>
    </row>
    <row r="166" spans="3:23" s="37" customFormat="1" ht="12" x14ac:dyDescent="0.2">
      <c r="C166" s="38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41"/>
      <c r="S166" s="40"/>
      <c r="T166" s="41"/>
      <c r="U166" s="39"/>
      <c r="V166" s="39"/>
      <c r="W166" s="39"/>
    </row>
    <row r="167" spans="3:23" s="37" customFormat="1" ht="12" x14ac:dyDescent="0.2">
      <c r="C167" s="38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41"/>
      <c r="S167" s="40"/>
      <c r="T167" s="41"/>
      <c r="U167" s="39"/>
      <c r="V167" s="39"/>
      <c r="W167" s="39"/>
    </row>
    <row r="168" spans="3:23" s="37" customFormat="1" ht="12" x14ac:dyDescent="0.2">
      <c r="C168" s="38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41"/>
      <c r="S168" s="40"/>
      <c r="T168" s="41"/>
      <c r="U168" s="39"/>
      <c r="V168" s="39"/>
      <c r="W168" s="39"/>
    </row>
    <row r="169" spans="3:23" s="37" customFormat="1" ht="12" x14ac:dyDescent="0.2">
      <c r="C169" s="38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41"/>
      <c r="S169" s="40"/>
      <c r="T169" s="41"/>
      <c r="U169" s="39"/>
      <c r="V169" s="39"/>
      <c r="W169" s="39"/>
    </row>
    <row r="170" spans="3:23" s="37" customFormat="1" ht="12" x14ac:dyDescent="0.2">
      <c r="C170" s="38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41"/>
      <c r="S170" s="40"/>
      <c r="T170" s="41"/>
      <c r="U170" s="39"/>
      <c r="V170" s="39"/>
      <c r="W170" s="39"/>
    </row>
    <row r="171" spans="3:23" s="37" customFormat="1" ht="12" x14ac:dyDescent="0.2">
      <c r="C171" s="38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41"/>
      <c r="S171" s="40"/>
      <c r="T171" s="41"/>
      <c r="U171" s="39"/>
      <c r="V171" s="39"/>
      <c r="W171" s="39"/>
    </row>
    <row r="172" spans="3:23" s="37" customFormat="1" ht="12" x14ac:dyDescent="0.2">
      <c r="C172" s="38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41"/>
      <c r="S172" s="40"/>
      <c r="T172" s="41"/>
      <c r="U172" s="39"/>
      <c r="V172" s="39"/>
      <c r="W172" s="39"/>
    </row>
    <row r="173" spans="3:23" s="37" customFormat="1" ht="12" x14ac:dyDescent="0.2">
      <c r="C173" s="38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41"/>
      <c r="S173" s="40"/>
      <c r="T173" s="41"/>
      <c r="U173" s="39"/>
      <c r="V173" s="39"/>
      <c r="W173" s="39"/>
    </row>
    <row r="174" spans="3:23" s="37" customFormat="1" ht="12" x14ac:dyDescent="0.2">
      <c r="C174" s="38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41"/>
      <c r="S174" s="40"/>
      <c r="T174" s="41"/>
      <c r="U174" s="39"/>
      <c r="V174" s="39"/>
      <c r="W174" s="39"/>
    </row>
    <row r="175" spans="3:23" s="37" customFormat="1" ht="12" x14ac:dyDescent="0.2">
      <c r="C175" s="38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41"/>
      <c r="S175" s="40"/>
      <c r="T175" s="41"/>
      <c r="U175" s="39"/>
      <c r="V175" s="39"/>
      <c r="W175" s="39"/>
    </row>
    <row r="176" spans="3:23" s="37" customFormat="1" ht="12" x14ac:dyDescent="0.2">
      <c r="C176" s="38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41"/>
      <c r="S176" s="40"/>
      <c r="T176" s="41"/>
      <c r="U176" s="39"/>
      <c r="V176" s="39"/>
      <c r="W176" s="39"/>
    </row>
    <row r="177" spans="3:23" s="37" customFormat="1" ht="12" x14ac:dyDescent="0.2">
      <c r="C177" s="38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41"/>
      <c r="S177" s="40"/>
      <c r="T177" s="41"/>
      <c r="U177" s="39"/>
      <c r="V177" s="39"/>
      <c r="W177" s="39"/>
    </row>
    <row r="178" spans="3:23" s="37" customFormat="1" ht="12" x14ac:dyDescent="0.2">
      <c r="C178" s="38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41"/>
      <c r="S178" s="40"/>
      <c r="T178" s="41"/>
      <c r="U178" s="39"/>
      <c r="V178" s="39"/>
      <c r="W178" s="39"/>
    </row>
    <row r="179" spans="3:23" s="37" customFormat="1" ht="12" x14ac:dyDescent="0.2">
      <c r="C179" s="38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41"/>
      <c r="S179" s="40"/>
      <c r="T179" s="41"/>
      <c r="U179" s="39"/>
      <c r="V179" s="39"/>
      <c r="W179" s="39"/>
    </row>
    <row r="180" spans="3:23" s="37" customFormat="1" ht="12" x14ac:dyDescent="0.2">
      <c r="C180" s="38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41"/>
      <c r="S180" s="40"/>
      <c r="T180" s="41"/>
      <c r="U180" s="39"/>
      <c r="V180" s="39"/>
      <c r="W180" s="39"/>
    </row>
    <row r="181" spans="3:23" s="37" customFormat="1" ht="12" x14ac:dyDescent="0.2">
      <c r="C181" s="38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41"/>
      <c r="S181" s="40"/>
      <c r="T181" s="41"/>
      <c r="U181" s="39"/>
      <c r="V181" s="39"/>
      <c r="W181" s="39"/>
    </row>
    <row r="182" spans="3:23" s="37" customFormat="1" ht="12" x14ac:dyDescent="0.2">
      <c r="C182" s="38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41"/>
      <c r="S182" s="40"/>
      <c r="T182" s="41"/>
      <c r="U182" s="39"/>
      <c r="V182" s="39"/>
      <c r="W182" s="39"/>
    </row>
    <row r="183" spans="3:23" s="37" customFormat="1" ht="12" x14ac:dyDescent="0.2">
      <c r="C183" s="38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41"/>
      <c r="S183" s="40"/>
      <c r="T183" s="41"/>
      <c r="U183" s="39"/>
      <c r="V183" s="39"/>
      <c r="W183" s="39"/>
    </row>
    <row r="184" spans="3:23" s="37" customFormat="1" ht="12" x14ac:dyDescent="0.2">
      <c r="C184" s="38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41"/>
      <c r="S184" s="40"/>
      <c r="T184" s="41"/>
      <c r="U184" s="39"/>
      <c r="V184" s="39"/>
      <c r="W184" s="39"/>
    </row>
    <row r="185" spans="3:23" s="37" customFormat="1" ht="12" x14ac:dyDescent="0.2">
      <c r="C185" s="38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41"/>
      <c r="S185" s="40"/>
      <c r="T185" s="41"/>
      <c r="U185" s="39"/>
      <c r="V185" s="39"/>
      <c r="W185" s="39"/>
    </row>
    <row r="186" spans="3:23" s="37" customFormat="1" ht="12" x14ac:dyDescent="0.2">
      <c r="C186" s="38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41"/>
      <c r="S186" s="40"/>
      <c r="T186" s="41"/>
      <c r="U186" s="39"/>
      <c r="V186" s="39"/>
      <c r="W186" s="39"/>
    </row>
    <row r="187" spans="3:23" s="37" customFormat="1" ht="12" x14ac:dyDescent="0.2">
      <c r="C187" s="38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41"/>
      <c r="S187" s="40"/>
      <c r="T187" s="41"/>
      <c r="U187" s="39"/>
      <c r="V187" s="39"/>
      <c r="W187" s="39"/>
    </row>
    <row r="188" spans="3:23" s="37" customFormat="1" ht="12" x14ac:dyDescent="0.2">
      <c r="C188" s="38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41"/>
      <c r="S188" s="40"/>
      <c r="T188" s="41"/>
      <c r="U188" s="39"/>
      <c r="V188" s="39"/>
      <c r="W188" s="39"/>
    </row>
    <row r="189" spans="3:23" s="37" customFormat="1" ht="12" x14ac:dyDescent="0.2">
      <c r="C189" s="38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41"/>
      <c r="S189" s="40"/>
      <c r="T189" s="41"/>
      <c r="U189" s="39"/>
      <c r="V189" s="39"/>
      <c r="W189" s="39"/>
    </row>
    <row r="190" spans="3:23" s="37" customFormat="1" ht="12" x14ac:dyDescent="0.2">
      <c r="C190" s="38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41"/>
      <c r="S190" s="40"/>
      <c r="T190" s="41"/>
      <c r="U190" s="39"/>
      <c r="V190" s="39"/>
      <c r="W190" s="39"/>
    </row>
    <row r="191" spans="3:23" s="37" customFormat="1" ht="12" x14ac:dyDescent="0.2">
      <c r="C191" s="38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41"/>
      <c r="S191" s="40"/>
      <c r="T191" s="41"/>
      <c r="U191" s="39"/>
      <c r="V191" s="39"/>
      <c r="W191" s="39"/>
    </row>
    <row r="192" spans="3:23" s="37" customFormat="1" ht="12" x14ac:dyDescent="0.2">
      <c r="C192" s="38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41"/>
      <c r="S192" s="40"/>
      <c r="T192" s="41"/>
      <c r="U192" s="39"/>
      <c r="V192" s="39"/>
      <c r="W192" s="39"/>
    </row>
    <row r="193" spans="3:23" s="37" customFormat="1" ht="12" x14ac:dyDescent="0.2">
      <c r="C193" s="38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41"/>
      <c r="S193" s="40"/>
      <c r="T193" s="41"/>
      <c r="U193" s="39"/>
      <c r="V193" s="39"/>
      <c r="W193" s="39"/>
    </row>
    <row r="194" spans="3:23" s="37" customFormat="1" ht="12" x14ac:dyDescent="0.2">
      <c r="C194" s="38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41"/>
      <c r="S194" s="40"/>
      <c r="T194" s="41"/>
      <c r="U194" s="39"/>
      <c r="V194" s="39"/>
      <c r="W194" s="39"/>
    </row>
    <row r="195" spans="3:23" s="37" customFormat="1" ht="12" x14ac:dyDescent="0.2">
      <c r="C195" s="38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41"/>
      <c r="S195" s="40"/>
      <c r="T195" s="41"/>
      <c r="U195" s="39"/>
      <c r="V195" s="39"/>
      <c r="W195" s="39"/>
    </row>
    <row r="196" spans="3:23" s="37" customFormat="1" ht="12" x14ac:dyDescent="0.2">
      <c r="C196" s="38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41"/>
      <c r="S196" s="40"/>
      <c r="T196" s="41"/>
      <c r="U196" s="39"/>
      <c r="V196" s="39"/>
      <c r="W196" s="39"/>
    </row>
    <row r="197" spans="3:23" s="37" customFormat="1" ht="12" x14ac:dyDescent="0.2">
      <c r="C197" s="38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41"/>
      <c r="S197" s="40"/>
      <c r="T197" s="41"/>
      <c r="U197" s="39"/>
      <c r="V197" s="39"/>
      <c r="W197" s="39"/>
    </row>
    <row r="198" spans="3:23" s="37" customFormat="1" ht="12" x14ac:dyDescent="0.2">
      <c r="C198" s="38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41"/>
      <c r="S198" s="40"/>
      <c r="T198" s="41"/>
      <c r="U198" s="39"/>
      <c r="V198" s="39"/>
      <c r="W198" s="39"/>
    </row>
    <row r="199" spans="3:23" s="37" customFormat="1" ht="12" x14ac:dyDescent="0.2">
      <c r="C199" s="38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41"/>
      <c r="S199" s="40"/>
      <c r="T199" s="41"/>
      <c r="U199" s="39"/>
      <c r="V199" s="39"/>
      <c r="W199" s="39"/>
    </row>
    <row r="200" spans="3:23" s="37" customFormat="1" ht="12" x14ac:dyDescent="0.2">
      <c r="C200" s="38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41"/>
      <c r="S200" s="40"/>
      <c r="T200" s="41"/>
      <c r="U200" s="39"/>
      <c r="V200" s="39"/>
      <c r="W200" s="39"/>
    </row>
    <row r="201" spans="3:23" s="37" customFormat="1" ht="12" x14ac:dyDescent="0.2">
      <c r="C201" s="38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41"/>
      <c r="S201" s="40"/>
      <c r="T201" s="41"/>
      <c r="U201" s="39"/>
      <c r="V201" s="39"/>
      <c r="W201" s="39"/>
    </row>
    <row r="202" spans="3:23" s="37" customFormat="1" ht="12" x14ac:dyDescent="0.2">
      <c r="C202" s="38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41"/>
      <c r="S202" s="40"/>
      <c r="T202" s="41"/>
      <c r="U202" s="39"/>
      <c r="V202" s="39"/>
      <c r="W202" s="39"/>
    </row>
    <row r="203" spans="3:23" s="37" customFormat="1" ht="12" x14ac:dyDescent="0.2">
      <c r="C203" s="38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41"/>
      <c r="S203" s="40"/>
      <c r="T203" s="41"/>
      <c r="U203" s="39"/>
      <c r="V203" s="39"/>
      <c r="W203" s="39"/>
    </row>
    <row r="204" spans="3:23" s="37" customFormat="1" ht="12" x14ac:dyDescent="0.2">
      <c r="C204" s="38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41"/>
      <c r="S204" s="40"/>
      <c r="T204" s="41"/>
      <c r="U204" s="39"/>
      <c r="V204" s="39"/>
      <c r="W204" s="39"/>
    </row>
    <row r="205" spans="3:23" s="37" customFormat="1" ht="12" x14ac:dyDescent="0.2">
      <c r="C205" s="38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41"/>
      <c r="S205" s="40"/>
      <c r="T205" s="41"/>
      <c r="U205" s="39"/>
      <c r="V205" s="39"/>
      <c r="W205" s="39"/>
    </row>
    <row r="206" spans="3:23" s="37" customFormat="1" ht="12" x14ac:dyDescent="0.2">
      <c r="C206" s="38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41"/>
      <c r="S206" s="40"/>
      <c r="T206" s="41"/>
      <c r="U206" s="39"/>
      <c r="V206" s="39"/>
      <c r="W206" s="39"/>
    </row>
    <row r="207" spans="3:23" s="37" customFormat="1" ht="12" x14ac:dyDescent="0.2">
      <c r="C207" s="38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41"/>
      <c r="S207" s="40"/>
      <c r="T207" s="41"/>
      <c r="U207" s="39"/>
      <c r="V207" s="39"/>
      <c r="W207" s="39"/>
    </row>
    <row r="208" spans="3:23" s="37" customFormat="1" ht="12" x14ac:dyDescent="0.2">
      <c r="C208" s="38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41"/>
      <c r="S208" s="40"/>
      <c r="T208" s="41"/>
      <c r="U208" s="39"/>
      <c r="V208" s="39"/>
      <c r="W208" s="39"/>
    </row>
    <row r="209" spans="3:23" s="37" customFormat="1" ht="12" x14ac:dyDescent="0.2">
      <c r="C209" s="38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41"/>
      <c r="S209" s="40"/>
      <c r="T209" s="41"/>
      <c r="U209" s="39"/>
      <c r="V209" s="39"/>
      <c r="W209" s="39"/>
    </row>
    <row r="210" spans="3:23" s="37" customFormat="1" ht="12" x14ac:dyDescent="0.2">
      <c r="C210" s="38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41"/>
      <c r="S210" s="40"/>
      <c r="T210" s="41"/>
      <c r="U210" s="39"/>
      <c r="V210" s="39"/>
      <c r="W210" s="39"/>
    </row>
    <row r="211" spans="3:23" s="37" customFormat="1" ht="12" x14ac:dyDescent="0.2">
      <c r="C211" s="38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41"/>
      <c r="S211" s="40"/>
      <c r="T211" s="41"/>
      <c r="U211" s="39"/>
      <c r="V211" s="39"/>
      <c r="W211" s="39"/>
    </row>
    <row r="212" spans="3:23" s="37" customFormat="1" ht="12" x14ac:dyDescent="0.2">
      <c r="C212" s="38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41"/>
      <c r="S212" s="40"/>
      <c r="T212" s="41"/>
      <c r="U212" s="39"/>
      <c r="V212" s="39"/>
      <c r="W212" s="39"/>
    </row>
    <row r="213" spans="3:23" s="37" customFormat="1" ht="12" x14ac:dyDescent="0.2">
      <c r="C213" s="38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41"/>
      <c r="S213" s="40"/>
      <c r="T213" s="41"/>
      <c r="U213" s="39"/>
      <c r="V213" s="39"/>
      <c r="W213" s="39"/>
    </row>
    <row r="214" spans="3:23" s="37" customFormat="1" ht="12" x14ac:dyDescent="0.2">
      <c r="C214" s="38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41"/>
      <c r="S214" s="40"/>
      <c r="T214" s="41"/>
      <c r="U214" s="39"/>
      <c r="V214" s="39"/>
      <c r="W214" s="39"/>
    </row>
    <row r="215" spans="3:23" s="37" customFormat="1" ht="12" x14ac:dyDescent="0.2">
      <c r="C215" s="38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41"/>
      <c r="S215" s="40"/>
      <c r="T215" s="41"/>
      <c r="U215" s="39"/>
      <c r="V215" s="39"/>
      <c r="W215" s="39"/>
    </row>
    <row r="216" spans="3:23" s="37" customFormat="1" ht="12" x14ac:dyDescent="0.2">
      <c r="C216" s="38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41"/>
      <c r="S216" s="40"/>
      <c r="T216" s="41"/>
      <c r="U216" s="39"/>
      <c r="V216" s="39"/>
      <c r="W216" s="39"/>
    </row>
    <row r="217" spans="3:23" s="37" customFormat="1" ht="12" x14ac:dyDescent="0.2">
      <c r="C217" s="38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41"/>
      <c r="S217" s="40"/>
      <c r="T217" s="41"/>
      <c r="U217" s="39"/>
      <c r="V217" s="39"/>
      <c r="W217" s="39"/>
    </row>
    <row r="218" spans="3:23" s="37" customFormat="1" ht="12" x14ac:dyDescent="0.2">
      <c r="C218" s="38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41"/>
      <c r="S218" s="40"/>
      <c r="T218" s="41"/>
      <c r="U218" s="39"/>
      <c r="V218" s="39"/>
      <c r="W218" s="39"/>
    </row>
    <row r="219" spans="3:23" s="37" customFormat="1" ht="12" x14ac:dyDescent="0.2">
      <c r="C219" s="38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41"/>
      <c r="S219" s="40"/>
      <c r="T219" s="41"/>
      <c r="U219" s="39"/>
      <c r="V219" s="39"/>
      <c r="W219" s="39"/>
    </row>
    <row r="220" spans="3:23" s="37" customFormat="1" ht="12" x14ac:dyDescent="0.2">
      <c r="C220" s="38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41"/>
      <c r="S220" s="40"/>
      <c r="T220" s="41"/>
      <c r="U220" s="39"/>
      <c r="V220" s="39"/>
      <c r="W220" s="39"/>
    </row>
    <row r="221" spans="3:23" s="37" customFormat="1" ht="12" x14ac:dyDescent="0.2">
      <c r="C221" s="38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41"/>
      <c r="S221" s="40"/>
      <c r="T221" s="41"/>
      <c r="U221" s="39"/>
      <c r="V221" s="39"/>
      <c r="W221" s="39"/>
    </row>
    <row r="222" spans="3:23" s="37" customFormat="1" ht="12" x14ac:dyDescent="0.2">
      <c r="C222" s="38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41"/>
      <c r="S222" s="40"/>
      <c r="T222" s="41"/>
      <c r="U222" s="39"/>
      <c r="V222" s="39"/>
      <c r="W222" s="39"/>
    </row>
    <row r="223" spans="3:23" s="37" customFormat="1" ht="12" x14ac:dyDescent="0.2">
      <c r="C223" s="38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41"/>
      <c r="S223" s="40"/>
      <c r="T223" s="41"/>
      <c r="U223" s="39"/>
      <c r="V223" s="39"/>
      <c r="W223" s="39"/>
    </row>
    <row r="224" spans="3:23" s="37" customFormat="1" ht="12" x14ac:dyDescent="0.2">
      <c r="C224" s="38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41"/>
      <c r="S224" s="40"/>
      <c r="T224" s="41"/>
      <c r="U224" s="39"/>
      <c r="V224" s="39"/>
      <c r="W224" s="39"/>
    </row>
    <row r="225" spans="3:23" s="37" customFormat="1" ht="12" x14ac:dyDescent="0.2">
      <c r="C225" s="38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41"/>
      <c r="S225" s="40"/>
      <c r="T225" s="41"/>
      <c r="U225" s="39"/>
      <c r="V225" s="39"/>
      <c r="W225" s="39"/>
    </row>
    <row r="226" spans="3:23" s="37" customFormat="1" ht="12" x14ac:dyDescent="0.2">
      <c r="C226" s="38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41"/>
      <c r="S226" s="40"/>
      <c r="T226" s="41"/>
      <c r="U226" s="39"/>
      <c r="V226" s="39"/>
      <c r="W226" s="39"/>
    </row>
    <row r="227" spans="3:23" s="37" customFormat="1" ht="12" x14ac:dyDescent="0.2">
      <c r="C227" s="38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41"/>
      <c r="S227" s="40"/>
      <c r="T227" s="41"/>
      <c r="U227" s="39"/>
      <c r="V227" s="39"/>
      <c r="W227" s="39"/>
    </row>
    <row r="228" spans="3:23" s="37" customFormat="1" ht="12" x14ac:dyDescent="0.2">
      <c r="C228" s="38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41"/>
      <c r="S228" s="40"/>
      <c r="T228" s="41"/>
      <c r="U228" s="39"/>
      <c r="V228" s="39"/>
      <c r="W228" s="39"/>
    </row>
    <row r="229" spans="3:23" s="37" customFormat="1" ht="12" x14ac:dyDescent="0.2">
      <c r="C229" s="38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41"/>
      <c r="S229" s="40"/>
      <c r="T229" s="41"/>
      <c r="U229" s="39"/>
      <c r="V229" s="39"/>
      <c r="W229" s="39"/>
    </row>
    <row r="230" spans="3:23" s="37" customFormat="1" ht="12" x14ac:dyDescent="0.2">
      <c r="C230" s="38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41"/>
      <c r="S230" s="40"/>
      <c r="T230" s="41"/>
      <c r="U230" s="39"/>
      <c r="V230" s="39"/>
      <c r="W230" s="39"/>
    </row>
    <row r="231" spans="3:23" s="37" customFormat="1" ht="12" x14ac:dyDescent="0.2">
      <c r="C231" s="38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41"/>
      <c r="S231" s="40"/>
      <c r="T231" s="41"/>
      <c r="U231" s="39"/>
      <c r="V231" s="39"/>
      <c r="W231" s="39"/>
    </row>
    <row r="232" spans="3:23" s="37" customFormat="1" ht="12" x14ac:dyDescent="0.2">
      <c r="C232" s="38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41"/>
      <c r="S232" s="40"/>
      <c r="T232" s="41"/>
      <c r="U232" s="39"/>
      <c r="V232" s="39"/>
      <c r="W232" s="39"/>
    </row>
    <row r="233" spans="3:23" s="37" customFormat="1" ht="12" x14ac:dyDescent="0.2">
      <c r="C233" s="38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41"/>
      <c r="S233" s="40"/>
      <c r="T233" s="41"/>
      <c r="U233" s="39"/>
      <c r="V233" s="39"/>
      <c r="W233" s="39"/>
    </row>
    <row r="234" spans="3:23" s="37" customFormat="1" ht="12" x14ac:dyDescent="0.2">
      <c r="C234" s="38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41"/>
      <c r="S234" s="40"/>
      <c r="T234" s="41"/>
      <c r="U234" s="39"/>
      <c r="V234" s="39"/>
      <c r="W234" s="39"/>
    </row>
    <row r="235" spans="3:23" s="37" customFormat="1" ht="12" x14ac:dyDescent="0.2">
      <c r="C235" s="38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41"/>
      <c r="S235" s="40"/>
      <c r="T235" s="41"/>
      <c r="U235" s="39"/>
      <c r="V235" s="39"/>
      <c r="W235" s="39"/>
    </row>
    <row r="236" spans="3:23" s="37" customFormat="1" ht="12" x14ac:dyDescent="0.2">
      <c r="C236" s="38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41"/>
      <c r="S236" s="40"/>
      <c r="T236" s="41"/>
      <c r="U236" s="39"/>
      <c r="V236" s="39"/>
      <c r="W236" s="39"/>
    </row>
    <row r="237" spans="3:23" s="37" customFormat="1" ht="12" x14ac:dyDescent="0.2">
      <c r="C237" s="38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41"/>
      <c r="S237" s="40"/>
      <c r="T237" s="41"/>
      <c r="U237" s="39"/>
      <c r="V237" s="39"/>
      <c r="W237" s="39"/>
    </row>
    <row r="238" spans="3:23" s="37" customFormat="1" ht="12" x14ac:dyDescent="0.2">
      <c r="C238" s="38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41"/>
      <c r="S238" s="40"/>
      <c r="T238" s="41"/>
      <c r="U238" s="39"/>
      <c r="V238" s="39"/>
      <c r="W238" s="39"/>
    </row>
    <row r="239" spans="3:23" s="37" customFormat="1" ht="12" x14ac:dyDescent="0.2">
      <c r="C239" s="38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41"/>
      <c r="S239" s="40"/>
      <c r="T239" s="41"/>
      <c r="U239" s="39"/>
      <c r="V239" s="39"/>
      <c r="W239" s="39"/>
    </row>
    <row r="240" spans="3:23" s="37" customFormat="1" ht="12" x14ac:dyDescent="0.2">
      <c r="C240" s="38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41"/>
      <c r="S240" s="40"/>
      <c r="T240" s="41"/>
      <c r="U240" s="39"/>
      <c r="V240" s="39"/>
      <c r="W240" s="39"/>
    </row>
    <row r="241" spans="3:23" s="37" customFormat="1" ht="12" x14ac:dyDescent="0.2">
      <c r="C241" s="38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41"/>
      <c r="S241" s="40"/>
      <c r="T241" s="41"/>
      <c r="U241" s="39"/>
      <c r="V241" s="39"/>
      <c r="W241" s="39"/>
    </row>
    <row r="242" spans="3:23" s="37" customFormat="1" ht="12" x14ac:dyDescent="0.2">
      <c r="C242" s="38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41"/>
      <c r="S242" s="40"/>
      <c r="T242" s="41"/>
      <c r="U242" s="39"/>
      <c r="V242" s="39"/>
      <c r="W242" s="39"/>
    </row>
    <row r="243" spans="3:23" s="37" customFormat="1" ht="12" x14ac:dyDescent="0.2">
      <c r="C243" s="38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41"/>
      <c r="S243" s="40"/>
      <c r="T243" s="41"/>
      <c r="U243" s="39"/>
      <c r="V243" s="39"/>
      <c r="W243" s="39"/>
    </row>
    <row r="244" spans="3:23" s="37" customFormat="1" ht="12" x14ac:dyDescent="0.2">
      <c r="C244" s="38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41"/>
      <c r="S244" s="40"/>
      <c r="T244" s="41"/>
      <c r="U244" s="39"/>
      <c r="V244" s="39"/>
      <c r="W244" s="39"/>
    </row>
    <row r="245" spans="3:23" s="37" customFormat="1" ht="12" x14ac:dyDescent="0.2">
      <c r="C245" s="38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41"/>
      <c r="S245" s="40"/>
      <c r="T245" s="41"/>
      <c r="U245" s="39"/>
      <c r="V245" s="39"/>
      <c r="W245" s="39"/>
    </row>
    <row r="246" spans="3:23" s="37" customFormat="1" ht="12" x14ac:dyDescent="0.2">
      <c r="C246" s="38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41"/>
      <c r="S246" s="40"/>
      <c r="T246" s="41"/>
      <c r="U246" s="39"/>
      <c r="V246" s="39"/>
      <c r="W246" s="39"/>
    </row>
    <row r="247" spans="3:23" s="37" customFormat="1" ht="12" x14ac:dyDescent="0.2">
      <c r="C247" s="38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41"/>
      <c r="S247" s="40"/>
      <c r="T247" s="41"/>
      <c r="U247" s="39"/>
      <c r="V247" s="39"/>
      <c r="W247" s="39"/>
    </row>
    <row r="248" spans="3:23" s="37" customFormat="1" ht="12" x14ac:dyDescent="0.2">
      <c r="C248" s="38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41"/>
      <c r="S248" s="40"/>
      <c r="T248" s="41"/>
      <c r="U248" s="39"/>
      <c r="V248" s="39"/>
      <c r="W248" s="39"/>
    </row>
    <row r="249" spans="3:23" s="37" customFormat="1" ht="12" x14ac:dyDescent="0.2">
      <c r="C249" s="38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41"/>
      <c r="S249" s="40"/>
      <c r="T249" s="41"/>
      <c r="U249" s="39"/>
      <c r="V249" s="39"/>
      <c r="W249" s="39"/>
    </row>
    <row r="250" spans="3:23" s="37" customFormat="1" ht="12" x14ac:dyDescent="0.2">
      <c r="C250" s="38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41"/>
      <c r="S250" s="40"/>
      <c r="T250" s="41"/>
      <c r="U250" s="39"/>
      <c r="V250" s="39"/>
      <c r="W250" s="39"/>
    </row>
    <row r="251" spans="3:23" s="37" customFormat="1" ht="12" x14ac:dyDescent="0.2">
      <c r="C251" s="38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41"/>
      <c r="S251" s="40"/>
      <c r="T251" s="41"/>
      <c r="U251" s="39"/>
      <c r="V251" s="39"/>
      <c r="W251" s="39"/>
    </row>
    <row r="252" spans="3:23" s="37" customFormat="1" ht="12" x14ac:dyDescent="0.2">
      <c r="C252" s="38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41"/>
      <c r="S252" s="40"/>
      <c r="T252" s="41"/>
      <c r="U252" s="39"/>
      <c r="V252" s="39"/>
      <c r="W252" s="39"/>
    </row>
    <row r="253" spans="3:23" s="37" customFormat="1" ht="12" x14ac:dyDescent="0.2">
      <c r="C253" s="38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41"/>
      <c r="S253" s="40"/>
      <c r="T253" s="41"/>
      <c r="U253" s="39"/>
      <c r="V253" s="39"/>
      <c r="W253" s="39"/>
    </row>
    <row r="254" spans="3:23" s="37" customFormat="1" ht="12" x14ac:dyDescent="0.2">
      <c r="C254" s="38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41"/>
      <c r="S254" s="40"/>
      <c r="T254" s="41"/>
      <c r="U254" s="39"/>
      <c r="V254" s="39"/>
      <c r="W254" s="39"/>
    </row>
    <row r="255" spans="3:23" s="37" customFormat="1" ht="12" x14ac:dyDescent="0.2">
      <c r="C255" s="38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41"/>
      <c r="S255" s="40"/>
      <c r="T255" s="41"/>
      <c r="U255" s="39"/>
      <c r="V255" s="39"/>
      <c r="W255" s="39"/>
    </row>
    <row r="256" spans="3:23" s="37" customFormat="1" ht="12" x14ac:dyDescent="0.2">
      <c r="C256" s="38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41"/>
      <c r="S256" s="40"/>
      <c r="T256" s="41"/>
      <c r="U256" s="39"/>
      <c r="V256" s="39"/>
      <c r="W256" s="39"/>
    </row>
    <row r="257" spans="3:23" s="37" customFormat="1" ht="12" x14ac:dyDescent="0.2">
      <c r="C257" s="38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41"/>
      <c r="S257" s="40"/>
      <c r="T257" s="41"/>
      <c r="U257" s="39"/>
      <c r="V257" s="39"/>
      <c r="W257" s="39"/>
    </row>
    <row r="258" spans="3:23" s="37" customFormat="1" ht="12" x14ac:dyDescent="0.2">
      <c r="C258" s="38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41"/>
      <c r="S258" s="40"/>
      <c r="T258" s="41"/>
      <c r="U258" s="39"/>
      <c r="V258" s="39"/>
      <c r="W258" s="39"/>
    </row>
    <row r="259" spans="3:23" s="37" customFormat="1" ht="12" x14ac:dyDescent="0.2">
      <c r="C259" s="38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41"/>
      <c r="S259" s="40"/>
      <c r="T259" s="41"/>
      <c r="U259" s="39"/>
      <c r="V259" s="39"/>
      <c r="W259" s="39"/>
    </row>
    <row r="260" spans="3:23" s="37" customFormat="1" ht="12" x14ac:dyDescent="0.2">
      <c r="C260" s="38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41"/>
      <c r="S260" s="40"/>
      <c r="T260" s="41"/>
      <c r="U260" s="39"/>
      <c r="V260" s="39"/>
      <c r="W260" s="39"/>
    </row>
    <row r="261" spans="3:23" s="37" customFormat="1" ht="12" x14ac:dyDescent="0.2">
      <c r="C261" s="38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41"/>
      <c r="S261" s="40"/>
      <c r="T261" s="41"/>
      <c r="U261" s="39"/>
      <c r="V261" s="39"/>
      <c r="W261" s="39"/>
    </row>
    <row r="262" spans="3:23" s="37" customFormat="1" ht="12" x14ac:dyDescent="0.2">
      <c r="C262" s="38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41"/>
      <c r="S262" s="40"/>
      <c r="T262" s="41"/>
      <c r="U262" s="39"/>
      <c r="V262" s="39"/>
      <c r="W262" s="39"/>
    </row>
    <row r="263" spans="3:23" s="37" customFormat="1" ht="12" x14ac:dyDescent="0.2">
      <c r="C263" s="38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41"/>
      <c r="S263" s="40"/>
      <c r="T263" s="41"/>
      <c r="U263" s="39"/>
      <c r="V263" s="39"/>
      <c r="W263" s="39"/>
    </row>
    <row r="264" spans="3:23" s="37" customFormat="1" ht="12" x14ac:dyDescent="0.2">
      <c r="C264" s="38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41"/>
      <c r="S264" s="40"/>
      <c r="T264" s="41"/>
      <c r="U264" s="39"/>
      <c r="V264" s="39"/>
      <c r="W264" s="39"/>
    </row>
    <row r="265" spans="3:23" s="37" customFormat="1" ht="12" x14ac:dyDescent="0.2">
      <c r="C265" s="38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41"/>
      <c r="S265" s="40"/>
      <c r="T265" s="41"/>
      <c r="U265" s="39"/>
      <c r="V265" s="39"/>
      <c r="W265" s="39"/>
    </row>
    <row r="266" spans="3:23" s="37" customFormat="1" ht="12" x14ac:dyDescent="0.2">
      <c r="C266" s="38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41"/>
      <c r="S266" s="40"/>
      <c r="T266" s="41"/>
      <c r="U266" s="39"/>
      <c r="V266" s="39"/>
      <c r="W266" s="39"/>
    </row>
    <row r="267" spans="3:23" s="37" customFormat="1" ht="12" x14ac:dyDescent="0.2">
      <c r="C267" s="38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41"/>
      <c r="S267" s="40"/>
      <c r="T267" s="41"/>
      <c r="U267" s="39"/>
      <c r="V267" s="39"/>
      <c r="W267" s="39"/>
    </row>
    <row r="268" spans="3:23" s="37" customFormat="1" ht="12" x14ac:dyDescent="0.2">
      <c r="C268" s="38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41"/>
      <c r="S268" s="40"/>
      <c r="T268" s="41"/>
      <c r="U268" s="39"/>
      <c r="V268" s="39"/>
      <c r="W268" s="39"/>
    </row>
    <row r="269" spans="3:23" s="37" customFormat="1" ht="12" x14ac:dyDescent="0.2">
      <c r="C269" s="38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41"/>
      <c r="S269" s="40"/>
      <c r="T269" s="41"/>
      <c r="U269" s="39"/>
      <c r="V269" s="39"/>
      <c r="W269" s="39"/>
    </row>
    <row r="270" spans="3:23" s="37" customFormat="1" ht="12" x14ac:dyDescent="0.2">
      <c r="C270" s="38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41"/>
      <c r="S270" s="40"/>
      <c r="T270" s="41"/>
      <c r="U270" s="39"/>
      <c r="V270" s="39"/>
      <c r="W270" s="39"/>
    </row>
    <row r="271" spans="3:23" s="37" customFormat="1" ht="12" x14ac:dyDescent="0.2">
      <c r="C271" s="38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41"/>
      <c r="S271" s="40"/>
      <c r="T271" s="41"/>
      <c r="U271" s="39"/>
      <c r="V271" s="39"/>
      <c r="W271" s="39"/>
    </row>
    <row r="272" spans="3:23" s="37" customFormat="1" ht="12" x14ac:dyDescent="0.2">
      <c r="C272" s="38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41"/>
      <c r="S272" s="40"/>
      <c r="T272" s="41"/>
      <c r="U272" s="39"/>
      <c r="V272" s="39"/>
      <c r="W272" s="39"/>
    </row>
    <row r="273" spans="3:23" s="37" customFormat="1" ht="12" x14ac:dyDescent="0.2">
      <c r="C273" s="38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41"/>
      <c r="S273" s="40"/>
      <c r="T273" s="41"/>
      <c r="U273" s="39"/>
      <c r="V273" s="39"/>
      <c r="W273" s="39"/>
    </row>
    <row r="274" spans="3:23" s="37" customFormat="1" ht="12" x14ac:dyDescent="0.2">
      <c r="C274" s="38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41"/>
      <c r="S274" s="40"/>
      <c r="T274" s="41"/>
      <c r="U274" s="39"/>
      <c r="V274" s="39"/>
      <c r="W274" s="39"/>
    </row>
    <row r="275" spans="3:23" s="37" customFormat="1" ht="12" x14ac:dyDescent="0.2">
      <c r="C275" s="38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41"/>
      <c r="S275" s="40"/>
      <c r="T275" s="41"/>
      <c r="U275" s="39"/>
      <c r="V275" s="39"/>
      <c r="W275" s="39"/>
    </row>
    <row r="276" spans="3:23" s="37" customFormat="1" ht="12" x14ac:dyDescent="0.2">
      <c r="C276" s="38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41"/>
      <c r="S276" s="40"/>
      <c r="T276" s="41"/>
      <c r="U276" s="39"/>
      <c r="V276" s="39"/>
      <c r="W276" s="39"/>
    </row>
    <row r="277" spans="3:23" x14ac:dyDescent="0.25"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R277" s="27"/>
      <c r="S277" s="23"/>
      <c r="T277" s="27"/>
      <c r="U277" s="22"/>
      <c r="V277" s="22"/>
      <c r="W277" s="22"/>
    </row>
  </sheetData>
  <sheetProtection algorithmName="SHA-512" hashValue="JIGQ8z4damOO/fC6Z9l1nyjQvWEmGw7Hm4INBiSSTJRqMPjtcJoVLenAhsydRgtFdazOzh+vi+ye8blUlD7HiA==" saltValue="rv/TLzGXNIVXKbR0P1PVdg==" spinCount="100000" sheet="1" objects="1" scenarios="1" selectLockedCells="1"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</vt:i4>
      </vt:variant>
    </vt:vector>
  </HeadingPairs>
  <TitlesOfParts>
    <vt:vector size="20" baseType="lpstr">
      <vt:lpstr>Budget</vt:lpstr>
      <vt:lpstr>Summary</vt:lpstr>
      <vt:lpstr>MYP</vt:lpstr>
      <vt:lpstr>Function-Grant</vt:lpstr>
      <vt:lpstr>FY21</vt:lpstr>
      <vt:lpstr>FY22</vt:lpstr>
      <vt:lpstr>FY23</vt:lpstr>
      <vt:lpstr>FY24</vt:lpstr>
      <vt:lpstr>FY25</vt:lpstr>
      <vt:lpstr>Instruction</vt:lpstr>
      <vt:lpstr>Rev &amp; Enroll</vt:lpstr>
      <vt:lpstr>Payroll</vt:lpstr>
      <vt:lpstr>Exp Details</vt:lpstr>
      <vt:lpstr>Request for Change</vt:lpstr>
      <vt:lpstr>Programs List</vt:lpstr>
      <vt:lpstr>Original Budget</vt:lpstr>
      <vt:lpstr>Revised Budget</vt:lpstr>
      <vt:lpstr>Import</vt:lpstr>
      <vt:lpstr>Budget!Print_Area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Spencer Styles</dc:creator>
  <cp:lastModifiedBy>John D. Hawk</cp:lastModifiedBy>
  <cp:lastPrinted>2020-04-08T17:24:32Z</cp:lastPrinted>
  <dcterms:created xsi:type="dcterms:W3CDTF">2019-09-05T22:17:09Z</dcterms:created>
  <dcterms:modified xsi:type="dcterms:W3CDTF">2020-04-15T23:17:14Z</dcterms:modified>
</cp:coreProperties>
</file>